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D46E3E8F-7160-4C77-99B2-42D8E7A6AD1F}" xr6:coauthVersionLast="45" xr6:coauthVersionMax="45" xr10:uidLastSave="{00000000-0000-0000-0000-000000000000}"/>
  <bookViews>
    <workbookView xWindow="-108" yWindow="-108" windowWidth="19416" windowHeight="10416" firstSheet="6" activeTab="2" xr2:uid="{00000000-000D-0000-FFFF-FFFF00000000}"/>
  </bookViews>
  <sheets>
    <sheet name="UE-150204 Decoupling Base" sheetId="38" r:id="rId1"/>
    <sheet name="TY Normalized Usage by Month" sheetId="20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Attachment 4, Page 4" sheetId="23" r:id="rId7"/>
    <sheet name="EDWA 3% test" sheetId="41" r:id="rId8"/>
    <sheet name="Deferral Calc" sheetId="24" r:id="rId9"/>
    <sheet name="December Base Rate Revenue" sheetId="37" r:id="rId10"/>
    <sheet name="November Base Rate Revenue" sheetId="35" r:id="rId11"/>
    <sheet name="October Base Rate Revenue" sheetId="34" r:id="rId12"/>
    <sheet name="September Base Rate Revenue" sheetId="33" r:id="rId13"/>
    <sheet name="August Base Rate Revenue" sheetId="32" r:id="rId14"/>
    <sheet name="July Base Rate Revenue" sheetId="31" r:id="rId15"/>
    <sheet name="June Base Rate Revenue" sheetId="30" r:id="rId16"/>
    <sheet name="May Base Rate Revenue" sheetId="29" r:id="rId17"/>
    <sheet name="Apr Base Rate Revenue" sheetId="28" r:id="rId18"/>
    <sheet name="Mar Base Rate Revenue" sheetId="27" r:id="rId19"/>
    <sheet name="Feb Base Rate Revenue" sheetId="26" r:id="rId20"/>
    <sheet name="Jan Base Rate Revenue" sheetId="25" r:id="rId21"/>
  </sheets>
  <externalReferences>
    <externalReference r:id="rId2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8" hidden="1">#REF!</definedName>
    <definedName name="__123Graph_D" localSheetId="19" hidden="1">#REF!</definedName>
    <definedName name="__123Graph_D" hidden="1">#REF!</definedName>
    <definedName name="__123Graph_ECURRENT" localSheetId="8" hidden="1">[1]ConsolidatingPL!#REF!</definedName>
    <definedName name="__123Graph_ECURRENT" localSheetId="19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localSheetId="8" hidden="1">#REF!</definedName>
    <definedName name="_Key1" localSheetId="19" hidden="1">#REF!</definedName>
    <definedName name="_Key1" hidden="1">#REF!</definedName>
    <definedName name="_Key2" localSheetId="8" hidden="1">#REF!</definedName>
    <definedName name="_Key2" localSheetId="19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8" hidden="1">#REF!</definedName>
    <definedName name="_Sort" localSheetId="19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localSheetId="8" hidden="1">#REF!</definedName>
    <definedName name="BEx0017DGUEDPCFJUPUZOOLJCS2B" localSheetId="19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19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19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19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19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19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19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19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19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19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19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19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19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19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19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19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19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19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19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19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19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19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19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19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19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19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19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19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19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19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19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19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19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19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19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19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19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19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19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19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19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19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19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19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19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19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19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19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19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19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19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19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19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19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19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19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19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19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19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19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19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19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19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19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19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19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19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19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19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19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19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19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19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19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19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19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19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19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19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19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19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19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19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19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19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19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19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19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19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19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19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19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19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19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19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19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19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19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19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19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19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19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19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19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19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19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19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19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19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19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19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19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19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19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19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19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19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19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19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19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19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19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19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19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19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19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19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19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19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19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19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19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19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19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19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19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19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19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19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19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19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19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19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19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19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19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19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19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19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19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19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19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19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19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19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19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19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19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19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19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19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19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19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19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19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19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19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19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19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19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19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19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19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19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19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19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19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19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19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19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19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19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19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19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19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19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19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19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19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19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19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19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19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19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19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19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19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19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19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19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19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19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19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19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19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19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19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19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19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19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19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19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19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19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19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19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19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19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19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19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19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19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19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19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19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19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19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19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19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19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19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19" hidden="1">#REF!</definedName>
    <definedName name="BEx3L7D0PI38HWZ7VADU16C9E33D" hidden="1">#REF!</definedName>
    <definedName name="BEx3LANPY1HT49TAH98H4B9RC1D4" localSheetId="8" hidden="1">#REF!</definedName>
    <definedName name="BEx3LANPY1HT49TAH98H4B9RC1D4" localSheetId="19" hidden="1">#REF!</definedName>
    <definedName name="BEx3LANPY1HT49TAH98H4B9RC1D4" hidden="1">#REF!</definedName>
    <definedName name="BEx3LM1PR4Y7KINKMTMKR984GX8Q" localSheetId="8" hidden="1">#REF!</definedName>
    <definedName name="BEx3LM1PR4Y7KINKMTMKR984GX8Q" localSheetId="19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19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19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19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19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19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19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19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19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19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19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19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19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19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19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19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19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19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19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19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19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19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19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19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19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19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19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19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19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19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19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19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19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19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19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19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19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19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19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19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19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19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19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19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19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19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19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19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19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19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19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19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19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19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19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19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19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19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19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19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19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19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19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19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19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19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19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19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19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19" hidden="1">#REF!</definedName>
    <definedName name="BEx3UKOCOQG7S1YQ436S997K1KWV" hidden="1">#REF!</definedName>
    <definedName name="BEx3UNISOEXF3OFHT2BUA6P9RBIJ" localSheetId="8" hidden="1">#REF!</definedName>
    <definedName name="BEx3UNISOEXF3OFHT2BUA6P9RBIJ" localSheetId="19" hidden="1">#REF!</definedName>
    <definedName name="BEx3UNISOEXF3OFHT2BUA6P9RBIJ" hidden="1">#REF!</definedName>
    <definedName name="BEx3UYM19VIXLA0EU7LB9NHA77PB" localSheetId="8" hidden="1">#REF!</definedName>
    <definedName name="BEx3UYM19VIXLA0EU7LB9NHA77PB" localSheetId="19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19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19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19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19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19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19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19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19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19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19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19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19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19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19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19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19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19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19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19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19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19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19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19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19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19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19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19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19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19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19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19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19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19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19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19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19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19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19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19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19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19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19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19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19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19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19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19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19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19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19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19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19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19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19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19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19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19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19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19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19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19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19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19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19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19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19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19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19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19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19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19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19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19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19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19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19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19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19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19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19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19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19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19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19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19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19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19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19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19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19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19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19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19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19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19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19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19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19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19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19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19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19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19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19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19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19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19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19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19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19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19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19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19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19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19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19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19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19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19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19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19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19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19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19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19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19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19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19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19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19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19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19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19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19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19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19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19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19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19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19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19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19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19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19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19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19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19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19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19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19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19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19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19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19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19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19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19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19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19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19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19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19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19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19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19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19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19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19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19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19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19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19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19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19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19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19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19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19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19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19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19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19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19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19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19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19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19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19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19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19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19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19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19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19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19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19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19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19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19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19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19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19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19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19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19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19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19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19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19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19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19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19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19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19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19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19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19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19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19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19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19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19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19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19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19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19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19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19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19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19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19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19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19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19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19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19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19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19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19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19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19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19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19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19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19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19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19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19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19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19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19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19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19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19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19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19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19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19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19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19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19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19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19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19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19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19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19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19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19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19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19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19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19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19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19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19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19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19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19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19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19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19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19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19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19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19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19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19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19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19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19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19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19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19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19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19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19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19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19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19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19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19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19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19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19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19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19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19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19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19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19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19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19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19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19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19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19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19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19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19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19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19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19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19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19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19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19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19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19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19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19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19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19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19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19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19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19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19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19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19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19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19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19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19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19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19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19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19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19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19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19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19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19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19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19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19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19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19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19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19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19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19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19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19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19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19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19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19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19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19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19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19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19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19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19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19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19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19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19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19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19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19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19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19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19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19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19" hidden="1">#REF!</definedName>
    <definedName name="BEx9EG9KBJ77M8LEOR9ITOKN5KXY" hidden="1">#REF!</definedName>
    <definedName name="BEx9EL27NGDBCTVPW97K42QANS5K" localSheetId="8" hidden="1">#REF!</definedName>
    <definedName name="BEx9EL27NGDBCTVPW97K42QANS5K" localSheetId="19" hidden="1">#REF!</definedName>
    <definedName name="BEx9EL27NGDBCTVPW97K42QANS5K" hidden="1">#REF!</definedName>
    <definedName name="BEx9EMK6HAJJMVYZTN5AUIV7O1E6" localSheetId="8" hidden="1">#REF!</definedName>
    <definedName name="BEx9EMK6HAJJMVYZTN5AUIV7O1E6" localSheetId="19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19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19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19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19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19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19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19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19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19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19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19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19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19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19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19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19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19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19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19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19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19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19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19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19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19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19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19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19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19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19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19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19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19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19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19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19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19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19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19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19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19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19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19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19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19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19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19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19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19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19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19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19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19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19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19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19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19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19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19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19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19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19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19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19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19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19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19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19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19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19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19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19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19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19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19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19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19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19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19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19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19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19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19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19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19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19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19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19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19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19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19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19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19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19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19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19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19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19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19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19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19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19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19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19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19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19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19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19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19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19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19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19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19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19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19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19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19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19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19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19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19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19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19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19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19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19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19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19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19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19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19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19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19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19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19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19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19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19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19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19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19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19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19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19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19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19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19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19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19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19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19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19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19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19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19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19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19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19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19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19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19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19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19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19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19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19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19" hidden="1">#REF!</definedName>
    <definedName name="BExBCK9SCAABKOT9IP6TEPRR7YDT" hidden="1">#REF!</definedName>
    <definedName name="BExBCKKJFFT2RP50WNPKBT7X8PJ3" localSheetId="8" hidden="1">#REF!</definedName>
    <definedName name="BExBCKKJFFT2RP50WNPKBT7X8PJ3" localSheetId="19" hidden="1">#REF!</definedName>
    <definedName name="BExBCKKJFFT2RP50WNPKBT7X8PJ3" hidden="1">#REF!</definedName>
    <definedName name="BExBCKKJTIRKC1RZJRTK65HHLX4W" localSheetId="8" hidden="1">#REF!</definedName>
    <definedName name="BExBCKKJTIRKC1RZJRTK65HHLX4W" localSheetId="19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19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19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19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19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19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19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19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19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19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19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19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19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19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19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19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19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19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19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19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19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19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19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19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19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19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19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19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19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19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19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19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19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19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19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19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19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19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19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19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19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19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19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19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19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19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19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19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19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19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19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19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19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19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19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19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19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19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19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19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19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19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19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19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19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19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19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19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19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19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19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19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19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19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19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19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19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19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19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19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19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19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19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19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19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19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19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19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19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19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19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19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19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19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19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19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19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19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19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19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19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19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19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19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19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19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19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19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19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19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19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19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19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19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19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19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19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19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19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19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19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19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19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19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19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19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19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19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19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19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19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19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19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19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19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19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19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19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19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19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19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19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19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19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19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19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19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19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19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19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19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19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19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19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19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19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19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19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19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19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19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19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19" hidden="1">#REF!</definedName>
    <definedName name="BExDCP3UZ3C2O4C1F7KMU0Z9U32N" hidden="1">#REF!</definedName>
    <definedName name="BExENU8ISP26W97JG63CN1XT9KB4" localSheetId="8" hidden="1">#REF!</definedName>
    <definedName name="BExENU8ISP26W97JG63CN1XT9KB4" localSheetId="19" hidden="1">#REF!</definedName>
    <definedName name="BExENU8ISP26W97JG63CN1XT9KB4" hidden="1">#REF!</definedName>
    <definedName name="BExEO14OTKLVDBTNB2ONGZ4YB20H" localSheetId="8" hidden="1">#REF!</definedName>
    <definedName name="BExEO14OTKLVDBTNB2ONGZ4YB20H" localSheetId="19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19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19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19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19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19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19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19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19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19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19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19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19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19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19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19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19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19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19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19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19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19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19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19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19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19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19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19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19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19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19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19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19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19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19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19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19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19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19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19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19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19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19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19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19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19" hidden="1">#REF!</definedName>
    <definedName name="BExEUNU7FYVTR4DD1D31SS7PNXX2" hidden="1">#REF!</definedName>
    <definedName name="BExEUOAHB0OT3BACAHNZ3B905C0P" localSheetId="8" hidden="1">#REF!</definedName>
    <definedName name="BExEUOAHB0OT3BACAHNZ3B905C0P" localSheetId="19" hidden="1">#REF!</definedName>
    <definedName name="BExEUOAHB0OT3BACAHNZ3B905C0P" hidden="1">#REF!</definedName>
    <definedName name="BExEV2TP7NA3ZR6RJGH5ER370OUM" localSheetId="8" hidden="1">#REF!</definedName>
    <definedName name="BExEV2TP7NA3ZR6RJGH5ER370OUM" localSheetId="19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19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19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19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19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19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19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19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19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19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19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19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19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19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19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19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19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19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19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19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19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19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19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19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19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19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19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19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19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19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19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19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19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19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19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19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19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19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19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19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19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19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19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19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19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19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19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19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19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19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19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19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19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19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19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19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19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19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19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19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19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19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19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19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19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19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19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19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19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19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19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19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19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19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19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19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19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19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19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19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19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19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19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19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19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19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19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19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19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19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19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19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19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19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19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19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19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19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19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19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19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19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19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19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19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19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19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19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19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19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19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19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19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19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19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19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19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19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19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19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19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19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19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19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19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19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19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19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19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19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19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19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19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19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19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19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19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19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19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19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19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19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19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19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19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19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19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19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19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19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19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19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19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19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19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19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19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19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19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19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19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19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19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19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19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19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19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19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19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19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19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19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19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19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19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19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19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19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19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19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19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19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19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19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19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19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19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19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19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19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19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19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19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19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19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19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19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19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19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19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19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19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19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19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19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19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19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19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19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19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19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19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19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19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19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19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19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19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19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19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19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19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19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19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19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19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19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19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19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19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19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19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19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19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19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19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19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19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19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19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19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19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19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19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19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19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19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19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19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19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19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19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19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19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19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19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19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19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19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19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19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19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19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19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19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19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19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19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19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19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19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19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19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19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19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19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19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19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19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19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19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19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19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19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19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19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19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19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19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19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19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19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19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19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19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19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19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19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19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19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19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19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19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19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19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19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19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19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19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19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19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19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19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19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19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19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19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19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19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19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19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19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19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19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19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19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19" hidden="1">#REF!</definedName>
    <definedName name="BExIPKNFUDPDKOSH5GHDVNA8D66S" hidden="1">#REF!</definedName>
    <definedName name="BExIPVL5VEVK9Q7AYB7EC2VZWBEZ" localSheetId="8" hidden="1">#REF!</definedName>
    <definedName name="BExIPVL5VEVK9Q7AYB7EC2VZWBEZ" localSheetId="19" hidden="1">#REF!</definedName>
    <definedName name="BExIPVL5VEVK9Q7AYB7EC2VZWBEZ" hidden="1">#REF!</definedName>
    <definedName name="BExIQ1VS9A2FHVD9TUHKG9K8EVVP" localSheetId="8" hidden="1">#REF!</definedName>
    <definedName name="BExIQ1VS9A2FHVD9TUHKG9K8EVVP" localSheetId="19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19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19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19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19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19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19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19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19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19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19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19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19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19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19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19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19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19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19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19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19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19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19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19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19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19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19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19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19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19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19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19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19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19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19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19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19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19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19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19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19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19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19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19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19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19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19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19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19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19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19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19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19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19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19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19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19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19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19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19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19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19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19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19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19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19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19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19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19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19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19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19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19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19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19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19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19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19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19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19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19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19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19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19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19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19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19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19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19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19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19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19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19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19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19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19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19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19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19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19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19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19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19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19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19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19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19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19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19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19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19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19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19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19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19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19" hidden="1">#REF!</definedName>
    <definedName name="BExKGNK5YGKP0YHHTAAOV17Z9EIM" hidden="1">#REF!</definedName>
    <definedName name="BExKGQ3T3TWGZUSNVWJE1XWXHGRQ" localSheetId="8" hidden="1">#REF!</definedName>
    <definedName name="BExKGQ3T3TWGZUSNVWJE1XWXHGRQ" localSheetId="19" hidden="1">#REF!</definedName>
    <definedName name="BExKGQ3T3TWGZUSNVWJE1XWXHGRQ" hidden="1">#REF!</definedName>
    <definedName name="BExKGV77YH9YXIQTRKK2331QGYKF" localSheetId="8" hidden="1">#REF!</definedName>
    <definedName name="BExKGV77YH9YXIQTRKK2331QGYKF" localSheetId="19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19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19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19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19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19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19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19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19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19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19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19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19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19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19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19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19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19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19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19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19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19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19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19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19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19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19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19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19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19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19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19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19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19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19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19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19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19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19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19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19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19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19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19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19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19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19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19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19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19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19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19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19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19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19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19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19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19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19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19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19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19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19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19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19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19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19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19" hidden="1">#REF!</definedName>
    <definedName name="BExKPFFSVTL757PNITV8R9RN4452" hidden="1">#REF!</definedName>
    <definedName name="BExKPIL5ZWOXQAENH3VP3ZHA2N7N" localSheetId="8" hidden="1">#REF!</definedName>
    <definedName name="BExKPIL5ZWOXQAENH3VP3ZHA2N7N" localSheetId="19" hidden="1">#REF!</definedName>
    <definedName name="BExKPIL5ZWOXQAENH3VP3ZHA2N7N" hidden="1">#REF!</definedName>
    <definedName name="BExKPJHKPVROP9QX9BMBZMU2HEZ1" localSheetId="8" hidden="1">#REF!</definedName>
    <definedName name="BExKPJHKPVROP9QX9BMBZMU2HEZ1" localSheetId="19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19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19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19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19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19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19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19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19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19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19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19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19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19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19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19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19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19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19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19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19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19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19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19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19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19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19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19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19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19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19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19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19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19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19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19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19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19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19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19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19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19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19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19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19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19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19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19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19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19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19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19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19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19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19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19" hidden="1">#REF!</definedName>
    <definedName name="BExMBYPQDG9AYDQ5E8IECVFREPO6" hidden="1">#REF!</definedName>
    <definedName name="BExMC7PESEESXVMDCGGIP5LPMUGY" localSheetId="8" hidden="1">#REF!</definedName>
    <definedName name="BExMC7PESEESXVMDCGGIP5LPMUGY" localSheetId="19" hidden="1">#REF!</definedName>
    <definedName name="BExMC7PESEESXVMDCGGIP5LPMUGY" hidden="1">#REF!</definedName>
    <definedName name="BExMC8AZUTX8LG89K2JJR7ZG62XX" localSheetId="8" hidden="1">#REF!</definedName>
    <definedName name="BExMC8AZUTX8LG89K2JJR7ZG62XX" localSheetId="19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19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19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19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19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19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19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19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19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19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19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19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19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19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19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19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19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19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19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19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19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19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19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19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19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19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19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19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19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19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19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19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19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19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19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19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19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19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19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19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19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19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19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19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19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19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19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19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19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19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19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19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19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19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19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19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19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19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19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19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19" hidden="1">#REF!</definedName>
    <definedName name="BExMKP92JGBM5BJO174H9A4HQIB9" hidden="1">#REF!</definedName>
    <definedName name="BExMKPEDT6IOYLLC3KJKRZOETC3Y" localSheetId="8" hidden="1">#REF!</definedName>
    <definedName name="BExMKPEDT6IOYLLC3KJKRZOETC3Y" localSheetId="19" hidden="1">#REF!</definedName>
    <definedName name="BExMKPEDT6IOYLLC3KJKRZOETC3Y" hidden="1">#REF!</definedName>
    <definedName name="BExMKTW7R5SOV4PHAFGHU3W73DYE" localSheetId="8" hidden="1">#REF!</definedName>
    <definedName name="BExMKTW7R5SOV4PHAFGHU3W73DYE" localSheetId="19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19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19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19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19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19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19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19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19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19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19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19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19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19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19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19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19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19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19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19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19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19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19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19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19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19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19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19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19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19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19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19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19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19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19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19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19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19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19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19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19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19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19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19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19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19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19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19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19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19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19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19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19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19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19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19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19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19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19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19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19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19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19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19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19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19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19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19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19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19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19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19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19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19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19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19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19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19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19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19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19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19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19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19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19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19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19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19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19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19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19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19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19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19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19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19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19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19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19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19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19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19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19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19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19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19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19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19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19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19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19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19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19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19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19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19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19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19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19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19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19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19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19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19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19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19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19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19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19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19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19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19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19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19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19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19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19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19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19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19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19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19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19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19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19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19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19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19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19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19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19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19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19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19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19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19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19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19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19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19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19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19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19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19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19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19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19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19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19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19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19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19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19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19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19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19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19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19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19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19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19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19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19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19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19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19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19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19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19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19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19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19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19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19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19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19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19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19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19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19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19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19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19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19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19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19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19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19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19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19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19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19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19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19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19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19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19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19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19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19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19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19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19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19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19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19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19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19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19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19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19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19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19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19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19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19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19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19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19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19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19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19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19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19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19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19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19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19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19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19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19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19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19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19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19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19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19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19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19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19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19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19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19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19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19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19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19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19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19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19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19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19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19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19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19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19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19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19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19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19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19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19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19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19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19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19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19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19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19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19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19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19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19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19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19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19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19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19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19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19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19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19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19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19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19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19" hidden="1">#REF!</definedName>
    <definedName name="BExQG8TYRD2G42UA5ZPCRLNKUDMX" hidden="1">#REF!</definedName>
    <definedName name="BExQG9A8OZ31BDN5QEGQGWG59A43" localSheetId="8" hidden="1">#REF!</definedName>
    <definedName name="BExQG9A8OZ31BDN5QEGQGWG59A43" localSheetId="19" hidden="1">#REF!</definedName>
    <definedName name="BExQG9A8OZ31BDN5QEGQGWG59A43" hidden="1">#REF!</definedName>
    <definedName name="BExQGGBQ2CMSPV4NV4RA7NMBQER6" localSheetId="8" hidden="1">#REF!</definedName>
    <definedName name="BExQGGBQ2CMSPV4NV4RA7NMBQER6" localSheetId="19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19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19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19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19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19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19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19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19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19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19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19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19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19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19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19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19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19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19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19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19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19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19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19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19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19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19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19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19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19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19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19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19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19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19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19" hidden="1">#REF!</definedName>
    <definedName name="BExQL2NSE8OYZFXQH8A23RMVMFW7" hidden="1">#REF!</definedName>
    <definedName name="BExQL4GJ3LZJL6JDEHT7UDXW90TV" localSheetId="8" hidden="1">#REF!</definedName>
    <definedName name="BExQL4GJ3LZJL6JDEHT7UDXW90TV" localSheetId="19" hidden="1">#REF!</definedName>
    <definedName name="BExQL4GJ3LZJL6JDEHT7UDXW90TV" hidden="1">#REF!</definedName>
    <definedName name="BExQLE1TOW3A287TQB0AVWENT8O1" localSheetId="8" hidden="1">#REF!</definedName>
    <definedName name="BExQLE1TOW3A287TQB0AVWENT8O1" localSheetId="19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19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19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19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19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19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19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19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19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19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19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19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19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19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19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19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19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19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19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19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19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19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19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19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19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19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19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19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19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19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19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19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19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19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19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19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19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19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19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19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19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19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19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19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19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19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19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19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19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19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19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19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19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19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19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19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19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19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19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19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19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19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19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19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19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19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19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19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19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19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19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19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19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19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19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19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19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19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19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19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19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19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19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19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19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19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19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19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19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19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19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19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19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19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19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19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19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19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19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19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19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19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19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19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19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19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19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19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19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19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19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19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19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19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19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19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19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19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19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19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19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19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19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19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19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19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19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19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19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19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19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19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19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19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19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19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19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19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19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19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19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19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19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19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19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19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19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19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19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19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19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19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19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19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19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19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19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19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19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19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19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19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19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19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19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19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19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19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19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19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19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19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19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19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19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19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19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19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19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19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19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19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19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19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19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19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19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19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19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19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19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19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19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19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19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19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19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19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19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19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19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19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19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19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19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19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19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19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19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19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19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19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19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19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19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19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19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19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19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19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19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19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19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19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19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19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19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19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19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19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19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19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19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19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19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19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19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19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19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19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19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19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19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19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19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19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19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19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19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19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19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19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19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19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19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19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19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19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19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19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19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19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19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19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19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19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19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19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19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19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19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19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19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19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19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19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19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19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19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19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19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19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19" hidden="1">#REF!</definedName>
    <definedName name="BExUAMWQODKBXMRH1QCMJLJBF8M7" hidden="1">#REF!</definedName>
    <definedName name="BExUAPR6Y32097JKJCTGC4C6EGE9" localSheetId="8" hidden="1">#REF!</definedName>
    <definedName name="BExUAPR6Y32097JKJCTGC4C6EGE9" localSheetId="19" hidden="1">#REF!</definedName>
    <definedName name="BExUAPR6Y32097JKJCTGC4C6EGE9" hidden="1">#REF!</definedName>
    <definedName name="BExUARUP0MX710TNZSAA01HUEAVC" localSheetId="8" hidden="1">#REF!</definedName>
    <definedName name="BExUARUP0MX710TNZSAA01HUEAVC" localSheetId="19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19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19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19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19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19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19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19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19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19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19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19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19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19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19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19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19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19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19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19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19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19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19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19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19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19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19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19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19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19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19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19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19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19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19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19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19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19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19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19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19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19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19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19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19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19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19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19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19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19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19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19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19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19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19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19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19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19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19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19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19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19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19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19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19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19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19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19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19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19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19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19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19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19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19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19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19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19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19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19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19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19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19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19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19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19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19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19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19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19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19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19" hidden="1">#REF!</definedName>
    <definedName name="BExW1U0JLKQ094DW5MMOI8UHO09V" hidden="1">#REF!</definedName>
    <definedName name="BExW1VNZHNB5P9V6232N0DQCE0WE" localSheetId="8" hidden="1">#REF!</definedName>
    <definedName name="BExW1VNZHNB5P9V6232N0DQCE0WE" localSheetId="19" hidden="1">#REF!</definedName>
    <definedName name="BExW1VNZHNB5P9V6232N0DQCE0WE" hidden="1">#REF!</definedName>
    <definedName name="BExW1WK6J1TDP29S3QDPTYZJBLIW" localSheetId="8" hidden="1">#REF!</definedName>
    <definedName name="BExW1WK6J1TDP29S3QDPTYZJBLIW" localSheetId="19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19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19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19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19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19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19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19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19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19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19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19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19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19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19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19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19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19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19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19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19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19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19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19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19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19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19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19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19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19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19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19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19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19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19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19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19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19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19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19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19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19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19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19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19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19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19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19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19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19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19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19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19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19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19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19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19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19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19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19" hidden="1">#REF!</definedName>
    <definedName name="BExXO278QHQN8JDK5425EJ615ECC" hidden="1">#REF!</definedName>
    <definedName name="BExXO4QVV7YZ6L5A7WZEMIA5AZOV" localSheetId="8" hidden="1">#REF!</definedName>
    <definedName name="BExXO4QVV7YZ6L5A7WZEMIA5AZOV" localSheetId="19" hidden="1">#REF!</definedName>
    <definedName name="BExXO4QVV7YZ6L5A7WZEMIA5AZOV" hidden="1">#REF!</definedName>
    <definedName name="BExXOBHOP0WGFHI2Y9AO4L440UVQ" localSheetId="8" hidden="1">#REF!</definedName>
    <definedName name="BExXOBHOP0WGFHI2Y9AO4L440UVQ" localSheetId="19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19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19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19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19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19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19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19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19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19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19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19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19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19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19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19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19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19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19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19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19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19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19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19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19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19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19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19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19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19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19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19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19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19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19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19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19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19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19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19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19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19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19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19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19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19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19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19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19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19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19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19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19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19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19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19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19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19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19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19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19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19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19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19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19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19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19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19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19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19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19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19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19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19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19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19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19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19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19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19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19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19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19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19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19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19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19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19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19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19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19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19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19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19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19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19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19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19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19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19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19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19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19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19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19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19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19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19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19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19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19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19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19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19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19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19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19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19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19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19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19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19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19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19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19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19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19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19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19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19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19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19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19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19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19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19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19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19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19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19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19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19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19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19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19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19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19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19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19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19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19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19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19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19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19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19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19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19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19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19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19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19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19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19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19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19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19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19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19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19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19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19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19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19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19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19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19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19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19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19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19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19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19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19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19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19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19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19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19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19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19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19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19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19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19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19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19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19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19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19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19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19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19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19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19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19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19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19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19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19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19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19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19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19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19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19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19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19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19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19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19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19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19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19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19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19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19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19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19" hidden="1">#REF!</definedName>
    <definedName name="BExZSTNUWCRNCL22SMKXKFSLCJ0O" hidden="1">#REF!</definedName>
    <definedName name="BExZSYRA4NR7K6RLC3I81QSG5SQR" localSheetId="8" hidden="1">#REF!</definedName>
    <definedName name="BExZSYRA4NR7K6RLC3I81QSG5SQR" localSheetId="19" hidden="1">#REF!</definedName>
    <definedName name="BExZSYRA4NR7K6RLC3I81QSG5SQR" hidden="1">#REF!</definedName>
    <definedName name="BExZT6JSZ8CBS0SB3T07N3LMAX7M" localSheetId="8" hidden="1">#REF!</definedName>
    <definedName name="BExZT6JSZ8CBS0SB3T07N3LMAX7M" localSheetId="19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19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19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19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19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19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19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19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19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19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19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19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19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19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19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19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19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19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19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19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19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19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19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19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19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19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19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19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19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19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19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19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19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19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19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19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19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19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19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19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19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19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19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19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19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19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19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19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19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19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19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19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19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19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19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8" hidden="1">#REF!</definedName>
    <definedName name="Transfer" localSheetId="19" hidden="1">#REF!</definedName>
    <definedName name="Transfer" hidden="1">#REF!</definedName>
    <definedName name="Transfers" localSheetId="8" hidden="1">#REF!</definedName>
    <definedName name="Transfers" localSheetId="19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37" l="1"/>
  <c r="U25" i="37"/>
  <c r="U26" i="37"/>
  <c r="U27" i="37"/>
  <c r="U28" i="37"/>
  <c r="U29" i="37"/>
  <c r="U30" i="37"/>
  <c r="U31" i="37"/>
  <c r="U32" i="37"/>
  <c r="U24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45" i="37"/>
  <c r="N45" i="37" s="1"/>
  <c r="D30" i="37"/>
  <c r="G9" i="37"/>
  <c r="E9" i="37"/>
  <c r="AM54" i="41" l="1"/>
  <c r="AA54" i="41"/>
  <c r="O54" i="41"/>
  <c r="AM22" i="41"/>
  <c r="AA22" i="41"/>
  <c r="O22" i="41"/>
  <c r="E73" i="37" l="1"/>
  <c r="E85" i="37" l="1"/>
  <c r="C85" i="37"/>
  <c r="B85" i="37"/>
  <c r="M57" i="37"/>
  <c r="O57" i="37" s="1"/>
  <c r="N57" i="37"/>
  <c r="M56" i="37"/>
  <c r="O56" i="37" s="1"/>
  <c r="N56" i="37"/>
  <c r="M55" i="37"/>
  <c r="O55" i="37" s="1"/>
  <c r="N55" i="37"/>
  <c r="M54" i="37"/>
  <c r="O54" i="37" s="1"/>
  <c r="N54" i="37"/>
  <c r="M53" i="37"/>
  <c r="O53" i="37" s="1"/>
  <c r="N53" i="37"/>
  <c r="N52" i="37"/>
  <c r="M52" i="37"/>
  <c r="O52" i="37" s="1"/>
  <c r="M51" i="37"/>
  <c r="N51" i="37"/>
  <c r="M50" i="37"/>
  <c r="O50" i="37" s="1"/>
  <c r="N50" i="37"/>
  <c r="N49" i="37"/>
  <c r="M49" i="37"/>
  <c r="O49" i="37" s="1"/>
  <c r="M48" i="37"/>
  <c r="O48" i="37" s="1"/>
  <c r="N48" i="37"/>
  <c r="M47" i="37"/>
  <c r="O47" i="37" s="1"/>
  <c r="N47" i="37"/>
  <c r="M46" i="37"/>
  <c r="O46" i="37" s="1"/>
  <c r="N46" i="37"/>
  <c r="M45" i="37"/>
  <c r="F41" i="37"/>
  <c r="E41" i="37"/>
  <c r="D41" i="37"/>
  <c r="C41" i="37"/>
  <c r="F39" i="37"/>
  <c r="E39" i="37"/>
  <c r="D39" i="37"/>
  <c r="C39" i="37"/>
  <c r="F37" i="37"/>
  <c r="E37" i="37"/>
  <c r="C37" i="37"/>
  <c r="G34" i="37"/>
  <c r="I34" i="37" s="1"/>
  <c r="O33" i="37"/>
  <c r="G33" i="37"/>
  <c r="AA32" i="37"/>
  <c r="T32" i="37"/>
  <c r="V32" i="37" s="1"/>
  <c r="Q32" i="37"/>
  <c r="S32" i="37" s="1"/>
  <c r="P32" i="37"/>
  <c r="G32" i="37"/>
  <c r="AA31" i="37"/>
  <c r="T31" i="37"/>
  <c r="V31" i="37" s="1"/>
  <c r="Q31" i="37"/>
  <c r="S31" i="37" s="1"/>
  <c r="P31" i="37"/>
  <c r="G31" i="37"/>
  <c r="AA30" i="37"/>
  <c r="T30" i="37"/>
  <c r="V30" i="37" s="1"/>
  <c r="Q30" i="37"/>
  <c r="S30" i="37" s="1"/>
  <c r="P30" i="37"/>
  <c r="AA29" i="37"/>
  <c r="T29" i="37"/>
  <c r="V29" i="37" s="1"/>
  <c r="Q29" i="37"/>
  <c r="S29" i="37" s="1"/>
  <c r="P29" i="37"/>
  <c r="G29" i="37"/>
  <c r="AA28" i="37"/>
  <c r="T28" i="37"/>
  <c r="V28" i="37" s="1"/>
  <c r="Q28" i="37"/>
  <c r="S28" i="37" s="1"/>
  <c r="P28" i="37"/>
  <c r="G28" i="37"/>
  <c r="AA27" i="37"/>
  <c r="T27" i="37"/>
  <c r="V27" i="37" s="1"/>
  <c r="Q27" i="37"/>
  <c r="S27" i="37" s="1"/>
  <c r="P27" i="37"/>
  <c r="G27" i="37"/>
  <c r="AA26" i="37"/>
  <c r="T26" i="37"/>
  <c r="V26" i="37" s="1"/>
  <c r="Q26" i="37"/>
  <c r="S26" i="37" s="1"/>
  <c r="P26" i="37"/>
  <c r="G26" i="37"/>
  <c r="AA25" i="37"/>
  <c r="T25" i="37"/>
  <c r="V25" i="37" s="1"/>
  <c r="Q25" i="37"/>
  <c r="S25" i="37" s="1"/>
  <c r="P25" i="37"/>
  <c r="G25" i="37"/>
  <c r="AA24" i="37"/>
  <c r="T24" i="37"/>
  <c r="Q24" i="37"/>
  <c r="P24" i="37"/>
  <c r="G24" i="37"/>
  <c r="AD23" i="37"/>
  <c r="AA23" i="37"/>
  <c r="Z23" i="37"/>
  <c r="X23" i="37"/>
  <c r="V23" i="37"/>
  <c r="T23" i="37"/>
  <c r="Q23" i="37"/>
  <c r="P23" i="37"/>
  <c r="O23" i="37"/>
  <c r="G21" i="37"/>
  <c r="F21" i="37"/>
  <c r="E21" i="37"/>
  <c r="C21" i="37"/>
  <c r="O35" i="24" s="1"/>
  <c r="G19" i="37"/>
  <c r="F19" i="37"/>
  <c r="E19" i="37"/>
  <c r="C19" i="37"/>
  <c r="F17" i="37"/>
  <c r="C17" i="37"/>
  <c r="H16" i="37"/>
  <c r="I16" i="37" s="1"/>
  <c r="I15" i="37"/>
  <c r="H15" i="37"/>
  <c r="G73" i="37" s="1"/>
  <c r="I14" i="37"/>
  <c r="J14" i="37" s="1"/>
  <c r="H13" i="37"/>
  <c r="H12" i="37"/>
  <c r="H11" i="37"/>
  <c r="H10" i="37"/>
  <c r="H9" i="37"/>
  <c r="E68" i="37" s="1"/>
  <c r="E17" i="37"/>
  <c r="K8" i="37"/>
  <c r="H8" i="37"/>
  <c r="K7" i="37"/>
  <c r="H7" i="37"/>
  <c r="K6" i="37"/>
  <c r="H6" i="37"/>
  <c r="K5" i="37"/>
  <c r="H5" i="37"/>
  <c r="K4" i="37"/>
  <c r="H4" i="37"/>
  <c r="K3" i="37"/>
  <c r="H3" i="37"/>
  <c r="O45" i="37" l="1"/>
  <c r="P45" i="37" s="1"/>
  <c r="P57" i="37"/>
  <c r="I69" i="37"/>
  <c r="E69" i="37"/>
  <c r="X26" i="37"/>
  <c r="X31" i="37"/>
  <c r="F70" i="37"/>
  <c r="F78" i="37" s="1"/>
  <c r="E70" i="37"/>
  <c r="I11" i="37"/>
  <c r="J11" i="37" s="1"/>
  <c r="K14" i="37"/>
  <c r="D85" i="37"/>
  <c r="D84" i="37"/>
  <c r="O40" i="24"/>
  <c r="F72" i="37"/>
  <c r="E72" i="37"/>
  <c r="F71" i="37"/>
  <c r="E71" i="37"/>
  <c r="F64" i="37"/>
  <c r="E64" i="37"/>
  <c r="F65" i="37"/>
  <c r="E65" i="37"/>
  <c r="F67" i="37"/>
  <c r="E67" i="37"/>
  <c r="F66" i="37"/>
  <c r="E66" i="37"/>
  <c r="F63" i="37"/>
  <c r="E63" i="37"/>
  <c r="E76" i="37" s="1"/>
  <c r="Q33" i="37"/>
  <c r="G62" i="37"/>
  <c r="G76" i="37" s="1"/>
  <c r="E62" i="37"/>
  <c r="AA36" i="37"/>
  <c r="AC36" i="37" s="1"/>
  <c r="P56" i="37"/>
  <c r="P48" i="37"/>
  <c r="G71" i="37"/>
  <c r="P55" i="37"/>
  <c r="G41" i="37"/>
  <c r="Z31" i="37"/>
  <c r="AB31" i="37" s="1"/>
  <c r="AC31" i="37" s="1"/>
  <c r="P52" i="37"/>
  <c r="Z28" i="37"/>
  <c r="AB28" i="37" s="1"/>
  <c r="X28" i="37"/>
  <c r="P49" i="37"/>
  <c r="Z26" i="37"/>
  <c r="AB26" i="37" s="1"/>
  <c r="D64" i="37"/>
  <c r="I72" i="37"/>
  <c r="Z30" i="37"/>
  <c r="AB30" i="37" s="1"/>
  <c r="P54" i="37"/>
  <c r="I62" i="37"/>
  <c r="D66" i="37"/>
  <c r="G67" i="37"/>
  <c r="G69" i="37"/>
  <c r="I70" i="37"/>
  <c r="H71" i="37"/>
  <c r="Z27" i="37"/>
  <c r="AB27" i="37" s="1"/>
  <c r="Z29" i="37"/>
  <c r="AB29" i="37" s="1"/>
  <c r="X32" i="37"/>
  <c r="I64" i="37"/>
  <c r="H69" i="37"/>
  <c r="C71" i="37"/>
  <c r="D72" i="37"/>
  <c r="G65" i="37"/>
  <c r="X27" i="37"/>
  <c r="AC27" i="37" s="1"/>
  <c r="AE27" i="37" s="1"/>
  <c r="P46" i="37"/>
  <c r="P47" i="37"/>
  <c r="P50" i="37"/>
  <c r="P53" i="37"/>
  <c r="D62" i="37"/>
  <c r="G63" i="37"/>
  <c r="I66" i="37"/>
  <c r="C69" i="37"/>
  <c r="D70" i="37"/>
  <c r="AC26" i="37"/>
  <c r="F68" i="37"/>
  <c r="H68" i="37"/>
  <c r="C68" i="37"/>
  <c r="I68" i="37"/>
  <c r="D68" i="37"/>
  <c r="G68" i="37"/>
  <c r="Z32" i="37"/>
  <c r="AB32" i="37" s="1"/>
  <c r="AC32" i="37" s="1"/>
  <c r="N58" i="37"/>
  <c r="H63" i="37"/>
  <c r="C73" i="37"/>
  <c r="I6" i="37"/>
  <c r="J6" i="37" s="1"/>
  <c r="I13" i="37"/>
  <c r="J13" i="37" s="1"/>
  <c r="G17" i="37"/>
  <c r="S24" i="37"/>
  <c r="Z25" i="37"/>
  <c r="AB25" i="37" s="1"/>
  <c r="X30" i="37"/>
  <c r="P33" i="37"/>
  <c r="G39" i="37"/>
  <c r="O51" i="37"/>
  <c r="P51" i="37" s="1"/>
  <c r="D63" i="37"/>
  <c r="I63" i="37"/>
  <c r="G64" i="37"/>
  <c r="D65" i="37"/>
  <c r="I65" i="37"/>
  <c r="G66" i="37"/>
  <c r="D67" i="37"/>
  <c r="I67" i="37"/>
  <c r="D69" i="37"/>
  <c r="G70" i="37"/>
  <c r="D71" i="37"/>
  <c r="I71" i="37"/>
  <c r="G72" i="37"/>
  <c r="D73" i="37"/>
  <c r="F62" i="37"/>
  <c r="H19" i="37"/>
  <c r="I9" i="37"/>
  <c r="Z24" i="37"/>
  <c r="X29" i="37"/>
  <c r="D37" i="37"/>
  <c r="G30" i="37"/>
  <c r="C63" i="37"/>
  <c r="C65" i="37"/>
  <c r="H65" i="37"/>
  <c r="C67" i="37"/>
  <c r="H67" i="37"/>
  <c r="I73" i="37"/>
  <c r="I3" i="37"/>
  <c r="I4" i="37"/>
  <c r="J4" i="37" s="1"/>
  <c r="I5" i="37"/>
  <c r="I7" i="37"/>
  <c r="J7" i="37" s="1"/>
  <c r="I8" i="37"/>
  <c r="J8" i="37" s="1"/>
  <c r="F69" i="37"/>
  <c r="I10" i="37"/>
  <c r="F73" i="37"/>
  <c r="H21" i="37"/>
  <c r="I12" i="37"/>
  <c r="J12" i="37" s="1"/>
  <c r="H17" i="37"/>
  <c r="T33" i="37"/>
  <c r="V24" i="37"/>
  <c r="V33" i="37" s="1"/>
  <c r="X25" i="37"/>
  <c r="AA37" i="37"/>
  <c r="AC37" i="37" s="1"/>
  <c r="C62" i="37"/>
  <c r="H62" i="37"/>
  <c r="C64" i="37"/>
  <c r="H64" i="37"/>
  <c r="C66" i="37"/>
  <c r="H66" i="37"/>
  <c r="C70" i="37"/>
  <c r="H70" i="37"/>
  <c r="C72" i="37"/>
  <c r="H72" i="37"/>
  <c r="E78" i="37" l="1"/>
  <c r="AC30" i="37"/>
  <c r="E74" i="37"/>
  <c r="AC28" i="37"/>
  <c r="AD28" i="37" s="1"/>
  <c r="D76" i="37"/>
  <c r="AC29" i="37"/>
  <c r="AD29" i="37" s="1"/>
  <c r="O58" i="37"/>
  <c r="P58" i="37"/>
  <c r="I74" i="37"/>
  <c r="AD27" i="37"/>
  <c r="H78" i="37"/>
  <c r="J69" i="37"/>
  <c r="I76" i="37"/>
  <c r="J71" i="37"/>
  <c r="H32" i="37" s="1"/>
  <c r="I32" i="37" s="1"/>
  <c r="K12" i="37" s="1"/>
  <c r="D78" i="37"/>
  <c r="G78" i="37"/>
  <c r="I78" i="37"/>
  <c r="D74" i="37"/>
  <c r="X37" i="37"/>
  <c r="AD37" i="37" s="1"/>
  <c r="AE37" i="37" s="1"/>
  <c r="AE32" i="37"/>
  <c r="AD32" i="37"/>
  <c r="I21" i="37"/>
  <c r="O41" i="24" s="1"/>
  <c r="J5" i="37"/>
  <c r="G37" i="37"/>
  <c r="J65" i="37"/>
  <c r="H27" i="37" s="1"/>
  <c r="I27" i="37" s="1"/>
  <c r="J63" i="37"/>
  <c r="H25" i="37" s="1"/>
  <c r="I25" i="37" s="1"/>
  <c r="AD30" i="37"/>
  <c r="AE30" i="37"/>
  <c r="G74" i="37"/>
  <c r="J68" i="37"/>
  <c r="H30" i="37" s="1"/>
  <c r="I30" i="37" s="1"/>
  <c r="K9" i="37" s="1"/>
  <c r="J9" i="37"/>
  <c r="AD31" i="37"/>
  <c r="AE31" i="37"/>
  <c r="J70" i="37"/>
  <c r="H31" i="37" s="1"/>
  <c r="I31" i="37" s="1"/>
  <c r="K11" i="37" s="1"/>
  <c r="C78" i="37"/>
  <c r="J64" i="37"/>
  <c r="AC25" i="37"/>
  <c r="X24" i="37"/>
  <c r="S33" i="37"/>
  <c r="J73" i="37"/>
  <c r="H76" i="37"/>
  <c r="H74" i="37"/>
  <c r="J3" i="37"/>
  <c r="I19" i="37"/>
  <c r="I17" i="37"/>
  <c r="J72" i="37"/>
  <c r="H33" i="37" s="1"/>
  <c r="I33" i="37" s="1"/>
  <c r="K13" i="37" s="1"/>
  <c r="J66" i="37"/>
  <c r="H28" i="37" s="1"/>
  <c r="I28" i="37" s="1"/>
  <c r="C76" i="37"/>
  <c r="C74" i="37"/>
  <c r="J62" i="37"/>
  <c r="J67" i="37"/>
  <c r="H29" i="37" s="1"/>
  <c r="I29" i="37" s="1"/>
  <c r="AB24" i="37"/>
  <c r="AB33" i="37" s="1"/>
  <c r="Z33" i="37"/>
  <c r="F76" i="37"/>
  <c r="F74" i="37"/>
  <c r="AD26" i="37"/>
  <c r="AE26" i="37"/>
  <c r="AE28" i="37" l="1"/>
  <c r="AE29" i="37"/>
  <c r="O70" i="24"/>
  <c r="J76" i="37"/>
  <c r="J74" i="37"/>
  <c r="H24" i="37"/>
  <c r="AC24" i="37"/>
  <c r="X36" i="37"/>
  <c r="X33" i="37"/>
  <c r="H26" i="37"/>
  <c r="J78" i="37"/>
  <c r="AD25" i="37"/>
  <c r="AE25" i="37"/>
  <c r="AE24" i="37" l="1"/>
  <c r="AC33" i="37"/>
  <c r="AE33" i="37" s="1"/>
  <c r="AD24" i="37"/>
  <c r="AD33" i="37" s="1"/>
  <c r="H41" i="37"/>
  <c r="I26" i="37"/>
  <c r="I41" i="37" s="1"/>
  <c r="O39" i="24" s="1"/>
  <c r="H39" i="37"/>
  <c r="H37" i="37"/>
  <c r="I24" i="37"/>
  <c r="AD36" i="37"/>
  <c r="AE36" i="37" s="1"/>
  <c r="O63" i="24"/>
  <c r="O50" i="35"/>
  <c r="N46" i="35"/>
  <c r="P46" i="35" s="1"/>
  <c r="Q46" i="35" s="1"/>
  <c r="N47" i="35"/>
  <c r="P47" i="35" s="1"/>
  <c r="Q47" i="35" s="1"/>
  <c r="N48" i="35"/>
  <c r="P48" i="35" s="1"/>
  <c r="Q48" i="35" s="1"/>
  <c r="N49" i="35"/>
  <c r="P49" i="35" s="1"/>
  <c r="Q49" i="35" s="1"/>
  <c r="N50" i="35"/>
  <c r="P50" i="35" s="1"/>
  <c r="Q50" i="35" s="1"/>
  <c r="N51" i="35"/>
  <c r="D84" i="35" s="1"/>
  <c r="N52" i="35"/>
  <c r="P52" i="35" s="1"/>
  <c r="N53" i="35"/>
  <c r="P53" i="35" s="1"/>
  <c r="N54" i="35"/>
  <c r="P54" i="35" s="1"/>
  <c r="Q54" i="35" s="1"/>
  <c r="N55" i="35"/>
  <c r="P55" i="35" s="1"/>
  <c r="Q55" i="35" s="1"/>
  <c r="N56" i="35"/>
  <c r="P56" i="35" s="1"/>
  <c r="Q56" i="35" s="1"/>
  <c r="N57" i="35"/>
  <c r="P57" i="35" s="1"/>
  <c r="Q57" i="35" s="1"/>
  <c r="N45" i="35"/>
  <c r="P45" i="35" s="1"/>
  <c r="M46" i="35"/>
  <c r="O46" i="35" s="1"/>
  <c r="M47" i="35"/>
  <c r="O47" i="35" s="1"/>
  <c r="M48" i="35"/>
  <c r="O48" i="35" s="1"/>
  <c r="M49" i="35"/>
  <c r="O49" i="35" s="1"/>
  <c r="M50" i="35"/>
  <c r="M51" i="35"/>
  <c r="O51" i="35" s="1"/>
  <c r="M52" i="35"/>
  <c r="O52" i="35" s="1"/>
  <c r="M53" i="35"/>
  <c r="O53" i="35" s="1"/>
  <c r="M54" i="35"/>
  <c r="O54" i="35" s="1"/>
  <c r="M55" i="35"/>
  <c r="O55" i="35" s="1"/>
  <c r="M56" i="35"/>
  <c r="O56" i="35" s="1"/>
  <c r="M57" i="35"/>
  <c r="O57" i="35" s="1"/>
  <c r="M45" i="35"/>
  <c r="O45" i="35" s="1"/>
  <c r="E63" i="35"/>
  <c r="E64" i="35"/>
  <c r="E65" i="35"/>
  <c r="E66" i="35"/>
  <c r="E67" i="35"/>
  <c r="E69" i="35"/>
  <c r="E70" i="35"/>
  <c r="E71" i="35"/>
  <c r="E72" i="35"/>
  <c r="D30" i="35"/>
  <c r="G9" i="35"/>
  <c r="P51" i="35" s="1"/>
  <c r="Q51" i="35" s="1"/>
  <c r="E9" i="35"/>
  <c r="Q45" i="35" l="1"/>
  <c r="P58" i="35"/>
  <c r="O58" i="35"/>
  <c r="Q53" i="35"/>
  <c r="Q52" i="35"/>
  <c r="Q58" i="35" s="1"/>
  <c r="E68" i="35"/>
  <c r="I39" i="37"/>
  <c r="I37" i="37"/>
  <c r="E73" i="35" l="1"/>
  <c r="E62" i="35"/>
  <c r="C85" i="35" l="1"/>
  <c r="B85" i="35"/>
  <c r="E84" i="35"/>
  <c r="E85" i="35" s="1"/>
  <c r="D85" i="35"/>
  <c r="F41" i="35"/>
  <c r="E41" i="35"/>
  <c r="D41" i="35"/>
  <c r="C41" i="35"/>
  <c r="F39" i="35"/>
  <c r="E39" i="35"/>
  <c r="D39" i="35"/>
  <c r="C39" i="35"/>
  <c r="F37" i="35"/>
  <c r="E37" i="35"/>
  <c r="C37" i="35"/>
  <c r="G34" i="35"/>
  <c r="I34" i="35" s="1"/>
  <c r="O33" i="35"/>
  <c r="G33" i="35"/>
  <c r="AA32" i="35"/>
  <c r="T32" i="35"/>
  <c r="V32" i="35" s="1"/>
  <c r="Q32" i="35"/>
  <c r="S32" i="35" s="1"/>
  <c r="P32" i="35"/>
  <c r="G32" i="35"/>
  <c r="AA31" i="35"/>
  <c r="T31" i="35"/>
  <c r="V31" i="35" s="1"/>
  <c r="Q31" i="35"/>
  <c r="S31" i="35" s="1"/>
  <c r="P31" i="35"/>
  <c r="G31" i="35"/>
  <c r="AA30" i="35"/>
  <c r="T30" i="35"/>
  <c r="V30" i="35" s="1"/>
  <c r="Q30" i="35"/>
  <c r="S30" i="35" s="1"/>
  <c r="P30" i="35"/>
  <c r="D37" i="35"/>
  <c r="AA29" i="35"/>
  <c r="T29" i="35"/>
  <c r="V29" i="35" s="1"/>
  <c r="Q29" i="35"/>
  <c r="S29" i="35" s="1"/>
  <c r="P29" i="35"/>
  <c r="G29" i="35"/>
  <c r="AA28" i="35"/>
  <c r="T28" i="35"/>
  <c r="V28" i="35" s="1"/>
  <c r="Q28" i="35"/>
  <c r="P28" i="35"/>
  <c r="G28" i="35"/>
  <c r="AA27" i="35"/>
  <c r="T27" i="35"/>
  <c r="V27" i="35" s="1"/>
  <c r="Q27" i="35"/>
  <c r="S27" i="35" s="1"/>
  <c r="P27" i="35"/>
  <c r="G27" i="35"/>
  <c r="AA26" i="35"/>
  <c r="T26" i="35"/>
  <c r="V26" i="35" s="1"/>
  <c r="Q26" i="35"/>
  <c r="S26" i="35" s="1"/>
  <c r="P26" i="35"/>
  <c r="G26" i="35"/>
  <c r="AA25" i="35"/>
  <c r="T25" i="35"/>
  <c r="V25" i="35" s="1"/>
  <c r="Q25" i="35"/>
  <c r="S25" i="35" s="1"/>
  <c r="P25" i="35"/>
  <c r="G25" i="35"/>
  <c r="AA24" i="35"/>
  <c r="T24" i="35"/>
  <c r="V24" i="35" s="1"/>
  <c r="Q24" i="35"/>
  <c r="P24" i="35"/>
  <c r="G24" i="35"/>
  <c r="AD23" i="35"/>
  <c r="AA23" i="35"/>
  <c r="Z23" i="35"/>
  <c r="X23" i="35"/>
  <c r="V23" i="35"/>
  <c r="T23" i="35"/>
  <c r="Q23" i="35"/>
  <c r="P23" i="35"/>
  <c r="O23" i="35"/>
  <c r="G21" i="35"/>
  <c r="F21" i="35"/>
  <c r="E21" i="35"/>
  <c r="C21" i="35"/>
  <c r="G19" i="35"/>
  <c r="F19" i="35"/>
  <c r="E19" i="35"/>
  <c r="C19" i="35"/>
  <c r="F17" i="35"/>
  <c r="C17" i="35"/>
  <c r="H16" i="35"/>
  <c r="I16" i="35" s="1"/>
  <c r="H15" i="35"/>
  <c r="I14" i="35"/>
  <c r="J14" i="35" s="1"/>
  <c r="H13" i="35"/>
  <c r="H12" i="35"/>
  <c r="H11" i="35"/>
  <c r="H10" i="35"/>
  <c r="G17" i="35"/>
  <c r="E17" i="35"/>
  <c r="K8" i="35"/>
  <c r="H8" i="35"/>
  <c r="K7" i="35"/>
  <c r="H7" i="35"/>
  <c r="K6" i="35"/>
  <c r="H6" i="35"/>
  <c r="K5" i="35"/>
  <c r="H5" i="35"/>
  <c r="K4" i="35"/>
  <c r="H4" i="35"/>
  <c r="K3" i="35"/>
  <c r="H3" i="35"/>
  <c r="C71" i="35" l="1"/>
  <c r="G71" i="35"/>
  <c r="H71" i="35"/>
  <c r="I71" i="35"/>
  <c r="D71" i="35"/>
  <c r="F71" i="35"/>
  <c r="F72" i="35"/>
  <c r="G72" i="35"/>
  <c r="D72" i="35"/>
  <c r="H72" i="35"/>
  <c r="I72" i="35"/>
  <c r="C72" i="35"/>
  <c r="S14" i="35"/>
  <c r="T14" i="35" s="1"/>
  <c r="T15" i="35" s="1"/>
  <c r="T16" i="35" s="1"/>
  <c r="S13" i="35"/>
  <c r="Q13" i="35"/>
  <c r="G66" i="35"/>
  <c r="F66" i="35"/>
  <c r="H66" i="35"/>
  <c r="I66" i="35"/>
  <c r="D66" i="35"/>
  <c r="G63" i="35"/>
  <c r="H63" i="35"/>
  <c r="I63" i="35"/>
  <c r="D63" i="35"/>
  <c r="F63" i="35"/>
  <c r="F67" i="35"/>
  <c r="G67" i="35"/>
  <c r="H67" i="35"/>
  <c r="I67" i="35"/>
  <c r="D67" i="35"/>
  <c r="H65" i="35"/>
  <c r="I65" i="35"/>
  <c r="F65" i="35"/>
  <c r="D65" i="35"/>
  <c r="G65" i="35"/>
  <c r="F64" i="35"/>
  <c r="G64" i="35"/>
  <c r="D64" i="35"/>
  <c r="H64" i="35"/>
  <c r="I64" i="35"/>
  <c r="D69" i="35"/>
  <c r="G69" i="35"/>
  <c r="H69" i="35"/>
  <c r="I69" i="35"/>
  <c r="F69" i="35"/>
  <c r="C69" i="35"/>
  <c r="J69" i="35" s="1"/>
  <c r="I70" i="35"/>
  <c r="J70" i="35" s="1"/>
  <c r="D70" i="35"/>
  <c r="G70" i="35"/>
  <c r="F70" i="35"/>
  <c r="H70" i="35"/>
  <c r="C70" i="35"/>
  <c r="F62" i="35"/>
  <c r="H62" i="35"/>
  <c r="Z30" i="35"/>
  <c r="AB30" i="35" s="1"/>
  <c r="G30" i="35"/>
  <c r="G37" i="35" s="1"/>
  <c r="Q33" i="35"/>
  <c r="Z25" i="35"/>
  <c r="AB25" i="35" s="1"/>
  <c r="K14" i="35"/>
  <c r="Z29" i="35"/>
  <c r="AB29" i="35" s="1"/>
  <c r="H9" i="35"/>
  <c r="H17" i="35" s="1"/>
  <c r="Z32" i="35"/>
  <c r="AB32" i="35" s="1"/>
  <c r="G73" i="35"/>
  <c r="F73" i="35"/>
  <c r="X25" i="35"/>
  <c r="C73" i="35"/>
  <c r="G41" i="35"/>
  <c r="G39" i="35"/>
  <c r="I13" i="35"/>
  <c r="J13" i="35" s="1"/>
  <c r="I12" i="35"/>
  <c r="J12" i="35" s="1"/>
  <c r="Z27" i="35"/>
  <c r="AB27" i="35" s="1"/>
  <c r="X26" i="35"/>
  <c r="AA36" i="35"/>
  <c r="AC36" i="35" s="1"/>
  <c r="I11" i="35"/>
  <c r="J11" i="35" s="1"/>
  <c r="X27" i="35"/>
  <c r="X31" i="35"/>
  <c r="G62" i="35"/>
  <c r="C65" i="35"/>
  <c r="C62" i="35"/>
  <c r="C66" i="35"/>
  <c r="I3" i="35"/>
  <c r="I5" i="35"/>
  <c r="I6" i="35"/>
  <c r="J6" i="35" s="1"/>
  <c r="I8" i="35"/>
  <c r="J8" i="35" s="1"/>
  <c r="Z26" i="35"/>
  <c r="AB26" i="35" s="1"/>
  <c r="X32" i="35"/>
  <c r="C64" i="35"/>
  <c r="I4" i="35"/>
  <c r="J4" i="35" s="1"/>
  <c r="I7" i="35"/>
  <c r="J7" i="35" s="1"/>
  <c r="T33" i="35"/>
  <c r="Z28" i="35"/>
  <c r="AB28" i="35" s="1"/>
  <c r="Z31" i="35"/>
  <c r="AB31" i="35" s="1"/>
  <c r="C63" i="35"/>
  <c r="C67" i="35"/>
  <c r="V33" i="35"/>
  <c r="X29" i="35"/>
  <c r="X30" i="35"/>
  <c r="P33" i="35"/>
  <c r="H21" i="35"/>
  <c r="S24" i="35"/>
  <c r="X24" i="35" s="1"/>
  <c r="Z24" i="35"/>
  <c r="AB24" i="35" s="1"/>
  <c r="S28" i="35"/>
  <c r="X28" i="35" s="1"/>
  <c r="D62" i="35"/>
  <c r="D73" i="35"/>
  <c r="I73" i="35"/>
  <c r="I10" i="35"/>
  <c r="I15" i="35"/>
  <c r="AA37" i="35"/>
  <c r="AC37" i="35" s="1"/>
  <c r="I62" i="35"/>
  <c r="H19" i="35"/>
  <c r="D83" i="34"/>
  <c r="G68" i="35" l="1"/>
  <c r="D68" i="35"/>
  <c r="H68" i="35"/>
  <c r="H74" i="35" s="1"/>
  <c r="I68" i="35"/>
  <c r="I74" i="35" s="1"/>
  <c r="F68" i="35"/>
  <c r="C68" i="35"/>
  <c r="AC24" i="35"/>
  <c r="AD24" i="35" s="1"/>
  <c r="F78" i="35"/>
  <c r="J62" i="35"/>
  <c r="AC25" i="35"/>
  <c r="AD25" i="35" s="1"/>
  <c r="H76" i="35"/>
  <c r="AC32" i="35"/>
  <c r="H78" i="35"/>
  <c r="I9" i="35"/>
  <c r="I17" i="35" s="1"/>
  <c r="C76" i="35"/>
  <c r="G74" i="35"/>
  <c r="AC31" i="35"/>
  <c r="AD31" i="35" s="1"/>
  <c r="F76" i="35"/>
  <c r="AC30" i="35"/>
  <c r="AD30" i="35" s="1"/>
  <c r="AC26" i="35"/>
  <c r="AC29" i="35"/>
  <c r="AD29" i="35" s="1"/>
  <c r="H31" i="35"/>
  <c r="I31" i="35" s="1"/>
  <c r="K11" i="35" s="1"/>
  <c r="F74" i="35"/>
  <c r="J73" i="35"/>
  <c r="AC28" i="35"/>
  <c r="AD28" i="35" s="1"/>
  <c r="AC27" i="35"/>
  <c r="AD27" i="35" s="1"/>
  <c r="C78" i="35"/>
  <c r="G76" i="35"/>
  <c r="D78" i="35"/>
  <c r="I21" i="35"/>
  <c r="J5" i="35"/>
  <c r="J65" i="35"/>
  <c r="H27" i="35" s="1"/>
  <c r="I27" i="35" s="1"/>
  <c r="J63" i="35"/>
  <c r="H25" i="35" s="1"/>
  <c r="I25" i="35" s="1"/>
  <c r="J72" i="35"/>
  <c r="H33" i="35" s="1"/>
  <c r="I33" i="35" s="1"/>
  <c r="K13" i="35" s="1"/>
  <c r="J67" i="35"/>
  <c r="H29" i="35" s="1"/>
  <c r="I29" i="35" s="1"/>
  <c r="G78" i="35"/>
  <c r="I19" i="35"/>
  <c r="J3" i="35"/>
  <c r="J71" i="35"/>
  <c r="H32" i="35" s="1"/>
  <c r="I32" i="35" s="1"/>
  <c r="K12" i="35" s="1"/>
  <c r="J66" i="35"/>
  <c r="H28" i="35" s="1"/>
  <c r="I28" i="35" s="1"/>
  <c r="X37" i="35"/>
  <c r="S33" i="35"/>
  <c r="I78" i="35"/>
  <c r="I76" i="35"/>
  <c r="D76" i="35"/>
  <c r="D74" i="35"/>
  <c r="AE30" i="35"/>
  <c r="E78" i="35"/>
  <c r="E76" i="35"/>
  <c r="E74" i="35"/>
  <c r="AB33" i="35"/>
  <c r="Z33" i="35"/>
  <c r="J9" i="35"/>
  <c r="J64" i="35"/>
  <c r="J78" i="35" s="1"/>
  <c r="G9" i="34"/>
  <c r="AE26" i="35" l="1"/>
  <c r="AD26" i="35"/>
  <c r="AE32" i="35"/>
  <c r="AD32" i="35"/>
  <c r="AD37" i="35"/>
  <c r="AE37" i="35" s="1"/>
  <c r="N70" i="24"/>
  <c r="H24" i="35"/>
  <c r="H39" i="35" s="1"/>
  <c r="J76" i="35"/>
  <c r="AE25" i="35"/>
  <c r="AE27" i="35"/>
  <c r="J68" i="35"/>
  <c r="H30" i="35" s="1"/>
  <c r="I30" i="35" s="1"/>
  <c r="K9" i="35" s="1"/>
  <c r="AE31" i="35"/>
  <c r="C74" i="35"/>
  <c r="AE28" i="35"/>
  <c r="AE29" i="35"/>
  <c r="H26" i="35"/>
  <c r="X36" i="35"/>
  <c r="X33" i="35"/>
  <c r="H70" i="34"/>
  <c r="H71" i="34"/>
  <c r="H69" i="34"/>
  <c r="H68" i="34"/>
  <c r="H62" i="34"/>
  <c r="D30" i="34"/>
  <c r="E9" i="34"/>
  <c r="AD36" i="35" l="1"/>
  <c r="AE36" i="35" s="1"/>
  <c r="N63" i="24"/>
  <c r="I24" i="35"/>
  <c r="I39" i="35" s="1"/>
  <c r="H37" i="35"/>
  <c r="J74" i="35"/>
  <c r="AC33" i="35"/>
  <c r="AE33" i="35" s="1"/>
  <c r="AE24" i="35"/>
  <c r="AD33" i="35"/>
  <c r="I26" i="35"/>
  <c r="I41" i="35" s="1"/>
  <c r="H41" i="35"/>
  <c r="H63" i="34"/>
  <c r="H64" i="34"/>
  <c r="H65" i="34"/>
  <c r="H66" i="34"/>
  <c r="H67" i="34"/>
  <c r="I37" i="35" l="1"/>
  <c r="C84" i="34"/>
  <c r="B84" i="34"/>
  <c r="E83" i="34"/>
  <c r="E84" i="34" s="1"/>
  <c r="F41" i="34"/>
  <c r="E41" i="34"/>
  <c r="D41" i="34"/>
  <c r="C41" i="34"/>
  <c r="F39" i="34"/>
  <c r="E39" i="34"/>
  <c r="D39" i="34"/>
  <c r="C39" i="34"/>
  <c r="F37" i="34"/>
  <c r="E37" i="34"/>
  <c r="C37" i="34"/>
  <c r="G34" i="34"/>
  <c r="I34" i="34" s="1"/>
  <c r="G33" i="34"/>
  <c r="G32" i="34"/>
  <c r="G31" i="34"/>
  <c r="G30" i="34"/>
  <c r="G29" i="34"/>
  <c r="G28" i="34"/>
  <c r="G27" i="34"/>
  <c r="G26" i="34"/>
  <c r="G25" i="34"/>
  <c r="G24" i="34"/>
  <c r="G21" i="34"/>
  <c r="F21" i="34"/>
  <c r="E21" i="34"/>
  <c r="C21" i="34"/>
  <c r="G19" i="34"/>
  <c r="F19" i="34"/>
  <c r="E19" i="34"/>
  <c r="C19" i="34"/>
  <c r="F17" i="34"/>
  <c r="C17" i="34"/>
  <c r="H16" i="34"/>
  <c r="I16" i="34" s="1"/>
  <c r="H15" i="34"/>
  <c r="G72" i="34" s="1"/>
  <c r="I14" i="34"/>
  <c r="J14" i="34" s="1"/>
  <c r="H13" i="34"/>
  <c r="O33" i="34"/>
  <c r="H12" i="34"/>
  <c r="AA32" i="34"/>
  <c r="T32" i="34"/>
  <c r="V32" i="34" s="1"/>
  <c r="Q32" i="34"/>
  <c r="S32" i="34" s="1"/>
  <c r="P32" i="34"/>
  <c r="H11" i="34"/>
  <c r="AA31" i="34"/>
  <c r="T31" i="34"/>
  <c r="V31" i="34" s="1"/>
  <c r="Q31" i="34"/>
  <c r="S31" i="34" s="1"/>
  <c r="P31" i="34"/>
  <c r="H10" i="34"/>
  <c r="M52" i="34" s="1"/>
  <c r="AA30" i="34"/>
  <c r="T30" i="34"/>
  <c r="V30" i="34" s="1"/>
  <c r="Q30" i="34"/>
  <c r="P30" i="34"/>
  <c r="E17" i="34"/>
  <c r="AA29" i="34"/>
  <c r="T29" i="34"/>
  <c r="V29" i="34" s="1"/>
  <c r="Q29" i="34"/>
  <c r="S29" i="34" s="1"/>
  <c r="P29" i="34"/>
  <c r="K8" i="34"/>
  <c r="H8" i="34"/>
  <c r="AA28" i="34"/>
  <c r="T28" i="34"/>
  <c r="V28" i="34" s="1"/>
  <c r="Q28" i="34"/>
  <c r="S28" i="34" s="1"/>
  <c r="P28" i="34"/>
  <c r="K7" i="34"/>
  <c r="H7" i="34"/>
  <c r="AA27" i="34"/>
  <c r="T27" i="34"/>
  <c r="V27" i="34" s="1"/>
  <c r="Q27" i="34"/>
  <c r="S27" i="34" s="1"/>
  <c r="X27" i="34" s="1"/>
  <c r="P27" i="34"/>
  <c r="K6" i="34"/>
  <c r="H6" i="34"/>
  <c r="M48" i="34" s="1"/>
  <c r="AA26" i="34"/>
  <c r="T26" i="34"/>
  <c r="V26" i="34" s="1"/>
  <c r="Q26" i="34"/>
  <c r="S26" i="34" s="1"/>
  <c r="P26" i="34"/>
  <c r="K5" i="34"/>
  <c r="H5" i="34"/>
  <c r="M47" i="34" s="1"/>
  <c r="AA25" i="34"/>
  <c r="T25" i="34"/>
  <c r="V25" i="34" s="1"/>
  <c r="Q25" i="34"/>
  <c r="S25" i="34" s="1"/>
  <c r="P25" i="34"/>
  <c r="K4" i="34"/>
  <c r="H4" i="34"/>
  <c r="AA24" i="34"/>
  <c r="T24" i="34"/>
  <c r="V24" i="34" s="1"/>
  <c r="Q24" i="34"/>
  <c r="P24" i="34"/>
  <c r="K3" i="34"/>
  <c r="H3" i="34"/>
  <c r="M45" i="34" s="1"/>
  <c r="AD23" i="34"/>
  <c r="AA23" i="34"/>
  <c r="Z23" i="34"/>
  <c r="X23" i="34"/>
  <c r="V23" i="34"/>
  <c r="T23" i="34"/>
  <c r="Q23" i="34"/>
  <c r="P23" i="34"/>
  <c r="O23" i="34"/>
  <c r="G67" i="34" l="1"/>
  <c r="M50" i="34"/>
  <c r="G71" i="34"/>
  <c r="M55" i="34"/>
  <c r="G66" i="34"/>
  <c r="M49" i="34"/>
  <c r="G70" i="34"/>
  <c r="M54" i="34"/>
  <c r="G63" i="34"/>
  <c r="M46" i="34"/>
  <c r="M53" i="34"/>
  <c r="G69" i="34"/>
  <c r="I8" i="34"/>
  <c r="J8" i="34" s="1"/>
  <c r="K14" i="34"/>
  <c r="X32" i="34"/>
  <c r="X26" i="34"/>
  <c r="J65" i="34"/>
  <c r="G65" i="34"/>
  <c r="I7" i="34"/>
  <c r="J7" i="34" s="1"/>
  <c r="I10" i="34"/>
  <c r="G62" i="34"/>
  <c r="J62" i="34"/>
  <c r="I6" i="34"/>
  <c r="J6" i="34" s="1"/>
  <c r="J69" i="34"/>
  <c r="C64" i="34"/>
  <c r="G64" i="34"/>
  <c r="I11" i="34"/>
  <c r="J11" i="34" s="1"/>
  <c r="I5" i="34"/>
  <c r="J5" i="34" s="1"/>
  <c r="Z29" i="34"/>
  <c r="AB29" i="34" s="1"/>
  <c r="Z31" i="34"/>
  <c r="AB31" i="34" s="1"/>
  <c r="D64" i="34"/>
  <c r="E67" i="34"/>
  <c r="E71" i="34"/>
  <c r="Z28" i="34"/>
  <c r="AB28" i="34" s="1"/>
  <c r="X29" i="34"/>
  <c r="AC29" i="34" s="1"/>
  <c r="AD29" i="34" s="1"/>
  <c r="X31" i="34"/>
  <c r="G41" i="34"/>
  <c r="F66" i="34"/>
  <c r="F70" i="34"/>
  <c r="T33" i="34"/>
  <c r="X28" i="34"/>
  <c r="Z32" i="34"/>
  <c r="AB32" i="34" s="1"/>
  <c r="C65" i="34"/>
  <c r="J66" i="34"/>
  <c r="C69" i="34"/>
  <c r="J70" i="34"/>
  <c r="X25" i="34"/>
  <c r="Z25" i="34"/>
  <c r="AB25" i="34" s="1"/>
  <c r="Z26" i="34"/>
  <c r="AB26" i="34" s="1"/>
  <c r="E62" i="34"/>
  <c r="D62" i="34"/>
  <c r="C62" i="34"/>
  <c r="AA36" i="34"/>
  <c r="AC36" i="34" s="1"/>
  <c r="P33" i="34"/>
  <c r="V33" i="34"/>
  <c r="D63" i="34"/>
  <c r="C63" i="34"/>
  <c r="J63" i="34"/>
  <c r="F63" i="34"/>
  <c r="Z30" i="34"/>
  <c r="AB30" i="34" s="1"/>
  <c r="S30" i="34"/>
  <c r="X30" i="34" s="1"/>
  <c r="H19" i="34"/>
  <c r="E63" i="34"/>
  <c r="I3" i="34"/>
  <c r="Q33" i="34"/>
  <c r="I4" i="34"/>
  <c r="J4" i="34" s="1"/>
  <c r="Z27" i="34"/>
  <c r="AB27" i="34" s="1"/>
  <c r="AC27" i="34" s="1"/>
  <c r="C72" i="34"/>
  <c r="F72" i="34"/>
  <c r="J72" i="34"/>
  <c r="E72" i="34"/>
  <c r="I15" i="34"/>
  <c r="G37" i="34"/>
  <c r="G39" i="34"/>
  <c r="F62" i="34"/>
  <c r="S24" i="34"/>
  <c r="Z24" i="34"/>
  <c r="D72" i="34"/>
  <c r="G17" i="34"/>
  <c r="E64" i="34"/>
  <c r="D65" i="34"/>
  <c r="C66" i="34"/>
  <c r="F67" i="34"/>
  <c r="J67" i="34"/>
  <c r="D69" i="34"/>
  <c r="C70" i="34"/>
  <c r="F71" i="34"/>
  <c r="J71" i="34"/>
  <c r="I12" i="34"/>
  <c r="J12" i="34" s="1"/>
  <c r="I13" i="34"/>
  <c r="J13" i="34" s="1"/>
  <c r="AA37" i="34"/>
  <c r="AC37" i="34" s="1"/>
  <c r="H21" i="34"/>
  <c r="D37" i="34"/>
  <c r="F64" i="34"/>
  <c r="J64" i="34"/>
  <c r="E65" i="34"/>
  <c r="D66" i="34"/>
  <c r="H77" i="34"/>
  <c r="C67" i="34"/>
  <c r="E69" i="34"/>
  <c r="D70" i="34"/>
  <c r="C71" i="34"/>
  <c r="D84" i="34"/>
  <c r="H9" i="34"/>
  <c r="F65" i="34"/>
  <c r="E66" i="34"/>
  <c r="D67" i="34"/>
  <c r="F69" i="34"/>
  <c r="E70" i="34"/>
  <c r="D71" i="34"/>
  <c r="G75" i="34" l="1"/>
  <c r="G68" i="34"/>
  <c r="M51" i="34"/>
  <c r="M58" i="34" s="1"/>
  <c r="G77" i="34"/>
  <c r="AC30" i="34"/>
  <c r="AC26" i="34"/>
  <c r="AD26" i="34" s="1"/>
  <c r="AC32" i="34"/>
  <c r="AD32" i="34" s="1"/>
  <c r="J77" i="34"/>
  <c r="K65" i="34"/>
  <c r="H27" i="34" s="1"/>
  <c r="I27" i="34" s="1"/>
  <c r="G73" i="34"/>
  <c r="AC28" i="34"/>
  <c r="J75" i="34"/>
  <c r="AC31" i="34"/>
  <c r="AD31" i="34" s="1"/>
  <c r="AE29" i="34"/>
  <c r="AE26" i="34"/>
  <c r="C68" i="34"/>
  <c r="J68" i="34"/>
  <c r="F68" i="34"/>
  <c r="F73" i="34" s="1"/>
  <c r="I73" i="34"/>
  <c r="E68" i="34"/>
  <c r="E73" i="34" s="1"/>
  <c r="I9" i="34"/>
  <c r="J9" i="34" s="1"/>
  <c r="D68" i="34"/>
  <c r="D73" i="34" s="1"/>
  <c r="I19" i="34"/>
  <c r="J3" i="34"/>
  <c r="K64" i="34"/>
  <c r="H75" i="34"/>
  <c r="H73" i="34"/>
  <c r="F77" i="34"/>
  <c r="K70" i="34"/>
  <c r="H32" i="34" s="1"/>
  <c r="I32" i="34" s="1"/>
  <c r="K12" i="34" s="1"/>
  <c r="I77" i="34"/>
  <c r="F75" i="34"/>
  <c r="I21" i="34"/>
  <c r="M41" i="24" s="1"/>
  <c r="AE30" i="34"/>
  <c r="AD30" i="34"/>
  <c r="K62" i="34"/>
  <c r="C75" i="34"/>
  <c r="E75" i="34"/>
  <c r="X37" i="34"/>
  <c r="AD37" i="34" s="1"/>
  <c r="AE37" i="34" s="1"/>
  <c r="K71" i="34"/>
  <c r="H33" i="34" s="1"/>
  <c r="I33" i="34" s="1"/>
  <c r="K13" i="34" s="1"/>
  <c r="K66" i="34"/>
  <c r="H28" i="34" s="1"/>
  <c r="I28" i="34" s="1"/>
  <c r="E77" i="34"/>
  <c r="Z33" i="34"/>
  <c r="AB24" i="34"/>
  <c r="AB33" i="34" s="1"/>
  <c r="K72" i="34"/>
  <c r="H17" i="34"/>
  <c r="I75" i="34"/>
  <c r="AD27" i="34"/>
  <c r="AE27" i="34"/>
  <c r="J73" i="34"/>
  <c r="K67" i="34"/>
  <c r="H29" i="34" s="1"/>
  <c r="I29" i="34" s="1"/>
  <c r="K69" i="34"/>
  <c r="H31" i="34" s="1"/>
  <c r="I31" i="34" s="1"/>
  <c r="K11" i="34" s="1"/>
  <c r="X24" i="34"/>
  <c r="S33" i="34"/>
  <c r="C77" i="34"/>
  <c r="K63" i="34"/>
  <c r="H25" i="34" s="1"/>
  <c r="I25" i="34" s="1"/>
  <c r="D75" i="34"/>
  <c r="D77" i="34"/>
  <c r="AC25" i="34"/>
  <c r="O56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45" i="33"/>
  <c r="D83" i="33" l="1"/>
  <c r="AE32" i="34"/>
  <c r="AE31" i="34"/>
  <c r="AD28" i="34"/>
  <c r="AE28" i="34"/>
  <c r="X33" i="34"/>
  <c r="X36" i="34"/>
  <c r="AD36" i="34" s="1"/>
  <c r="AE36" i="34" s="1"/>
  <c r="AC24" i="34"/>
  <c r="I17" i="34"/>
  <c r="K68" i="34"/>
  <c r="H30" i="34" s="1"/>
  <c r="I30" i="34" s="1"/>
  <c r="K9" i="34" s="1"/>
  <c r="AD25" i="34"/>
  <c r="AE25" i="34"/>
  <c r="H24" i="34"/>
  <c r="K75" i="34"/>
  <c r="H26" i="34"/>
  <c r="K77" i="34"/>
  <c r="C73" i="34"/>
  <c r="K4" i="33"/>
  <c r="K5" i="33"/>
  <c r="K6" i="33"/>
  <c r="K7" i="33"/>
  <c r="K8" i="33"/>
  <c r="K3" i="33"/>
  <c r="K73" i="34" l="1"/>
  <c r="H41" i="34"/>
  <c r="I26" i="34"/>
  <c r="I41" i="34" s="1"/>
  <c r="AC33" i="34"/>
  <c r="AE33" i="34" s="1"/>
  <c r="AD24" i="34"/>
  <c r="AD33" i="34" s="1"/>
  <c r="AE24" i="34"/>
  <c r="H37" i="34"/>
  <c r="H39" i="34"/>
  <c r="I24" i="34"/>
  <c r="E83" i="33"/>
  <c r="D30" i="33"/>
  <c r="G9" i="33"/>
  <c r="E9" i="33"/>
  <c r="I37" i="34" l="1"/>
  <c r="I39" i="34"/>
  <c r="G72" i="33"/>
  <c r="G71" i="33"/>
  <c r="G70" i="33"/>
  <c r="G69" i="33"/>
  <c r="G68" i="33"/>
  <c r="G63" i="33"/>
  <c r="G64" i="33"/>
  <c r="G65" i="33"/>
  <c r="G66" i="33"/>
  <c r="G67" i="33"/>
  <c r="G62" i="33"/>
  <c r="L48" i="24" l="1"/>
  <c r="C84" i="33"/>
  <c r="B84" i="33"/>
  <c r="E84" i="33"/>
  <c r="F41" i="33"/>
  <c r="E41" i="33"/>
  <c r="D41" i="33"/>
  <c r="C41" i="33"/>
  <c r="E39" i="33"/>
  <c r="D39" i="33"/>
  <c r="C39" i="33"/>
  <c r="E37" i="33"/>
  <c r="D37" i="33"/>
  <c r="C37" i="33"/>
  <c r="G34" i="33"/>
  <c r="I34" i="33" s="1"/>
  <c r="K14" i="33" s="1"/>
  <c r="G33" i="33"/>
  <c r="G32" i="33"/>
  <c r="G31" i="33"/>
  <c r="G30" i="33"/>
  <c r="G29" i="33"/>
  <c r="G28" i="33"/>
  <c r="G27" i="33"/>
  <c r="G26" i="33"/>
  <c r="G25" i="33"/>
  <c r="F39" i="33"/>
  <c r="G21" i="33"/>
  <c r="F21" i="33"/>
  <c r="E21" i="33"/>
  <c r="C21" i="33"/>
  <c r="F19" i="33"/>
  <c r="E19" i="33"/>
  <c r="C19" i="33"/>
  <c r="C17" i="33"/>
  <c r="H16" i="33"/>
  <c r="H15" i="33"/>
  <c r="I14" i="33"/>
  <c r="J14" i="33" s="1"/>
  <c r="H13" i="33"/>
  <c r="O12" i="33"/>
  <c r="H12" i="33"/>
  <c r="AA11" i="33"/>
  <c r="T11" i="33"/>
  <c r="V11" i="33" s="1"/>
  <c r="Q11" i="33"/>
  <c r="S11" i="33" s="1"/>
  <c r="P11" i="33"/>
  <c r="H11" i="33"/>
  <c r="AA10" i="33"/>
  <c r="T10" i="33"/>
  <c r="V10" i="33" s="1"/>
  <c r="Q10" i="33"/>
  <c r="S10" i="33" s="1"/>
  <c r="P10" i="33"/>
  <c r="H10" i="33"/>
  <c r="AA9" i="33"/>
  <c r="T9" i="33"/>
  <c r="V9" i="33" s="1"/>
  <c r="Q9" i="33"/>
  <c r="S9" i="33" s="1"/>
  <c r="P9" i="33"/>
  <c r="E17" i="33"/>
  <c r="AA8" i="33"/>
  <c r="T8" i="33"/>
  <c r="V8" i="33" s="1"/>
  <c r="Q8" i="33"/>
  <c r="S8" i="33" s="1"/>
  <c r="P8" i="33"/>
  <c r="H8" i="33"/>
  <c r="AA7" i="33"/>
  <c r="T7" i="33"/>
  <c r="V7" i="33" s="1"/>
  <c r="Q7" i="33"/>
  <c r="S7" i="33" s="1"/>
  <c r="P7" i="33"/>
  <c r="H7" i="33"/>
  <c r="AA6" i="33"/>
  <c r="T6" i="33"/>
  <c r="V6" i="33" s="1"/>
  <c r="Q6" i="33"/>
  <c r="S6" i="33" s="1"/>
  <c r="P6" i="33"/>
  <c r="H6" i="33"/>
  <c r="AA5" i="33"/>
  <c r="T5" i="33"/>
  <c r="V5" i="33" s="1"/>
  <c r="Q5" i="33"/>
  <c r="S5" i="33" s="1"/>
  <c r="P5" i="33"/>
  <c r="H5" i="33"/>
  <c r="AA4" i="33"/>
  <c r="T4" i="33"/>
  <c r="V4" i="33" s="1"/>
  <c r="Q4" i="33"/>
  <c r="S4" i="33" s="1"/>
  <c r="P4" i="33"/>
  <c r="H4" i="33"/>
  <c r="AA3" i="33"/>
  <c r="T3" i="33"/>
  <c r="P3" i="33"/>
  <c r="H3" i="33"/>
  <c r="AD2" i="33"/>
  <c r="AA2" i="33"/>
  <c r="Z2" i="33"/>
  <c r="X2" i="33"/>
  <c r="V2" i="33"/>
  <c r="T2" i="33"/>
  <c r="Q2" i="33"/>
  <c r="P2" i="33"/>
  <c r="O2" i="33"/>
  <c r="H63" i="33" l="1"/>
  <c r="O46" i="33"/>
  <c r="Z4" i="33"/>
  <c r="AB4" i="33" s="1"/>
  <c r="J65" i="33"/>
  <c r="O48" i="33"/>
  <c r="H71" i="33"/>
  <c r="O55" i="33"/>
  <c r="C70" i="33"/>
  <c r="O54" i="33"/>
  <c r="J69" i="33"/>
  <c r="O53" i="33"/>
  <c r="E69" i="33"/>
  <c r="H67" i="33"/>
  <c r="O50" i="33"/>
  <c r="O57" i="33"/>
  <c r="F72" i="33"/>
  <c r="I3" i="33"/>
  <c r="J3" i="33" s="1"/>
  <c r="O45" i="33"/>
  <c r="E64" i="33"/>
  <c r="O47" i="33"/>
  <c r="I10" i="33"/>
  <c r="O52" i="33"/>
  <c r="X5" i="33"/>
  <c r="C66" i="33"/>
  <c r="O49" i="33"/>
  <c r="E72" i="33"/>
  <c r="X6" i="33"/>
  <c r="H69" i="33"/>
  <c r="G17" i="33"/>
  <c r="X4" i="33"/>
  <c r="I11" i="33"/>
  <c r="J11" i="33" s="1"/>
  <c r="G19" i="33"/>
  <c r="F71" i="33"/>
  <c r="I13" i="33"/>
  <c r="J13" i="33" s="1"/>
  <c r="C71" i="33"/>
  <c r="F67" i="33"/>
  <c r="Z6" i="33"/>
  <c r="AB6" i="33" s="1"/>
  <c r="J63" i="33"/>
  <c r="H62" i="33"/>
  <c r="H75" i="33" s="1"/>
  <c r="H65" i="33"/>
  <c r="Z5" i="33"/>
  <c r="AB5" i="33" s="1"/>
  <c r="X7" i="33"/>
  <c r="C63" i="33"/>
  <c r="F64" i="33"/>
  <c r="I65" i="33"/>
  <c r="J67" i="33"/>
  <c r="I69" i="33"/>
  <c r="E65" i="33"/>
  <c r="X8" i="33"/>
  <c r="X10" i="33"/>
  <c r="F63" i="33"/>
  <c r="D65" i="33"/>
  <c r="C67" i="33"/>
  <c r="D69" i="33"/>
  <c r="J71" i="33"/>
  <c r="F17" i="33"/>
  <c r="H9" i="33"/>
  <c r="I62" i="33"/>
  <c r="E62" i="33"/>
  <c r="H19" i="33"/>
  <c r="J62" i="33"/>
  <c r="F62" i="33"/>
  <c r="V3" i="33"/>
  <c r="V12" i="33" s="1"/>
  <c r="T12" i="33"/>
  <c r="Z8" i="33"/>
  <c r="AB8" i="33" s="1"/>
  <c r="Z9" i="33"/>
  <c r="AB9" i="33" s="1"/>
  <c r="X11" i="33"/>
  <c r="P12" i="33"/>
  <c r="H21" i="33"/>
  <c r="D84" i="33"/>
  <c r="I66" i="33"/>
  <c r="E66" i="33"/>
  <c r="H66" i="33"/>
  <c r="D66" i="33"/>
  <c r="J66" i="33"/>
  <c r="F66" i="33"/>
  <c r="X9" i="33"/>
  <c r="AC9" i="33" s="1"/>
  <c r="Z10" i="33"/>
  <c r="AB10" i="33" s="1"/>
  <c r="I16" i="33"/>
  <c r="J72" i="33"/>
  <c r="C64" i="33"/>
  <c r="H64" i="33"/>
  <c r="D64" i="33"/>
  <c r="I7" i="33"/>
  <c r="J7" i="33" s="1"/>
  <c r="I70" i="33"/>
  <c r="E70" i="33"/>
  <c r="I12" i="33"/>
  <c r="J12" i="33" s="1"/>
  <c r="D70" i="33"/>
  <c r="J70" i="33"/>
  <c r="F70" i="33"/>
  <c r="H70" i="33"/>
  <c r="AA16" i="33"/>
  <c r="AC16" i="33" s="1"/>
  <c r="C62" i="33"/>
  <c r="I64" i="33"/>
  <c r="I5" i="33"/>
  <c r="J5" i="33" s="1"/>
  <c r="Z7" i="33"/>
  <c r="AB7" i="33" s="1"/>
  <c r="Z11" i="33"/>
  <c r="AB11" i="33" s="1"/>
  <c r="G41" i="33"/>
  <c r="D62" i="33"/>
  <c r="J64" i="33"/>
  <c r="Q3" i="33"/>
  <c r="I4" i="33"/>
  <c r="I6" i="33"/>
  <c r="J6" i="33" s="1"/>
  <c r="I8" i="33"/>
  <c r="J8" i="33" s="1"/>
  <c r="I15" i="33"/>
  <c r="G24" i="33"/>
  <c r="F37" i="33"/>
  <c r="E63" i="33"/>
  <c r="I63" i="33"/>
  <c r="C65" i="33"/>
  <c r="E67" i="33"/>
  <c r="I67" i="33"/>
  <c r="C69" i="33"/>
  <c r="E71" i="33"/>
  <c r="I71" i="33"/>
  <c r="D72" i="33"/>
  <c r="I72" i="33"/>
  <c r="D63" i="33"/>
  <c r="F65" i="33"/>
  <c r="D67" i="33"/>
  <c r="F69" i="33"/>
  <c r="D71" i="33"/>
  <c r="C72" i="33"/>
  <c r="F24" i="32"/>
  <c r="G3" i="32"/>
  <c r="I19" i="33" l="1"/>
  <c r="J4" i="33"/>
  <c r="AC4" i="33"/>
  <c r="AE4" i="33" s="1"/>
  <c r="AC6" i="33"/>
  <c r="F68" i="33"/>
  <c r="O51" i="33"/>
  <c r="AC5" i="33"/>
  <c r="AE5" i="33" s="1"/>
  <c r="K71" i="33"/>
  <c r="H33" i="33" s="1"/>
  <c r="I33" i="33" s="1"/>
  <c r="K13" i="33" s="1"/>
  <c r="AC7" i="33"/>
  <c r="AE7" i="33" s="1"/>
  <c r="AC10" i="33"/>
  <c r="AE10" i="33" s="1"/>
  <c r="K70" i="33"/>
  <c r="H32" i="33" s="1"/>
  <c r="I32" i="33" s="1"/>
  <c r="K12" i="33" s="1"/>
  <c r="AC8" i="33"/>
  <c r="AE8" i="33" s="1"/>
  <c r="J77" i="33"/>
  <c r="E77" i="33"/>
  <c r="K67" i="33"/>
  <c r="H29" i="33" s="1"/>
  <c r="I29" i="33" s="1"/>
  <c r="K69" i="33"/>
  <c r="H31" i="33" s="1"/>
  <c r="I31" i="33" s="1"/>
  <c r="K11" i="33" s="1"/>
  <c r="K65" i="33"/>
  <c r="H27" i="33" s="1"/>
  <c r="I27" i="33" s="1"/>
  <c r="I21" i="33"/>
  <c r="AD4" i="33"/>
  <c r="F77" i="33"/>
  <c r="K63" i="33"/>
  <c r="H25" i="33" s="1"/>
  <c r="I25" i="33" s="1"/>
  <c r="K66" i="33"/>
  <c r="H28" i="33" s="1"/>
  <c r="I28" i="33" s="1"/>
  <c r="AD8" i="33"/>
  <c r="D75" i="33"/>
  <c r="G75" i="33"/>
  <c r="C75" i="33"/>
  <c r="K62" i="33"/>
  <c r="H77" i="33"/>
  <c r="E75" i="33"/>
  <c r="G39" i="33"/>
  <c r="G37" i="33"/>
  <c r="K64" i="33"/>
  <c r="C77" i="33"/>
  <c r="AD9" i="33"/>
  <c r="AE9" i="33"/>
  <c r="F75" i="33"/>
  <c r="I75" i="33"/>
  <c r="K72" i="33"/>
  <c r="S3" i="33"/>
  <c r="Z3" i="33"/>
  <c r="Q12" i="33"/>
  <c r="AA15" i="33"/>
  <c r="AC15" i="33" s="1"/>
  <c r="X16" i="33"/>
  <c r="AD16" i="33" s="1"/>
  <c r="AE16" i="33" s="1"/>
  <c r="G77" i="33"/>
  <c r="J75" i="33"/>
  <c r="G73" i="33"/>
  <c r="C68" i="33"/>
  <c r="H68" i="33"/>
  <c r="H73" i="33" s="1"/>
  <c r="D68" i="33"/>
  <c r="D73" i="33" s="1"/>
  <c r="J68" i="33"/>
  <c r="J73" i="33" s="1"/>
  <c r="F73" i="33"/>
  <c r="E68" i="33"/>
  <c r="E73" i="33" s="1"/>
  <c r="I68" i="33"/>
  <c r="I73" i="33" s="1"/>
  <c r="AD6" i="33"/>
  <c r="AE6" i="33"/>
  <c r="I77" i="33"/>
  <c r="H17" i="33"/>
  <c r="D77" i="33"/>
  <c r="N60" i="33"/>
  <c r="AC11" i="33"/>
  <c r="I9" i="33"/>
  <c r="D30" i="32"/>
  <c r="G9" i="32"/>
  <c r="F9" i="32"/>
  <c r="E9" i="32"/>
  <c r="I17" i="33" l="1"/>
  <c r="J9" i="33"/>
  <c r="AD5" i="33"/>
  <c r="AD10" i="33"/>
  <c r="AD7" i="33"/>
  <c r="AD11" i="33"/>
  <c r="AE11" i="33"/>
  <c r="K68" i="33"/>
  <c r="H30" i="33" s="1"/>
  <c r="I30" i="33" s="1"/>
  <c r="K9" i="33" s="1"/>
  <c r="C73" i="33"/>
  <c r="Z12" i="33"/>
  <c r="AB3" i="33"/>
  <c r="AB12" i="33" s="1"/>
  <c r="S12" i="33"/>
  <c r="X3" i="33"/>
  <c r="K75" i="33"/>
  <c r="H24" i="33"/>
  <c r="H26" i="33"/>
  <c r="K77" i="33"/>
  <c r="M45" i="32"/>
  <c r="H39" i="33" l="1"/>
  <c r="H37" i="33"/>
  <c r="I24" i="33"/>
  <c r="H41" i="33"/>
  <c r="I26" i="33"/>
  <c r="I41" i="33" s="1"/>
  <c r="AC3" i="33"/>
  <c r="X12" i="33"/>
  <c r="X15" i="33"/>
  <c r="AD15" i="33" s="1"/>
  <c r="AE15" i="33" s="1"/>
  <c r="K73" i="33"/>
  <c r="C84" i="32"/>
  <c r="B84" i="32"/>
  <c r="E83" i="32"/>
  <c r="E84" i="32" s="1"/>
  <c r="M57" i="32"/>
  <c r="N57" i="32" s="1"/>
  <c r="M56" i="32"/>
  <c r="N56" i="32" s="1"/>
  <c r="M55" i="32"/>
  <c r="M54" i="32"/>
  <c r="M53" i="32"/>
  <c r="M52" i="32"/>
  <c r="M51" i="32"/>
  <c r="M50" i="32"/>
  <c r="M49" i="32"/>
  <c r="M48" i="32"/>
  <c r="M47" i="32"/>
  <c r="M46" i="32"/>
  <c r="F41" i="32"/>
  <c r="E41" i="32"/>
  <c r="D41" i="32"/>
  <c r="C41" i="32"/>
  <c r="F39" i="32"/>
  <c r="E39" i="32"/>
  <c r="D39" i="32"/>
  <c r="C39" i="32"/>
  <c r="F37" i="32"/>
  <c r="E37" i="32"/>
  <c r="C37" i="32"/>
  <c r="G34" i="32"/>
  <c r="I34" i="32" s="1"/>
  <c r="G33" i="32"/>
  <c r="G32" i="32"/>
  <c r="G31" i="32"/>
  <c r="G30" i="32"/>
  <c r="D37" i="32"/>
  <c r="G29" i="32"/>
  <c r="G28" i="32"/>
  <c r="G27" i="32"/>
  <c r="G26" i="32"/>
  <c r="G25" i="32"/>
  <c r="G24" i="32"/>
  <c r="G21" i="32"/>
  <c r="F21" i="32"/>
  <c r="E21" i="32"/>
  <c r="C21" i="32"/>
  <c r="G19" i="32"/>
  <c r="F19" i="32"/>
  <c r="E19" i="32"/>
  <c r="C19" i="32"/>
  <c r="F17" i="32"/>
  <c r="C17" i="32"/>
  <c r="H16" i="32"/>
  <c r="I16" i="32" s="1"/>
  <c r="H15" i="32"/>
  <c r="J72" i="32" s="1"/>
  <c r="I14" i="32"/>
  <c r="H13" i="32"/>
  <c r="O12" i="32"/>
  <c r="H12" i="32"/>
  <c r="AA11" i="32"/>
  <c r="T11" i="32"/>
  <c r="V11" i="32" s="1"/>
  <c r="Q11" i="32"/>
  <c r="S11" i="32" s="1"/>
  <c r="P11" i="32"/>
  <c r="H11" i="32"/>
  <c r="AA10" i="32"/>
  <c r="T10" i="32"/>
  <c r="V10" i="32" s="1"/>
  <c r="Q10" i="32"/>
  <c r="S10" i="32" s="1"/>
  <c r="P10" i="32"/>
  <c r="H10" i="32"/>
  <c r="I10" i="32" s="1"/>
  <c r="AA9" i="32"/>
  <c r="T9" i="32"/>
  <c r="V9" i="32" s="1"/>
  <c r="X9" i="32" s="1"/>
  <c r="Q9" i="32"/>
  <c r="S9" i="32" s="1"/>
  <c r="P9" i="32"/>
  <c r="AA8" i="32"/>
  <c r="T8" i="32"/>
  <c r="V8" i="32" s="1"/>
  <c r="Q8" i="32"/>
  <c r="S8" i="32" s="1"/>
  <c r="P8" i="32"/>
  <c r="H8" i="32"/>
  <c r="AA7" i="32"/>
  <c r="T7" i="32"/>
  <c r="V7" i="32" s="1"/>
  <c r="Q7" i="32"/>
  <c r="S7" i="32" s="1"/>
  <c r="P7" i="32"/>
  <c r="H7" i="32"/>
  <c r="AA6" i="32"/>
  <c r="T6" i="32"/>
  <c r="V6" i="32" s="1"/>
  <c r="Q6" i="32"/>
  <c r="S6" i="32" s="1"/>
  <c r="P6" i="32"/>
  <c r="H6" i="32"/>
  <c r="N48" i="32" s="1"/>
  <c r="AA5" i="32"/>
  <c r="T5" i="32"/>
  <c r="V5" i="32" s="1"/>
  <c r="Q5" i="32"/>
  <c r="S5" i="32" s="1"/>
  <c r="X5" i="32" s="1"/>
  <c r="P5" i="32"/>
  <c r="H5" i="32"/>
  <c r="AA4" i="32"/>
  <c r="T4" i="32"/>
  <c r="V4" i="32" s="1"/>
  <c r="Q4" i="32"/>
  <c r="S4" i="32" s="1"/>
  <c r="P4" i="32"/>
  <c r="H4" i="32"/>
  <c r="AA3" i="32"/>
  <c r="T3" i="32"/>
  <c r="Q3" i="32"/>
  <c r="S3" i="32" s="1"/>
  <c r="P3" i="32"/>
  <c r="H3" i="32"/>
  <c r="N45" i="32" s="1"/>
  <c r="AD2" i="32"/>
  <c r="AA2" i="32"/>
  <c r="Z2" i="32"/>
  <c r="X2" i="32"/>
  <c r="V2" i="32"/>
  <c r="T2" i="32"/>
  <c r="Q2" i="32"/>
  <c r="P2" i="32"/>
  <c r="O2" i="32"/>
  <c r="I69" i="32" l="1"/>
  <c r="J69" i="32"/>
  <c r="C69" i="32"/>
  <c r="D84" i="32"/>
  <c r="D83" i="32"/>
  <c r="F69" i="32"/>
  <c r="N52" i="32"/>
  <c r="G69" i="32"/>
  <c r="N53" i="32"/>
  <c r="Z9" i="32"/>
  <c r="AB9" i="32" s="1"/>
  <c r="X10" i="32"/>
  <c r="I37" i="33"/>
  <c r="I39" i="33"/>
  <c r="AD3" i="33"/>
  <c r="AD12" i="33" s="1"/>
  <c r="AC12" i="33"/>
  <c r="AE12" i="33" s="1"/>
  <c r="AE3" i="33"/>
  <c r="H71" i="32"/>
  <c r="N55" i="32"/>
  <c r="J71" i="32"/>
  <c r="I71" i="32"/>
  <c r="N54" i="32"/>
  <c r="J70" i="32"/>
  <c r="D67" i="32"/>
  <c r="N50" i="32"/>
  <c r="J66" i="32"/>
  <c r="N49" i="32"/>
  <c r="J64" i="32"/>
  <c r="N47" i="32"/>
  <c r="I63" i="32"/>
  <c r="N46" i="32"/>
  <c r="I67" i="32"/>
  <c r="H67" i="32"/>
  <c r="X4" i="32"/>
  <c r="Z3" i="32"/>
  <c r="X11" i="32"/>
  <c r="G71" i="32"/>
  <c r="D71" i="32"/>
  <c r="E71" i="32"/>
  <c r="I12" i="32"/>
  <c r="X8" i="32"/>
  <c r="G67" i="32"/>
  <c r="J67" i="32"/>
  <c r="E67" i="32"/>
  <c r="I7" i="32"/>
  <c r="I65" i="32"/>
  <c r="J65" i="32"/>
  <c r="C65" i="32"/>
  <c r="F65" i="32"/>
  <c r="X6" i="32"/>
  <c r="G65" i="32"/>
  <c r="G63" i="32"/>
  <c r="J63" i="32"/>
  <c r="D63" i="32"/>
  <c r="Z4" i="32"/>
  <c r="E63" i="32"/>
  <c r="H63" i="32"/>
  <c r="J62" i="32"/>
  <c r="H62" i="32"/>
  <c r="AC9" i="32"/>
  <c r="G64" i="32"/>
  <c r="C64" i="32"/>
  <c r="F64" i="32"/>
  <c r="H21" i="32"/>
  <c r="D64" i="32"/>
  <c r="I64" i="32"/>
  <c r="E64" i="32"/>
  <c r="H64" i="32"/>
  <c r="I62" i="32"/>
  <c r="E62" i="32"/>
  <c r="D62" i="32"/>
  <c r="G62" i="32"/>
  <c r="C62" i="32"/>
  <c r="F62" i="32"/>
  <c r="G41" i="32"/>
  <c r="I3" i="32"/>
  <c r="T12" i="32"/>
  <c r="V3" i="32"/>
  <c r="V12" i="32" s="1"/>
  <c r="AB4" i="32"/>
  <c r="AA16" i="32"/>
  <c r="AC16" i="32" s="1"/>
  <c r="Z5" i="32"/>
  <c r="AB5" i="32" s="1"/>
  <c r="AC5" i="32" s="1"/>
  <c r="Z8" i="32"/>
  <c r="AB8" i="32" s="1"/>
  <c r="Z10" i="32"/>
  <c r="AB10" i="32" s="1"/>
  <c r="AC10" i="32" s="1"/>
  <c r="Q12" i="32"/>
  <c r="G72" i="32"/>
  <c r="C72" i="32"/>
  <c r="F72" i="32"/>
  <c r="I72" i="32"/>
  <c r="D72" i="32"/>
  <c r="E72" i="32"/>
  <c r="I15" i="32"/>
  <c r="E17" i="32"/>
  <c r="I5" i="32"/>
  <c r="Z7" i="32"/>
  <c r="AB7" i="32" s="1"/>
  <c r="H19" i="32"/>
  <c r="P12" i="32"/>
  <c r="AB3" i="32"/>
  <c r="Z6" i="32"/>
  <c r="AB6" i="32" s="1"/>
  <c r="I66" i="32"/>
  <c r="E66" i="32"/>
  <c r="H66" i="32"/>
  <c r="D66" i="32"/>
  <c r="G66" i="32"/>
  <c r="C66" i="32"/>
  <c r="F66" i="32"/>
  <c r="X7" i="32"/>
  <c r="AC7" i="32" s="1"/>
  <c r="G17" i="32"/>
  <c r="H9" i="32"/>
  <c r="J68" i="32" s="1"/>
  <c r="Z11" i="32"/>
  <c r="AB11" i="32" s="1"/>
  <c r="I70" i="32"/>
  <c r="E70" i="32"/>
  <c r="H70" i="32"/>
  <c r="D70" i="32"/>
  <c r="F70" i="32"/>
  <c r="G70" i="32"/>
  <c r="C70" i="32"/>
  <c r="S12" i="32"/>
  <c r="AA15" i="32"/>
  <c r="AC15" i="32" s="1"/>
  <c r="G37" i="32"/>
  <c r="G39" i="32"/>
  <c r="F63" i="32"/>
  <c r="D65" i="32"/>
  <c r="H65" i="32"/>
  <c r="F67" i="32"/>
  <c r="D69" i="32"/>
  <c r="K69" i="32" s="1"/>
  <c r="H31" i="32" s="1"/>
  <c r="I31" i="32" s="1"/>
  <c r="H69" i="32"/>
  <c r="F71" i="32"/>
  <c r="I4" i="32"/>
  <c r="I6" i="32"/>
  <c r="I8" i="32"/>
  <c r="I11" i="32"/>
  <c r="I13" i="32"/>
  <c r="C63" i="32"/>
  <c r="E65" i="32"/>
  <c r="C67" i="32"/>
  <c r="E69" i="32"/>
  <c r="C71" i="32"/>
  <c r="C54" i="41"/>
  <c r="N45" i="31"/>
  <c r="M45" i="31"/>
  <c r="G9" i="31"/>
  <c r="N51" i="32" l="1"/>
  <c r="X3" i="32"/>
  <c r="N60" i="32"/>
  <c r="J77" i="32"/>
  <c r="K63" i="32"/>
  <c r="H25" i="32" s="1"/>
  <c r="I25" i="32" s="1"/>
  <c r="AC4" i="32"/>
  <c r="K70" i="32"/>
  <c r="H32" i="32" s="1"/>
  <c r="I32" i="32" s="1"/>
  <c r="I77" i="32"/>
  <c r="AC8" i="32"/>
  <c r="AE8" i="32" s="1"/>
  <c r="AC6" i="32"/>
  <c r="AE6" i="32" s="1"/>
  <c r="K71" i="32"/>
  <c r="H33" i="32" s="1"/>
  <c r="I33" i="32" s="1"/>
  <c r="AC11" i="32"/>
  <c r="AE11" i="32" s="1"/>
  <c r="J73" i="32"/>
  <c r="K65" i="32"/>
  <c r="H27" i="32" s="1"/>
  <c r="I27" i="32" s="1"/>
  <c r="K62" i="32"/>
  <c r="J75" i="32"/>
  <c r="AE10" i="32"/>
  <c r="AD10" i="32"/>
  <c r="AE4" i="32"/>
  <c r="AD4" i="32"/>
  <c r="G68" i="32"/>
  <c r="C68" i="32"/>
  <c r="C73" i="32" s="1"/>
  <c r="F68" i="32"/>
  <c r="F73" i="32" s="1"/>
  <c r="H68" i="32"/>
  <c r="H73" i="32" s="1"/>
  <c r="D68" i="32"/>
  <c r="I68" i="32"/>
  <c r="E68" i="32"/>
  <c r="E73" i="32" s="1"/>
  <c r="K64" i="32"/>
  <c r="C77" i="32"/>
  <c r="AB12" i="32"/>
  <c r="I21" i="32"/>
  <c r="K72" i="32"/>
  <c r="I9" i="32"/>
  <c r="H17" i="32"/>
  <c r="I75" i="32"/>
  <c r="I73" i="32"/>
  <c r="D77" i="32"/>
  <c r="G77" i="32"/>
  <c r="AD7" i="32"/>
  <c r="AE7" i="32"/>
  <c r="I19" i="32"/>
  <c r="I17" i="32"/>
  <c r="G73" i="32"/>
  <c r="G75" i="32"/>
  <c r="E75" i="32"/>
  <c r="AD8" i="32"/>
  <c r="K67" i="32"/>
  <c r="H29" i="32" s="1"/>
  <c r="I29" i="32" s="1"/>
  <c r="K66" i="32"/>
  <c r="H28" i="32" s="1"/>
  <c r="I28" i="32" s="1"/>
  <c r="X15" i="32"/>
  <c r="AD15" i="32" s="1"/>
  <c r="AE15" i="32" s="1"/>
  <c r="AC3" i="32"/>
  <c r="X12" i="32"/>
  <c r="F75" i="32"/>
  <c r="D75" i="32"/>
  <c r="D73" i="32"/>
  <c r="H77" i="32"/>
  <c r="AE5" i="32"/>
  <c r="AD5" i="32"/>
  <c r="X16" i="32"/>
  <c r="AD16" i="32" s="1"/>
  <c r="AE16" i="32" s="1"/>
  <c r="C75" i="32"/>
  <c r="H75" i="32"/>
  <c r="E77" i="32"/>
  <c r="F77" i="32"/>
  <c r="Z12" i="32"/>
  <c r="AE9" i="32"/>
  <c r="AD9" i="32"/>
  <c r="J70" i="31"/>
  <c r="J71" i="31"/>
  <c r="J69" i="31"/>
  <c r="J68" i="31"/>
  <c r="J63" i="31"/>
  <c r="J64" i="31"/>
  <c r="J65" i="31"/>
  <c r="J66" i="31"/>
  <c r="J67" i="31"/>
  <c r="J62" i="31"/>
  <c r="J72" i="31"/>
  <c r="D30" i="31"/>
  <c r="E9" i="31"/>
  <c r="AD11" i="32" l="1"/>
  <c r="AD6" i="32"/>
  <c r="K75" i="32"/>
  <c r="H24" i="32"/>
  <c r="AC12" i="32"/>
  <c r="AE12" i="32" s="1"/>
  <c r="AD3" i="32"/>
  <c r="AD12" i="32" s="1"/>
  <c r="AE3" i="32"/>
  <c r="K77" i="32"/>
  <c r="H26" i="32"/>
  <c r="K68" i="32"/>
  <c r="H30" i="32" s="1"/>
  <c r="I30" i="32" s="1"/>
  <c r="M46" i="31"/>
  <c r="N46" i="31" s="1"/>
  <c r="M47" i="31"/>
  <c r="N47" i="31" s="1"/>
  <c r="M48" i="31"/>
  <c r="N48" i="31" s="1"/>
  <c r="M49" i="31"/>
  <c r="N49" i="31" s="1"/>
  <c r="M50" i="31"/>
  <c r="N50" i="31" s="1"/>
  <c r="M51" i="31"/>
  <c r="M52" i="31"/>
  <c r="N52" i="31" s="1"/>
  <c r="M53" i="31"/>
  <c r="N53" i="31" s="1"/>
  <c r="M54" i="31"/>
  <c r="N54" i="31" s="1"/>
  <c r="M55" i="31"/>
  <c r="N55" i="31" s="1"/>
  <c r="M56" i="31"/>
  <c r="N56" i="31" s="1"/>
  <c r="M57" i="31"/>
  <c r="N57" i="31" s="1"/>
  <c r="D63" i="31"/>
  <c r="D69" i="31"/>
  <c r="C84" i="31"/>
  <c r="B84" i="31"/>
  <c r="E83" i="31"/>
  <c r="E84" i="31" s="1"/>
  <c r="G63" i="31"/>
  <c r="E63" i="31"/>
  <c r="F41" i="31"/>
  <c r="E41" i="31"/>
  <c r="D41" i="31"/>
  <c r="C41" i="31"/>
  <c r="F39" i="31"/>
  <c r="E39" i="31"/>
  <c r="D39" i="31"/>
  <c r="C39" i="31"/>
  <c r="F37" i="31"/>
  <c r="E37" i="31"/>
  <c r="D37" i="31"/>
  <c r="C37" i="31"/>
  <c r="G34" i="31"/>
  <c r="I34" i="31" s="1"/>
  <c r="G33" i="31"/>
  <c r="G32" i="31"/>
  <c r="G31" i="31"/>
  <c r="G30" i="31"/>
  <c r="G29" i="31"/>
  <c r="G28" i="31"/>
  <c r="G27" i="31"/>
  <c r="G26" i="31"/>
  <c r="G25" i="31"/>
  <c r="G24" i="31"/>
  <c r="G21" i="31"/>
  <c r="F21" i="31"/>
  <c r="E21" i="31"/>
  <c r="C21" i="31"/>
  <c r="G19" i="31"/>
  <c r="F19" i="31"/>
  <c r="E19" i="31"/>
  <c r="C19" i="31"/>
  <c r="F17" i="31"/>
  <c r="C17" i="31"/>
  <c r="H16" i="31"/>
  <c r="I16" i="31" s="1"/>
  <c r="H15" i="31"/>
  <c r="D72" i="31" s="1"/>
  <c r="I14" i="31"/>
  <c r="H13" i="31"/>
  <c r="C71" i="31" s="1"/>
  <c r="O12" i="31"/>
  <c r="H12" i="31"/>
  <c r="I70" i="31" s="1"/>
  <c r="AA11" i="31"/>
  <c r="T11" i="31"/>
  <c r="V11" i="31" s="1"/>
  <c r="Q11" i="31"/>
  <c r="S11" i="31" s="1"/>
  <c r="P11" i="31"/>
  <c r="H11" i="31"/>
  <c r="I69" i="31" s="1"/>
  <c r="AA10" i="31"/>
  <c r="T10" i="31"/>
  <c r="V10" i="31" s="1"/>
  <c r="Q10" i="31"/>
  <c r="S10" i="31" s="1"/>
  <c r="P10" i="31"/>
  <c r="H10" i="31"/>
  <c r="I10" i="31" s="1"/>
  <c r="AA9" i="31"/>
  <c r="T9" i="31"/>
  <c r="V9" i="31" s="1"/>
  <c r="X9" i="31" s="1"/>
  <c r="Q9" i="31"/>
  <c r="S9" i="31" s="1"/>
  <c r="P9" i="31"/>
  <c r="H9" i="31"/>
  <c r="AA8" i="31"/>
  <c r="T8" i="31"/>
  <c r="V8" i="31" s="1"/>
  <c r="Q8" i="31"/>
  <c r="S8" i="31" s="1"/>
  <c r="P8" i="31"/>
  <c r="H8" i="31"/>
  <c r="H67" i="31" s="1"/>
  <c r="AA7" i="31"/>
  <c r="T7" i="31"/>
  <c r="V7" i="31" s="1"/>
  <c r="Q7" i="31"/>
  <c r="S7" i="31" s="1"/>
  <c r="P7" i="31"/>
  <c r="H7" i="31"/>
  <c r="D66" i="31" s="1"/>
  <c r="AA6" i="31"/>
  <c r="T6" i="31"/>
  <c r="V6" i="31" s="1"/>
  <c r="Q6" i="31"/>
  <c r="S6" i="31" s="1"/>
  <c r="P6" i="31"/>
  <c r="H6" i="31"/>
  <c r="AA5" i="31"/>
  <c r="T5" i="31"/>
  <c r="V5" i="31" s="1"/>
  <c r="Q5" i="31"/>
  <c r="S5" i="31" s="1"/>
  <c r="P5" i="31"/>
  <c r="H5" i="31"/>
  <c r="I64" i="31" s="1"/>
  <c r="AA4" i="31"/>
  <c r="T4" i="31"/>
  <c r="V4" i="31" s="1"/>
  <c r="X4" i="31" s="1"/>
  <c r="Q4" i="31"/>
  <c r="S4" i="31" s="1"/>
  <c r="P4" i="31"/>
  <c r="H4" i="31"/>
  <c r="H63" i="31" s="1"/>
  <c r="AA3" i="31"/>
  <c r="T3" i="31"/>
  <c r="V3" i="31" s="1"/>
  <c r="Q3" i="31"/>
  <c r="S3" i="31" s="1"/>
  <c r="P3" i="31"/>
  <c r="H3" i="31"/>
  <c r="D62" i="31" s="1"/>
  <c r="AD2" i="31"/>
  <c r="AA2" i="31"/>
  <c r="Z2" i="31"/>
  <c r="X2" i="31"/>
  <c r="V2" i="31"/>
  <c r="T2" i="31"/>
  <c r="Q2" i="31"/>
  <c r="P2" i="31"/>
  <c r="O2" i="31"/>
  <c r="E69" i="31" l="1"/>
  <c r="D83" i="31"/>
  <c r="N51" i="31"/>
  <c r="I72" i="31"/>
  <c r="I4" i="31"/>
  <c r="X8" i="31"/>
  <c r="H37" i="32"/>
  <c r="H39" i="32"/>
  <c r="I24" i="32"/>
  <c r="H41" i="32"/>
  <c r="I26" i="32"/>
  <c r="I41" i="32" s="1"/>
  <c r="K73" i="32"/>
  <c r="G70" i="31"/>
  <c r="C66" i="31"/>
  <c r="F66" i="31"/>
  <c r="Z9" i="31"/>
  <c r="AB9" i="31" s="1"/>
  <c r="AC9" i="31" s="1"/>
  <c r="E64" i="31"/>
  <c r="F63" i="31"/>
  <c r="Z4" i="31"/>
  <c r="AB4" i="31" s="1"/>
  <c r="AC4" i="31" s="1"/>
  <c r="H68" i="31"/>
  <c r="G67" i="31"/>
  <c r="F71" i="31"/>
  <c r="D64" i="31"/>
  <c r="X5" i="31"/>
  <c r="T12" i="31"/>
  <c r="C62" i="31"/>
  <c r="D65" i="31"/>
  <c r="AA15" i="31"/>
  <c r="AC15" i="31" s="1"/>
  <c r="I67" i="31"/>
  <c r="H70" i="31"/>
  <c r="G71" i="31"/>
  <c r="C65" i="31"/>
  <c r="D68" i="31"/>
  <c r="Z6" i="31"/>
  <c r="AB6" i="31" s="1"/>
  <c r="I8" i="31"/>
  <c r="I12" i="31"/>
  <c r="F62" i="31"/>
  <c r="H64" i="31"/>
  <c r="E67" i="31"/>
  <c r="C70" i="31"/>
  <c r="I71" i="31"/>
  <c r="C64" i="31"/>
  <c r="D71" i="31"/>
  <c r="D67" i="31"/>
  <c r="D75" i="31"/>
  <c r="AA16" i="31"/>
  <c r="AC16" i="31" s="1"/>
  <c r="X6" i="31"/>
  <c r="Z7" i="31"/>
  <c r="AB7" i="31" s="1"/>
  <c r="Z8" i="31"/>
  <c r="AB8" i="31" s="1"/>
  <c r="AC8" i="31" s="1"/>
  <c r="I9" i="31"/>
  <c r="X10" i="31"/>
  <c r="Z11" i="31"/>
  <c r="AB11" i="31" s="1"/>
  <c r="H19" i="31"/>
  <c r="G62" i="31"/>
  <c r="G75" i="31" s="1"/>
  <c r="I63" i="31"/>
  <c r="F67" i="31"/>
  <c r="F70" i="31"/>
  <c r="C67" i="31"/>
  <c r="C63" i="31"/>
  <c r="K63" i="31" s="1"/>
  <c r="H25" i="31" s="1"/>
  <c r="I25" i="31" s="1"/>
  <c r="D70" i="31"/>
  <c r="V12" i="31"/>
  <c r="F65" i="31"/>
  <c r="Z10" i="31"/>
  <c r="AB10" i="31" s="1"/>
  <c r="I65" i="31"/>
  <c r="Q12" i="31"/>
  <c r="Z3" i="31"/>
  <c r="I6" i="31"/>
  <c r="I66" i="31"/>
  <c r="E66" i="31"/>
  <c r="X7" i="31"/>
  <c r="G72" i="31"/>
  <c r="C72" i="31"/>
  <c r="K72" i="31" s="1"/>
  <c r="E17" i="31"/>
  <c r="G41" i="31"/>
  <c r="G39" i="31"/>
  <c r="E65" i="31"/>
  <c r="G66" i="31"/>
  <c r="I68" i="31"/>
  <c r="I62" i="31"/>
  <c r="E62" i="31"/>
  <c r="H17" i="31"/>
  <c r="X3" i="31"/>
  <c r="Z5" i="31"/>
  <c r="AB5" i="31" s="1"/>
  <c r="I7" i="31"/>
  <c r="G68" i="31"/>
  <c r="C68" i="31"/>
  <c r="F69" i="31"/>
  <c r="X11" i="31"/>
  <c r="P12" i="31"/>
  <c r="I15" i="31"/>
  <c r="H62" i="31"/>
  <c r="G65" i="31"/>
  <c r="H66" i="31"/>
  <c r="E68" i="31"/>
  <c r="G69" i="31"/>
  <c r="E72" i="31"/>
  <c r="I3" i="31"/>
  <c r="G64" i="31"/>
  <c r="H21" i="31"/>
  <c r="I5" i="31"/>
  <c r="I11" i="31"/>
  <c r="S12" i="31"/>
  <c r="H71" i="31"/>
  <c r="I13" i="31"/>
  <c r="G17" i="31"/>
  <c r="G37" i="31"/>
  <c r="D84" i="31"/>
  <c r="F64" i="31"/>
  <c r="H65" i="31"/>
  <c r="F68" i="31"/>
  <c r="C69" i="31"/>
  <c r="H69" i="31"/>
  <c r="E71" i="31"/>
  <c r="F72" i="31"/>
  <c r="E70" i="31"/>
  <c r="K67" i="31" l="1"/>
  <c r="H29" i="31" s="1"/>
  <c r="I29" i="31" s="1"/>
  <c r="I39" i="32"/>
  <c r="I37" i="32"/>
  <c r="D77" i="31"/>
  <c r="AC5" i="31"/>
  <c r="AC10" i="31"/>
  <c r="AD10" i="31" s="1"/>
  <c r="AC6" i="31"/>
  <c r="AD6" i="31" s="1"/>
  <c r="N60" i="31"/>
  <c r="AC11" i="31"/>
  <c r="AD11" i="31" s="1"/>
  <c r="AC7" i="31"/>
  <c r="AD7" i="31" s="1"/>
  <c r="F75" i="31"/>
  <c r="K70" i="31"/>
  <c r="H32" i="31" s="1"/>
  <c r="I32" i="31" s="1"/>
  <c r="D73" i="31"/>
  <c r="AE8" i="31"/>
  <c r="AD8" i="31"/>
  <c r="H77" i="31"/>
  <c r="G73" i="31"/>
  <c r="I77" i="31"/>
  <c r="J77" i="31"/>
  <c r="F77" i="31"/>
  <c r="AE5" i="31"/>
  <c r="AD5" i="31"/>
  <c r="I21" i="31"/>
  <c r="I19" i="31"/>
  <c r="I17" i="31"/>
  <c r="E77" i="31"/>
  <c r="I75" i="31"/>
  <c r="I73" i="31"/>
  <c r="K69" i="31"/>
  <c r="H31" i="31" s="1"/>
  <c r="I31" i="31" s="1"/>
  <c r="K65" i="31"/>
  <c r="H27" i="31" s="1"/>
  <c r="I27" i="31" s="1"/>
  <c r="H75" i="31"/>
  <c r="H73" i="31"/>
  <c r="K68" i="31"/>
  <c r="H30" i="31" s="1"/>
  <c r="I30" i="31" s="1"/>
  <c r="X15" i="31"/>
  <c r="AD15" i="31" s="1"/>
  <c r="AE15" i="31" s="1"/>
  <c r="X12" i="31"/>
  <c r="K64" i="31"/>
  <c r="C77" i="31"/>
  <c r="K66" i="31"/>
  <c r="H28" i="31" s="1"/>
  <c r="I28" i="31" s="1"/>
  <c r="C73" i="31"/>
  <c r="C75" i="31"/>
  <c r="K62" i="31"/>
  <c r="AE11" i="31"/>
  <c r="AB3" i="31"/>
  <c r="AB12" i="31" s="1"/>
  <c r="Z12" i="31"/>
  <c r="F73" i="31"/>
  <c r="AD9" i="31"/>
  <c r="AE9" i="31"/>
  <c r="X16" i="31"/>
  <c r="AD16" i="31" s="1"/>
  <c r="AE16" i="31" s="1"/>
  <c r="K71" i="31"/>
  <c r="H33" i="31" s="1"/>
  <c r="I33" i="31" s="1"/>
  <c r="J75" i="31"/>
  <c r="J73" i="31"/>
  <c r="G77" i="31"/>
  <c r="E75" i="31"/>
  <c r="E73" i="31"/>
  <c r="AD4" i="31"/>
  <c r="AE4" i="31"/>
  <c r="N79" i="24"/>
  <c r="O79" i="24"/>
  <c r="O80" i="24"/>
  <c r="D80" i="24"/>
  <c r="F84" i="24"/>
  <c r="F85" i="24" s="1"/>
  <c r="F74" i="24" s="1"/>
  <c r="G84" i="24"/>
  <c r="G85" i="24" s="1"/>
  <c r="G74" i="24" s="1"/>
  <c r="H84" i="24"/>
  <c r="H85" i="24" s="1"/>
  <c r="H74" i="24" s="1"/>
  <c r="I84" i="24"/>
  <c r="J84" i="24"/>
  <c r="E84" i="24"/>
  <c r="E85" i="24" s="1"/>
  <c r="E74" i="24" s="1"/>
  <c r="D85" i="24"/>
  <c r="D74" i="24" s="1"/>
  <c r="AE10" i="31" l="1"/>
  <c r="AE6" i="31"/>
  <c r="AE7" i="31"/>
  <c r="AC3" i="31"/>
  <c r="AD3" i="31" s="1"/>
  <c r="AD12" i="31" s="1"/>
  <c r="H26" i="31"/>
  <c r="K77" i="31"/>
  <c r="K73" i="31"/>
  <c r="K75" i="31"/>
  <c r="H24" i="31"/>
  <c r="O81" i="24"/>
  <c r="O75" i="24" s="1"/>
  <c r="I85" i="24"/>
  <c r="I74" i="24" s="1"/>
  <c r="AC12" i="31" l="1"/>
  <c r="AE12" i="31" s="1"/>
  <c r="AE3" i="31"/>
  <c r="H39" i="31"/>
  <c r="H37" i="31"/>
  <c r="I24" i="31"/>
  <c r="I26" i="31"/>
  <c r="I41" i="31" s="1"/>
  <c r="H41" i="31"/>
  <c r="F59" i="41"/>
  <c r="G56" i="41"/>
  <c r="D56" i="41"/>
  <c r="E36" i="41"/>
  <c r="F36" i="41" s="1"/>
  <c r="G36" i="41" s="1"/>
  <c r="H36" i="41" s="1"/>
  <c r="I36" i="41" s="1"/>
  <c r="D55" i="24"/>
  <c r="E69" i="24"/>
  <c r="E59" i="41" s="1"/>
  <c r="F69" i="24"/>
  <c r="D69" i="24"/>
  <c r="D59" i="41" s="1"/>
  <c r="F61" i="24"/>
  <c r="E61" i="24"/>
  <c r="D61" i="24"/>
  <c r="D27" i="41"/>
  <c r="I37" i="31" l="1"/>
  <c r="I39" i="31"/>
  <c r="D49" i="41"/>
  <c r="D16" i="41"/>
  <c r="D17" i="41"/>
  <c r="H24" i="41"/>
  <c r="E24" i="41"/>
  <c r="E27" i="41"/>
  <c r="F27" i="41"/>
  <c r="D22" i="41"/>
  <c r="D23" i="41" s="1"/>
  <c r="E4" i="41"/>
  <c r="F4" i="41" s="1"/>
  <c r="G4" i="41" s="1"/>
  <c r="H4" i="41" s="1"/>
  <c r="I4" i="41" s="1"/>
  <c r="J4" i="41" s="1"/>
  <c r="AL63" i="41"/>
  <c r="J56" i="41"/>
  <c r="AL55" i="41"/>
  <c r="Z55" i="41"/>
  <c r="N55" i="41"/>
  <c r="AM55" i="41"/>
  <c r="AA55" i="41"/>
  <c r="P54" i="41"/>
  <c r="O55" i="41"/>
  <c r="Z39" i="41"/>
  <c r="Y39" i="41"/>
  <c r="AK39" i="41" s="1"/>
  <c r="AL39" i="41" s="1"/>
  <c r="N39" i="41"/>
  <c r="O37" i="41"/>
  <c r="J36" i="41"/>
  <c r="AL31" i="41"/>
  <c r="K24" i="41"/>
  <c r="C23" i="41"/>
  <c r="P22" i="41"/>
  <c r="Q22" i="41" s="1"/>
  <c r="R22" i="41" s="1"/>
  <c r="S22" i="41" s="1"/>
  <c r="T22" i="41" s="1"/>
  <c r="U22" i="41" s="1"/>
  <c r="V22" i="41" s="1"/>
  <c r="W22" i="41" s="1"/>
  <c r="X22" i="41" s="1"/>
  <c r="Y22" i="41" s="1"/>
  <c r="AB22" i="41" s="1"/>
  <c r="AC22" i="41" s="1"/>
  <c r="AD22" i="41" s="1"/>
  <c r="AE22" i="41" s="1"/>
  <c r="AF22" i="41" s="1"/>
  <c r="AG22" i="41" s="1"/>
  <c r="AH22" i="41" s="1"/>
  <c r="AI22" i="41" s="1"/>
  <c r="AJ22" i="41" s="1"/>
  <c r="AK22" i="41" s="1"/>
  <c r="AN22" i="41" s="1"/>
  <c r="AO22" i="41" s="1"/>
  <c r="AP22" i="41" s="1"/>
  <c r="AQ22" i="41" s="1"/>
  <c r="AR22" i="41" s="1"/>
  <c r="AS22" i="41" s="1"/>
  <c r="AT22" i="41" s="1"/>
  <c r="AU22" i="41" s="1"/>
  <c r="AV22" i="41" s="1"/>
  <c r="AW22" i="41" s="1"/>
  <c r="C21" i="41"/>
  <c r="M7" i="41"/>
  <c r="Y7" i="41" s="1"/>
  <c r="Z7" i="41" s="1"/>
  <c r="AA5" i="41"/>
  <c r="AM5" i="41" s="1"/>
  <c r="N7" i="41" l="1"/>
  <c r="AK7" i="41"/>
  <c r="AL7" i="41" s="1"/>
  <c r="AA37" i="41"/>
  <c r="AN54" i="41"/>
  <c r="AN55" i="41" s="1"/>
  <c r="E16" i="41"/>
  <c r="I24" i="41"/>
  <c r="I56" i="41" s="1"/>
  <c r="H56" i="41"/>
  <c r="E22" i="41"/>
  <c r="D54" i="41"/>
  <c r="D48" i="41"/>
  <c r="AB54" i="41"/>
  <c r="AB55" i="41" s="1"/>
  <c r="F24" i="41"/>
  <c r="F56" i="41" s="1"/>
  <c r="E56" i="41"/>
  <c r="C55" i="41"/>
  <c r="E17" i="41"/>
  <c r="K4" i="41"/>
  <c r="L4" i="41" s="1"/>
  <c r="Q54" i="41"/>
  <c r="P55" i="41"/>
  <c r="AM37" i="41"/>
  <c r="L24" i="41"/>
  <c r="K56" i="41"/>
  <c r="K36" i="41"/>
  <c r="F17" i="41" l="1"/>
  <c r="AC54" i="41"/>
  <c r="AD54" i="41" s="1"/>
  <c r="E48" i="41"/>
  <c r="AO54" i="41"/>
  <c r="D55" i="41"/>
  <c r="E54" i="41"/>
  <c r="E49" i="41"/>
  <c r="F49" i="41" s="1"/>
  <c r="F22" i="41"/>
  <c r="E23" i="41"/>
  <c r="F16" i="41"/>
  <c r="L56" i="41"/>
  <c r="M4" i="41"/>
  <c r="O7" i="41" s="1"/>
  <c r="N10" i="41" s="1"/>
  <c r="L36" i="41"/>
  <c r="Q55" i="41"/>
  <c r="R54" i="41"/>
  <c r="AC55" i="41" l="1"/>
  <c r="AP54" i="41"/>
  <c r="AO55" i="41"/>
  <c r="G22" i="41"/>
  <c r="F23" i="41"/>
  <c r="F54" i="41"/>
  <c r="E55" i="41"/>
  <c r="G16" i="41"/>
  <c r="H16" i="41" s="1"/>
  <c r="F48" i="41"/>
  <c r="M36" i="41"/>
  <c r="R55" i="41"/>
  <c r="S54" i="41"/>
  <c r="M56" i="41"/>
  <c r="N24" i="41"/>
  <c r="AD55" i="41"/>
  <c r="AE54" i="41"/>
  <c r="AQ54" i="41" l="1"/>
  <c r="AP55" i="41"/>
  <c r="G48" i="41"/>
  <c r="G54" i="41"/>
  <c r="F55" i="41"/>
  <c r="H22" i="41"/>
  <c r="G23" i="41"/>
  <c r="AE55" i="41"/>
  <c r="AF54" i="41"/>
  <c r="N56" i="41"/>
  <c r="O24" i="41"/>
  <c r="S55" i="41"/>
  <c r="T54" i="41"/>
  <c r="O39" i="41"/>
  <c r="N42" i="41" s="1"/>
  <c r="AQ55" i="41" l="1"/>
  <c r="AR54" i="41"/>
  <c r="I22" i="41"/>
  <c r="H23" i="41"/>
  <c r="I16" i="41"/>
  <c r="H54" i="41"/>
  <c r="G55" i="41"/>
  <c r="H48" i="41"/>
  <c r="AF55" i="41"/>
  <c r="AG54" i="41"/>
  <c r="P24" i="41"/>
  <c r="O56" i="41"/>
  <c r="U54" i="41"/>
  <c r="T55" i="41"/>
  <c r="J16" i="41" l="1"/>
  <c r="AR55" i="41"/>
  <c r="AS54" i="41"/>
  <c r="I48" i="41"/>
  <c r="H55" i="41"/>
  <c r="I54" i="41"/>
  <c r="I23" i="41"/>
  <c r="J22" i="41"/>
  <c r="K16" i="41" s="1"/>
  <c r="P56" i="41"/>
  <c r="P47" i="41" s="1"/>
  <c r="P15" i="41"/>
  <c r="Q24" i="41"/>
  <c r="U55" i="41"/>
  <c r="V54" i="41"/>
  <c r="AH54" i="41"/>
  <c r="AG55" i="41"/>
  <c r="AT54" i="41" l="1"/>
  <c r="AS55" i="41"/>
  <c r="J23" i="41"/>
  <c r="K22" i="41"/>
  <c r="I55" i="41"/>
  <c r="J54" i="41"/>
  <c r="J48" i="41"/>
  <c r="AH55" i="41"/>
  <c r="AI54" i="41"/>
  <c r="V55" i="41"/>
  <c r="W54" i="41"/>
  <c r="R24" i="41"/>
  <c r="Q56" i="41"/>
  <c r="Q15" i="41"/>
  <c r="AU54" i="41" l="1"/>
  <c r="AT55" i="41"/>
  <c r="J55" i="41"/>
  <c r="K54" i="41"/>
  <c r="Q47" i="41"/>
  <c r="K48" i="41"/>
  <c r="K23" i="41"/>
  <c r="L22" i="41"/>
  <c r="L16" i="41"/>
  <c r="W55" i="41"/>
  <c r="X54" i="41"/>
  <c r="AI55" i="41"/>
  <c r="AJ54" i="41"/>
  <c r="R15" i="41"/>
  <c r="R56" i="41"/>
  <c r="S24" i="41"/>
  <c r="R47" i="41" l="1"/>
  <c r="AU55" i="41"/>
  <c r="AV54" i="41"/>
  <c r="M22" i="41"/>
  <c r="M23" i="41" s="1"/>
  <c r="L23" i="41"/>
  <c r="L48" i="41"/>
  <c r="K55" i="41"/>
  <c r="L54" i="41"/>
  <c r="M16" i="41"/>
  <c r="S15" i="41"/>
  <c r="S56" i="41"/>
  <c r="T24" i="41"/>
  <c r="AK54" i="41"/>
  <c r="AK55" i="41" s="1"/>
  <c r="AJ55" i="41"/>
  <c r="Y54" i="41"/>
  <c r="Y55" i="41" s="1"/>
  <c r="X55" i="41"/>
  <c r="S47" i="41" l="1"/>
  <c r="M48" i="41"/>
  <c r="AW54" i="41"/>
  <c r="AW55" i="41" s="1"/>
  <c r="AV55" i="41"/>
  <c r="M54" i="41"/>
  <c r="L55" i="41"/>
  <c r="T56" i="41"/>
  <c r="U24" i="41"/>
  <c r="T15" i="41"/>
  <c r="T47" i="41" l="1"/>
  <c r="M55" i="41"/>
  <c r="U15" i="41"/>
  <c r="U56" i="41"/>
  <c r="U47" i="41" s="1"/>
  <c r="V24" i="41"/>
  <c r="V15" i="41" l="1"/>
  <c r="V56" i="41"/>
  <c r="V47" i="41" s="1"/>
  <c r="W24" i="41"/>
  <c r="X24" i="41" l="1"/>
  <c r="W56" i="41"/>
  <c r="W47" i="41" s="1"/>
  <c r="W15" i="41"/>
  <c r="X15" i="41" l="1"/>
  <c r="X56" i="41"/>
  <c r="X47" i="41" s="1"/>
  <c r="Y24" i="41"/>
  <c r="Y56" i="41" l="1"/>
  <c r="Y47" i="41" s="1"/>
  <c r="Z24" i="41"/>
  <c r="Y15" i="41"/>
  <c r="Z15" i="41" l="1"/>
  <c r="Z56" i="41"/>
  <c r="Z47" i="41" s="1"/>
  <c r="AA24" i="41"/>
  <c r="AA56" i="41" l="1"/>
  <c r="AA47" i="41" s="1"/>
  <c r="AB24" i="41"/>
  <c r="AA15" i="41"/>
  <c r="AB56" i="41" l="1"/>
  <c r="AB47" i="41" s="1"/>
  <c r="AC24" i="41"/>
  <c r="AB15" i="41"/>
  <c r="AB16" i="41"/>
  <c r="AC16" i="41" l="1"/>
  <c r="AC15" i="41"/>
  <c r="AB48" i="41"/>
  <c r="AC56" i="41"/>
  <c r="AC47" i="41" s="1"/>
  <c r="AD24" i="41"/>
  <c r="AD56" i="41" l="1"/>
  <c r="AD47" i="41" s="1"/>
  <c r="AE24" i="41"/>
  <c r="AC48" i="41"/>
  <c r="AD15" i="41"/>
  <c r="AD16" i="41"/>
  <c r="AE16" i="41" l="1"/>
  <c r="AD48" i="41"/>
  <c r="AF24" i="41"/>
  <c r="AE56" i="41"/>
  <c r="AE47" i="41" s="1"/>
  <c r="AE15" i="41"/>
  <c r="AF15" i="41" l="1"/>
  <c r="AF56" i="41"/>
  <c r="AF47" i="41" s="1"/>
  <c r="AG24" i="41"/>
  <c r="AE48" i="41"/>
  <c r="AF16" i="41"/>
  <c r="AF48" i="41" l="1"/>
  <c r="AG56" i="41"/>
  <c r="AG47" i="41" s="1"/>
  <c r="AH24" i="41"/>
  <c r="AG16" i="41"/>
  <c r="AG15" i="41"/>
  <c r="AH16" i="41" l="1"/>
  <c r="AH56" i="41"/>
  <c r="AH47" i="41" s="1"/>
  <c r="AI24" i="41"/>
  <c r="AH15" i="41"/>
  <c r="AG48" i="41"/>
  <c r="AH48" i="41" l="1"/>
  <c r="AI16" i="41"/>
  <c r="AI15" i="41"/>
  <c r="AI56" i="41"/>
  <c r="AI47" i="41" s="1"/>
  <c r="AJ24" i="41"/>
  <c r="AI48" i="41" l="1"/>
  <c r="AJ56" i="41"/>
  <c r="AK24" i="41"/>
  <c r="AJ15" i="41"/>
  <c r="AJ16" i="41"/>
  <c r="AJ48" i="41" l="1"/>
  <c r="AJ47" i="41"/>
  <c r="AK16" i="41"/>
  <c r="AK15" i="41"/>
  <c r="AK56" i="41"/>
  <c r="AK48" i="41" s="1"/>
  <c r="AL24" i="41"/>
  <c r="AM24" i="41" l="1"/>
  <c r="AL56" i="41"/>
  <c r="AK47" i="41"/>
  <c r="AL15" i="41"/>
  <c r="AM15" i="41" l="1"/>
  <c r="AL47" i="41"/>
  <c r="AN24" i="41"/>
  <c r="AM56" i="41"/>
  <c r="AN56" i="41" l="1"/>
  <c r="AN47" i="41" s="1"/>
  <c r="AN15" i="41"/>
  <c r="AO24" i="41"/>
  <c r="AM47" i="41"/>
  <c r="AN16" i="41"/>
  <c r="AO16" i="41" l="1"/>
  <c r="AN48" i="41"/>
  <c r="AO56" i="41"/>
  <c r="AO47" i="41" s="1"/>
  <c r="AP24" i="41"/>
  <c r="AO15" i="41"/>
  <c r="AP16" i="41" l="1"/>
  <c r="AP15" i="41"/>
  <c r="AP56" i="41"/>
  <c r="AP47" i="41" s="1"/>
  <c r="AQ24" i="41"/>
  <c r="AO48" i="41"/>
  <c r="AR24" i="41" l="1"/>
  <c r="AQ56" i="41"/>
  <c r="AQ47" i="41" s="1"/>
  <c r="AQ15" i="41"/>
  <c r="AP48" i="41"/>
  <c r="AQ16" i="41"/>
  <c r="AQ48" i="41" l="1"/>
  <c r="AR15" i="41"/>
  <c r="AR56" i="41"/>
  <c r="AS24" i="41"/>
  <c r="AR16" i="41"/>
  <c r="AR48" i="41" l="1"/>
  <c r="AS16" i="41"/>
  <c r="AR47" i="41"/>
  <c r="AS15" i="41"/>
  <c r="AS56" i="41"/>
  <c r="AT24" i="41"/>
  <c r="AS47" i="41" l="1"/>
  <c r="AS48" i="41"/>
  <c r="AT56" i="41"/>
  <c r="AT48" i="41" s="1"/>
  <c r="AU24" i="41"/>
  <c r="AT15" i="41"/>
  <c r="AT16" i="41"/>
  <c r="AU16" i="41" l="1"/>
  <c r="AT47" i="41"/>
  <c r="AV24" i="41"/>
  <c r="AU56" i="41"/>
  <c r="AU15" i="41"/>
  <c r="AU47" i="41" l="1"/>
  <c r="AU48" i="41"/>
  <c r="AV15" i="41"/>
  <c r="AV56" i="41"/>
  <c r="AW24" i="41"/>
  <c r="AV16" i="41"/>
  <c r="AV47" i="41" l="1"/>
  <c r="AW16" i="41"/>
  <c r="AV48" i="41"/>
  <c r="AW15" i="41"/>
  <c r="AW56" i="41"/>
  <c r="AW47" i="41" s="1"/>
  <c r="AK31" i="41" l="1"/>
  <c r="AJ63" i="41"/>
  <c r="AW48" i="41"/>
  <c r="AK63" i="41"/>
  <c r="AG31" i="41" l="1"/>
  <c r="AC31" i="41"/>
  <c r="AI31" i="41"/>
  <c r="AB31" i="41"/>
  <c r="AJ31" i="41"/>
  <c r="AA31" i="41"/>
  <c r="AI63" i="41"/>
  <c r="AE63" i="41"/>
  <c r="AC63" i="41"/>
  <c r="AG63" i="41"/>
  <c r="AF63" i="41"/>
  <c r="AH63" i="41"/>
  <c r="AA63" i="41"/>
  <c r="AD63" i="41"/>
  <c r="AB63" i="41"/>
  <c r="AH31" i="41" l="1"/>
  <c r="AD31" i="41"/>
  <c r="AE31" i="41"/>
  <c r="AF31" i="41"/>
  <c r="AW31" i="41" l="1"/>
  <c r="AO31" i="41" l="1"/>
  <c r="AM31" i="41"/>
  <c r="AU31" i="41"/>
  <c r="AV31" i="41"/>
  <c r="AT31" i="41"/>
  <c r="AW63" i="41"/>
  <c r="AR31" i="41" l="1"/>
  <c r="AN31" i="41"/>
  <c r="AS31" i="41"/>
  <c r="AP31" i="41"/>
  <c r="AQ31" i="41"/>
  <c r="AP63" i="41"/>
  <c r="AR63" i="41"/>
  <c r="AM63" i="41"/>
  <c r="AV63" i="41"/>
  <c r="AO63" i="41"/>
  <c r="AS63" i="41"/>
  <c r="AQ63" i="41"/>
  <c r="AN63" i="41"/>
  <c r="AT63" i="41" l="1"/>
  <c r="AU63" i="41"/>
  <c r="D67" i="30" l="1"/>
  <c r="D63" i="30"/>
  <c r="D64" i="30"/>
  <c r="D65" i="30"/>
  <c r="D66" i="30"/>
  <c r="D69" i="30"/>
  <c r="D70" i="30"/>
  <c r="D71" i="30"/>
  <c r="D72" i="30"/>
  <c r="D62" i="30"/>
  <c r="O69" i="24" l="1"/>
  <c r="O59" i="41" s="1"/>
  <c r="N69" i="24"/>
  <c r="N59" i="41" s="1"/>
  <c r="M70" i="24"/>
  <c r="M69" i="24" s="1"/>
  <c r="M59" i="41" s="1"/>
  <c r="L70" i="24"/>
  <c r="L69" i="24" s="1"/>
  <c r="L59" i="41" s="1"/>
  <c r="K70" i="24"/>
  <c r="K69" i="24" s="1"/>
  <c r="K59" i="41" s="1"/>
  <c r="J70" i="24"/>
  <c r="J69" i="24" s="1"/>
  <c r="J59" i="41" s="1"/>
  <c r="O62" i="24"/>
  <c r="O61" i="24" s="1"/>
  <c r="O27" i="41" s="1"/>
  <c r="N61" i="24"/>
  <c r="N27" i="41" s="1"/>
  <c r="M62" i="24"/>
  <c r="M61" i="24" s="1"/>
  <c r="M27" i="41" s="1"/>
  <c r="L62" i="24"/>
  <c r="L61" i="24" s="1"/>
  <c r="L27" i="41" s="1"/>
  <c r="K62" i="24"/>
  <c r="K61" i="24" s="1"/>
  <c r="K27" i="41" s="1"/>
  <c r="J62" i="24"/>
  <c r="J61" i="24" s="1"/>
  <c r="J27" i="41" s="1"/>
  <c r="N41" i="24" l="1"/>
  <c r="L41" i="24"/>
  <c r="K41" i="24"/>
  <c r="J41" i="24"/>
  <c r="N40" i="24"/>
  <c r="M40" i="24"/>
  <c r="L40" i="24"/>
  <c r="K40" i="24"/>
  <c r="J40" i="24"/>
  <c r="N39" i="24"/>
  <c r="M39" i="24"/>
  <c r="L39" i="24"/>
  <c r="K39" i="24"/>
  <c r="J39" i="24"/>
  <c r="N35" i="24"/>
  <c r="M35" i="24"/>
  <c r="L35" i="24"/>
  <c r="K35" i="24"/>
  <c r="J35" i="24"/>
  <c r="K57" i="30" l="1"/>
  <c r="L57" i="30" s="1"/>
  <c r="K56" i="30"/>
  <c r="L56" i="30" s="1"/>
  <c r="K55" i="30"/>
  <c r="L55" i="30" s="1"/>
  <c r="K54" i="30"/>
  <c r="L54" i="30" s="1"/>
  <c r="K53" i="30"/>
  <c r="L53" i="30" s="1"/>
  <c r="L52" i="30"/>
  <c r="K52" i="30"/>
  <c r="K51" i="30"/>
  <c r="K50" i="30"/>
  <c r="L50" i="30" s="1"/>
  <c r="K49" i="30"/>
  <c r="L49" i="30" s="1"/>
  <c r="K48" i="30"/>
  <c r="L48" i="30" s="1"/>
  <c r="K47" i="30"/>
  <c r="L47" i="30" s="1"/>
  <c r="K46" i="30"/>
  <c r="L46" i="30" s="1"/>
  <c r="K45" i="30"/>
  <c r="L45" i="30" s="1"/>
  <c r="D83" i="30" l="1"/>
  <c r="D77" i="30"/>
  <c r="D75" i="30"/>
  <c r="E9" i="30" l="1"/>
  <c r="G9" i="30"/>
  <c r="D68" i="30" l="1"/>
  <c r="D73" i="30" s="1"/>
  <c r="L51" i="30"/>
  <c r="L60" i="30" s="1"/>
  <c r="D3" i="30"/>
  <c r="C84" i="30"/>
  <c r="B84" i="30"/>
  <c r="E83" i="30"/>
  <c r="E84" i="30" s="1"/>
  <c r="D84" i="30"/>
  <c r="F41" i="30"/>
  <c r="E41" i="30"/>
  <c r="D41" i="30"/>
  <c r="C41" i="30"/>
  <c r="F39" i="30"/>
  <c r="E39" i="30"/>
  <c r="D39" i="30"/>
  <c r="C39" i="30"/>
  <c r="F37" i="30"/>
  <c r="E37" i="30"/>
  <c r="C37" i="30"/>
  <c r="G34" i="30"/>
  <c r="I34" i="30" s="1"/>
  <c r="G33" i="30"/>
  <c r="G32" i="30"/>
  <c r="G31" i="30"/>
  <c r="G30" i="30"/>
  <c r="D37" i="30"/>
  <c r="G29" i="30"/>
  <c r="G28" i="30"/>
  <c r="G27" i="30"/>
  <c r="G26" i="30"/>
  <c r="G25" i="30"/>
  <c r="G24" i="30"/>
  <c r="G21" i="30"/>
  <c r="F21" i="30"/>
  <c r="E21" i="30"/>
  <c r="C21" i="30"/>
  <c r="I35" i="24" s="1"/>
  <c r="G19" i="30"/>
  <c r="F19" i="30"/>
  <c r="E19" i="30"/>
  <c r="C19" i="30"/>
  <c r="F17" i="30"/>
  <c r="E17" i="30"/>
  <c r="C17" i="30"/>
  <c r="H16" i="30"/>
  <c r="H15" i="30"/>
  <c r="I14" i="30"/>
  <c r="H13" i="30"/>
  <c r="H71" i="30" s="1"/>
  <c r="D13" i="30"/>
  <c r="O12" i="30"/>
  <c r="H12" i="30"/>
  <c r="H70" i="30" s="1"/>
  <c r="D12" i="30"/>
  <c r="AA11" i="30"/>
  <c r="T11" i="30"/>
  <c r="Q11" i="30"/>
  <c r="S11" i="30" s="1"/>
  <c r="P11" i="30"/>
  <c r="H11" i="30"/>
  <c r="D11" i="30"/>
  <c r="AA10" i="30"/>
  <c r="T10" i="30"/>
  <c r="V10" i="30" s="1"/>
  <c r="Q10" i="30"/>
  <c r="S10" i="30" s="1"/>
  <c r="P10" i="30"/>
  <c r="H10" i="30"/>
  <c r="I10" i="30" s="1"/>
  <c r="AA9" i="30"/>
  <c r="T9" i="30"/>
  <c r="V9" i="30" s="1"/>
  <c r="Q9" i="30"/>
  <c r="S9" i="30" s="1"/>
  <c r="P9" i="30"/>
  <c r="G17" i="30"/>
  <c r="AA8" i="30"/>
  <c r="T8" i="30"/>
  <c r="V8" i="30" s="1"/>
  <c r="Q8" i="30"/>
  <c r="S8" i="30" s="1"/>
  <c r="X8" i="30" s="1"/>
  <c r="P8" i="30"/>
  <c r="H8" i="30"/>
  <c r="H67" i="30" s="1"/>
  <c r="D8" i="30"/>
  <c r="AA7" i="30"/>
  <c r="T7" i="30"/>
  <c r="V7" i="30" s="1"/>
  <c r="Q7" i="30"/>
  <c r="S7" i="30" s="1"/>
  <c r="P7" i="30"/>
  <c r="H7" i="30"/>
  <c r="F66" i="30" s="1"/>
  <c r="D7" i="30"/>
  <c r="AA6" i="30"/>
  <c r="T6" i="30"/>
  <c r="V6" i="30" s="1"/>
  <c r="Q6" i="30"/>
  <c r="S6" i="30" s="1"/>
  <c r="P6" i="30"/>
  <c r="H6" i="30"/>
  <c r="J65" i="30" s="1"/>
  <c r="D6" i="30"/>
  <c r="AA5" i="30"/>
  <c r="T5" i="30"/>
  <c r="V5" i="30" s="1"/>
  <c r="Q5" i="30"/>
  <c r="S5" i="30" s="1"/>
  <c r="P5" i="30"/>
  <c r="H5" i="30"/>
  <c r="H64" i="30" s="1"/>
  <c r="D5" i="30"/>
  <c r="AA4" i="30"/>
  <c r="T4" i="30"/>
  <c r="V4" i="30" s="1"/>
  <c r="Q4" i="30"/>
  <c r="S4" i="30" s="1"/>
  <c r="P4" i="30"/>
  <c r="H4" i="30"/>
  <c r="H63" i="30" s="1"/>
  <c r="D4" i="30"/>
  <c r="AA3" i="30"/>
  <c r="T3" i="30"/>
  <c r="V3" i="30" s="1"/>
  <c r="Q3" i="30"/>
  <c r="S3" i="30" s="1"/>
  <c r="P3" i="30"/>
  <c r="H3" i="30"/>
  <c r="C62" i="30" s="1"/>
  <c r="AD2" i="30"/>
  <c r="AA2" i="30"/>
  <c r="Z2" i="30"/>
  <c r="X2" i="30"/>
  <c r="V2" i="30"/>
  <c r="T2" i="30"/>
  <c r="Q2" i="30"/>
  <c r="P2" i="30"/>
  <c r="O2" i="30"/>
  <c r="J69" i="30" l="1"/>
  <c r="C69" i="30"/>
  <c r="X7" i="30"/>
  <c r="I40" i="24"/>
  <c r="X6" i="30"/>
  <c r="Z9" i="30"/>
  <c r="AB9" i="30" s="1"/>
  <c r="X5" i="30"/>
  <c r="G39" i="30"/>
  <c r="G67" i="30"/>
  <c r="J64" i="30"/>
  <c r="G71" i="30"/>
  <c r="I11" i="30"/>
  <c r="I12" i="30"/>
  <c r="J63" i="30"/>
  <c r="J67" i="30"/>
  <c r="G70" i="30"/>
  <c r="Z4" i="30"/>
  <c r="AB4" i="30" s="1"/>
  <c r="Z7" i="30"/>
  <c r="AB7" i="30" s="1"/>
  <c r="AC7" i="30" s="1"/>
  <c r="I8" i="30"/>
  <c r="F64" i="30"/>
  <c r="F69" i="30"/>
  <c r="J70" i="30"/>
  <c r="G63" i="30"/>
  <c r="F70" i="30"/>
  <c r="I4" i="30"/>
  <c r="J71" i="30"/>
  <c r="F63" i="30"/>
  <c r="G64" i="30"/>
  <c r="F67" i="30"/>
  <c r="F71" i="30"/>
  <c r="X3" i="30"/>
  <c r="S12" i="30"/>
  <c r="V11" i="30"/>
  <c r="X11" i="30" s="1"/>
  <c r="Z11" i="30"/>
  <c r="AB11" i="30" s="1"/>
  <c r="I16" i="30"/>
  <c r="F72" i="30"/>
  <c r="H62" i="30"/>
  <c r="I62" i="30"/>
  <c r="E62" i="30"/>
  <c r="G62" i="30"/>
  <c r="F62" i="30"/>
  <c r="K62" i="30" s="1"/>
  <c r="K75" i="30" s="1"/>
  <c r="I3" i="30"/>
  <c r="J62" i="30"/>
  <c r="H19" i="30"/>
  <c r="X10" i="30"/>
  <c r="Z6" i="30"/>
  <c r="AB6" i="30" s="1"/>
  <c r="AC6" i="30" s="1"/>
  <c r="I72" i="30"/>
  <c r="C72" i="30"/>
  <c r="I15" i="30"/>
  <c r="J72" i="30"/>
  <c r="E72" i="30"/>
  <c r="G72" i="30"/>
  <c r="G41" i="30"/>
  <c r="P12" i="30"/>
  <c r="Z3" i="30"/>
  <c r="X4" i="30"/>
  <c r="Z5" i="30"/>
  <c r="AB5" i="30" s="1"/>
  <c r="AA16" i="30"/>
  <c r="AC16" i="30" s="1"/>
  <c r="H66" i="30"/>
  <c r="C66" i="30"/>
  <c r="I66" i="30"/>
  <c r="E66" i="30"/>
  <c r="G66" i="30"/>
  <c r="X9" i="30"/>
  <c r="AC9" i="30" s="1"/>
  <c r="Z10" i="30"/>
  <c r="AB10" i="30" s="1"/>
  <c r="T12" i="30"/>
  <c r="AA15" i="30"/>
  <c r="AC15" i="30" s="1"/>
  <c r="G37" i="30"/>
  <c r="J66" i="30"/>
  <c r="Q12" i="30"/>
  <c r="H65" i="30"/>
  <c r="C65" i="30"/>
  <c r="I6" i="30"/>
  <c r="G65" i="30"/>
  <c r="I65" i="30"/>
  <c r="E65" i="30"/>
  <c r="I7" i="30"/>
  <c r="Z8" i="30"/>
  <c r="AB8" i="30" s="1"/>
  <c r="AC8" i="30" s="1"/>
  <c r="H69" i="30"/>
  <c r="I69" i="30"/>
  <c r="E69" i="30"/>
  <c r="G69" i="30"/>
  <c r="F65" i="30"/>
  <c r="I5" i="30"/>
  <c r="H9" i="30"/>
  <c r="I13" i="30"/>
  <c r="H21" i="30"/>
  <c r="E63" i="30"/>
  <c r="I63" i="30"/>
  <c r="E64" i="30"/>
  <c r="I64" i="30"/>
  <c r="E67" i="30"/>
  <c r="I67" i="30"/>
  <c r="E70" i="30"/>
  <c r="I70" i="30"/>
  <c r="E71" i="30"/>
  <c r="I71" i="30"/>
  <c r="C63" i="30"/>
  <c r="K63" i="30" s="1"/>
  <c r="C64" i="30"/>
  <c r="C67" i="30"/>
  <c r="C70" i="30"/>
  <c r="C71" i="30"/>
  <c r="F77" i="30" l="1"/>
  <c r="E77" i="30"/>
  <c r="AC5" i="30"/>
  <c r="AD5" i="30" s="1"/>
  <c r="AC4" i="30"/>
  <c r="AD4" i="30" s="1"/>
  <c r="J77" i="30"/>
  <c r="V12" i="30"/>
  <c r="H25" i="30"/>
  <c r="I25" i="30" s="1"/>
  <c r="K71" i="30"/>
  <c r="H33" i="30" s="1"/>
  <c r="I33" i="30" s="1"/>
  <c r="H77" i="30"/>
  <c r="X16" i="30"/>
  <c r="AE6" i="30"/>
  <c r="AD6" i="30"/>
  <c r="C77" i="30"/>
  <c r="K64" i="30"/>
  <c r="I77" i="30"/>
  <c r="AB3" i="30"/>
  <c r="AB12" i="30" s="1"/>
  <c r="Z12" i="30"/>
  <c r="K72" i="30"/>
  <c r="I19" i="30"/>
  <c r="E75" i="30"/>
  <c r="AD8" i="30"/>
  <c r="AE8" i="30"/>
  <c r="G77" i="30"/>
  <c r="F75" i="30"/>
  <c r="I75" i="30"/>
  <c r="K70" i="30"/>
  <c r="H32" i="30" s="1"/>
  <c r="I32" i="30" s="1"/>
  <c r="H68" i="30"/>
  <c r="H73" i="30" s="1"/>
  <c r="C68" i="30"/>
  <c r="C73" i="30" s="1"/>
  <c r="G68" i="30"/>
  <c r="G73" i="30" s="1"/>
  <c r="I68" i="30"/>
  <c r="I73" i="30" s="1"/>
  <c r="E68" i="30"/>
  <c r="E73" i="30" s="1"/>
  <c r="J68" i="30"/>
  <c r="J73" i="30" s="1"/>
  <c r="F68" i="30"/>
  <c r="F73" i="30" s="1"/>
  <c r="I9" i="30"/>
  <c r="I17" i="30" s="1"/>
  <c r="AD9" i="30"/>
  <c r="AE9" i="30"/>
  <c r="AC10" i="30"/>
  <c r="G75" i="30"/>
  <c r="C75" i="30"/>
  <c r="X15" i="30"/>
  <c r="X12" i="30"/>
  <c r="K67" i="30"/>
  <c r="H29" i="30" s="1"/>
  <c r="I29" i="30" s="1"/>
  <c r="I21" i="30"/>
  <c r="I41" i="24" s="1"/>
  <c r="AC11" i="30"/>
  <c r="K69" i="30"/>
  <c r="H31" i="30" s="1"/>
  <c r="I31" i="30" s="1"/>
  <c r="K65" i="30"/>
  <c r="H27" i="30" s="1"/>
  <c r="I27" i="30" s="1"/>
  <c r="AE7" i="30"/>
  <c r="AD7" i="30"/>
  <c r="K66" i="30"/>
  <c r="H28" i="30" s="1"/>
  <c r="I28" i="30" s="1"/>
  <c r="J75" i="30"/>
  <c r="H17" i="30"/>
  <c r="H75" i="30"/>
  <c r="K77" i="30" l="1"/>
  <c r="K73" i="30"/>
  <c r="AD15" i="30"/>
  <c r="AE15" i="30" s="1"/>
  <c r="I62" i="24"/>
  <c r="I61" i="24" s="1"/>
  <c r="I27" i="41" s="1"/>
  <c r="AD16" i="30"/>
  <c r="AE16" i="30" s="1"/>
  <c r="I70" i="24"/>
  <c r="I69" i="24" s="1"/>
  <c r="I59" i="41" s="1"/>
  <c r="AE4" i="30"/>
  <c r="AE5" i="30"/>
  <c r="AC3" i="30"/>
  <c r="AD3" i="30" s="1"/>
  <c r="AC12" i="30"/>
  <c r="AE12" i="30" s="1"/>
  <c r="AD11" i="30"/>
  <c r="AE11" i="30"/>
  <c r="H24" i="30"/>
  <c r="AE10" i="30"/>
  <c r="AD10" i="30"/>
  <c r="H26" i="30"/>
  <c r="K68" i="30"/>
  <c r="H30" i="30" s="1"/>
  <c r="I30" i="30" s="1"/>
  <c r="AE3" i="30" l="1"/>
  <c r="I26" i="30"/>
  <c r="I41" i="30" s="1"/>
  <c r="I39" i="24" s="1"/>
  <c r="H41" i="30"/>
  <c r="AD12" i="30"/>
  <c r="H39" i="30"/>
  <c r="H37" i="30"/>
  <c r="I24" i="30"/>
  <c r="D12" i="29"/>
  <c r="D13" i="29"/>
  <c r="D11" i="29"/>
  <c r="D4" i="29"/>
  <c r="D5" i="29"/>
  <c r="D6" i="29"/>
  <c r="D7" i="29"/>
  <c r="D8" i="29"/>
  <c r="D3" i="29"/>
  <c r="G9" i="29"/>
  <c r="I39" i="30" l="1"/>
  <c r="I37" i="30"/>
  <c r="D30" i="29"/>
  <c r="E9" i="29" l="1"/>
  <c r="BE18" i="38" l="1"/>
  <c r="BE20" i="38" s="1"/>
  <c r="E26" i="38" s="1"/>
  <c r="E27" i="38" s="1"/>
  <c r="W9" i="38"/>
  <c r="AE9" i="38"/>
  <c r="AY54" i="38"/>
  <c r="AY51" i="38"/>
  <c r="AV50" i="38"/>
  <c r="AV52" i="38" s="1"/>
  <c r="AU50" i="38"/>
  <c r="AU52" i="38" s="1"/>
  <c r="AN50" i="38"/>
  <c r="AN52" i="38" s="1"/>
  <c r="AM50" i="38"/>
  <c r="AM52" i="38" s="1"/>
  <c r="AQ48" i="38"/>
  <c r="AX47" i="38"/>
  <c r="AW47" i="38"/>
  <c r="AV47" i="38"/>
  <c r="AU47" i="38"/>
  <c r="AT47" i="38"/>
  <c r="AS47" i="38"/>
  <c r="AR47" i="38"/>
  <c r="AQ47" i="38"/>
  <c r="AP47" i="38"/>
  <c r="AO47" i="38"/>
  <c r="AN47" i="38"/>
  <c r="AM47" i="38"/>
  <c r="AY47" i="38" s="1"/>
  <c r="AX46" i="38"/>
  <c r="AW46" i="38"/>
  <c r="AV46" i="38"/>
  <c r="AU46" i="38"/>
  <c r="AT46" i="38"/>
  <c r="AT53" i="38" s="1"/>
  <c r="AS46" i="38"/>
  <c r="AS53" i="38" s="1"/>
  <c r="AR46" i="38"/>
  <c r="AQ46" i="38"/>
  <c r="AP46" i="38"/>
  <c r="AO46" i="38"/>
  <c r="AN46" i="38"/>
  <c r="AM46" i="38"/>
  <c r="AY46" i="38" s="1"/>
  <c r="AX45" i="38"/>
  <c r="AW45" i="38"/>
  <c r="AV45" i="38"/>
  <c r="AU45" i="38"/>
  <c r="AT45" i="38"/>
  <c r="AS45" i="38"/>
  <c r="AR45" i="38"/>
  <c r="AQ45" i="38"/>
  <c r="AP45" i="38"/>
  <c r="AY45" i="38" s="1"/>
  <c r="AO45" i="38"/>
  <c r="AN45" i="38"/>
  <c r="AM45" i="38"/>
  <c r="AX44" i="38"/>
  <c r="AW44" i="38"/>
  <c r="AV44" i="38"/>
  <c r="AU44" i="38"/>
  <c r="AT44" i="38"/>
  <c r="AS44" i="38"/>
  <c r="AR44" i="38"/>
  <c r="AQ44" i="38"/>
  <c r="AP44" i="38"/>
  <c r="AO44" i="38"/>
  <c r="AN44" i="38"/>
  <c r="AM44" i="38"/>
  <c r="AY44" i="38" s="1"/>
  <c r="AX43" i="38"/>
  <c r="AX53" i="38" s="1"/>
  <c r="AW43" i="38"/>
  <c r="AW53" i="38" s="1"/>
  <c r="AV43" i="38"/>
  <c r="AV53" i="38" s="1"/>
  <c r="AU43" i="38"/>
  <c r="AU53" i="38" s="1"/>
  <c r="AT43" i="38"/>
  <c r="AS43" i="38"/>
  <c r="AR43" i="38"/>
  <c r="AR53" i="38" s="1"/>
  <c r="AQ43" i="38"/>
  <c r="AQ53" i="38" s="1"/>
  <c r="AP43" i="38"/>
  <c r="AP53" i="38" s="1"/>
  <c r="AO43" i="38"/>
  <c r="AO53" i="38" s="1"/>
  <c r="AN43" i="38"/>
  <c r="AN53" i="38" s="1"/>
  <c r="AM43" i="38"/>
  <c r="AY43" i="38" s="1"/>
  <c r="AX42" i="38"/>
  <c r="AX48" i="38" s="1"/>
  <c r="AW42" i="38"/>
  <c r="AW48" i="38" s="1"/>
  <c r="AV42" i="38"/>
  <c r="AV48" i="38" s="1"/>
  <c r="AU42" i="38"/>
  <c r="AU48" i="38" s="1"/>
  <c r="AT42" i="38"/>
  <c r="AT50" i="38" s="1"/>
  <c r="AS42" i="38"/>
  <c r="AS50" i="38" s="1"/>
  <c r="AR42" i="38"/>
  <c r="AR50" i="38" s="1"/>
  <c r="AQ42" i="38"/>
  <c r="AQ50" i="38" s="1"/>
  <c r="AP42" i="38"/>
  <c r="AP48" i="38" s="1"/>
  <c r="AO42" i="38"/>
  <c r="AO48" i="38" s="1"/>
  <c r="AN42" i="38"/>
  <c r="AN48" i="38" s="1"/>
  <c r="AM42" i="38"/>
  <c r="AM48" i="38" s="1"/>
  <c r="AX39" i="38"/>
  <c r="AW39" i="38"/>
  <c r="AV39" i="38"/>
  <c r="AU39" i="38"/>
  <c r="AT39" i="38"/>
  <c r="AS39" i="38"/>
  <c r="AR39" i="38"/>
  <c r="AQ39" i="38"/>
  <c r="AP39" i="38"/>
  <c r="AO39" i="38"/>
  <c r="AN39" i="38"/>
  <c r="AM39" i="38"/>
  <c r="AY38" i="38"/>
  <c r="AY37" i="38"/>
  <c r="AY36" i="38"/>
  <c r="AY35" i="38"/>
  <c r="AY34" i="38"/>
  <c r="AY33" i="38"/>
  <c r="AY39" i="38" s="1"/>
  <c r="AY30" i="38"/>
  <c r="AX22" i="38"/>
  <c r="AW22" i="38"/>
  <c r="AV22" i="38"/>
  <c r="AU22" i="38"/>
  <c r="AT22" i="38"/>
  <c r="AS22" i="38"/>
  <c r="AR22" i="38"/>
  <c r="AQ22" i="38"/>
  <c r="AP22" i="38"/>
  <c r="AO22" i="38"/>
  <c r="AN22" i="38"/>
  <c r="AM22" i="38"/>
  <c r="AY21" i="38"/>
  <c r="AY20" i="38"/>
  <c r="AY19" i="38"/>
  <c r="AY18" i="38"/>
  <c r="AY17" i="38"/>
  <c r="AY22" i="38" s="1"/>
  <c r="AY16" i="38"/>
  <c r="AX13" i="38"/>
  <c r="AW13" i="38"/>
  <c r="AV13" i="38"/>
  <c r="AU13" i="38"/>
  <c r="AT13" i="38"/>
  <c r="AS13" i="38"/>
  <c r="AR13" i="38"/>
  <c r="AQ13" i="38"/>
  <c r="AP13" i="38"/>
  <c r="AO13" i="38"/>
  <c r="AN13" i="38"/>
  <c r="AM13" i="38"/>
  <c r="AY12" i="38"/>
  <c r="AY11" i="38"/>
  <c r="AY10" i="38"/>
  <c r="AY9" i="38"/>
  <c r="AY8" i="38"/>
  <c r="AY7" i="38"/>
  <c r="AY13" i="38" s="1"/>
  <c r="S2" i="38"/>
  <c r="S22" i="38"/>
  <c r="S23" i="38" s="1"/>
  <c r="S25" i="38" s="1"/>
  <c r="S26" i="38" s="1"/>
  <c r="S21" i="38"/>
  <c r="S9" i="38"/>
  <c r="S10" i="38" s="1"/>
  <c r="U23" i="38" s="1"/>
  <c r="S8" i="38"/>
  <c r="Q12" i="38"/>
  <c r="P12" i="38"/>
  <c r="O14" i="38"/>
  <c r="G33" i="38"/>
  <c r="F33" i="38"/>
  <c r="G31" i="38"/>
  <c r="F31" i="38"/>
  <c r="G30" i="38"/>
  <c r="F30" i="38"/>
  <c r="I21" i="38"/>
  <c r="H21" i="38"/>
  <c r="G21" i="38"/>
  <c r="G32" i="38" s="1"/>
  <c r="F21" i="38"/>
  <c r="F32" i="38" s="1"/>
  <c r="E21" i="38"/>
  <c r="E19" i="38"/>
  <c r="E13" i="38"/>
  <c r="K11" i="38"/>
  <c r="J11" i="38"/>
  <c r="I11" i="38"/>
  <c r="H11" i="38"/>
  <c r="G11" i="38"/>
  <c r="F11" i="38"/>
  <c r="E11" i="38" s="1"/>
  <c r="E10" i="38"/>
  <c r="E9" i="38"/>
  <c r="AA9" i="38" l="1"/>
  <c r="AR52" i="38"/>
  <c r="AN55" i="38"/>
  <c r="W13" i="38"/>
  <c r="AV55" i="38"/>
  <c r="AE13" i="38"/>
  <c r="Z9" i="38"/>
  <c r="AQ52" i="38"/>
  <c r="AU55" i="38"/>
  <c r="AD13" i="38"/>
  <c r="AS52" i="38"/>
  <c r="AB9" i="38"/>
  <c r="AO55" i="38"/>
  <c r="X13" i="38"/>
  <c r="AF13" i="38"/>
  <c r="AW55" i="38"/>
  <c r="AB13" i="38"/>
  <c r="AS55" i="38"/>
  <c r="F34" i="38"/>
  <c r="P20" i="38"/>
  <c r="AT52" i="38"/>
  <c r="AC9" i="38"/>
  <c r="Y13" i="38"/>
  <c r="AP55" i="38"/>
  <c r="AX55" i="38"/>
  <c r="AG13" i="38"/>
  <c r="AC13" i="38"/>
  <c r="AT55" i="38"/>
  <c r="G34" i="38"/>
  <c r="Q20" i="38"/>
  <c r="AQ55" i="38"/>
  <c r="Z13" i="38"/>
  <c r="AR55" i="38"/>
  <c r="AA13" i="38"/>
  <c r="AR48" i="38"/>
  <c r="AD9" i="38"/>
  <c r="AY42" i="38"/>
  <c r="AY48" i="38" s="1"/>
  <c r="AS48" i="38"/>
  <c r="AO50" i="38"/>
  <c r="AW50" i="38"/>
  <c r="AM53" i="38"/>
  <c r="AT48" i="38"/>
  <c r="AP50" i="38"/>
  <c r="AX50" i="38"/>
  <c r="AY50" i="38"/>
  <c r="AY52" i="38" s="1"/>
  <c r="V9" i="38"/>
  <c r="BE22" i="38"/>
  <c r="BE24" i="38" s="1"/>
  <c r="AY53" i="38"/>
  <c r="AY55" i="38" s="1"/>
  <c r="U27" i="38"/>
  <c r="S27" i="38"/>
  <c r="J14" i="38"/>
  <c r="J15" i="38" s="1"/>
  <c r="G14" i="38"/>
  <c r="G15" i="38" s="1"/>
  <c r="K14" i="38"/>
  <c r="K15" i="38" s="1"/>
  <c r="H14" i="38"/>
  <c r="H15" i="38" s="1"/>
  <c r="H17" i="38" s="1"/>
  <c r="H23" i="38" s="1"/>
  <c r="H40" i="38" s="1"/>
  <c r="H41" i="38" s="1"/>
  <c r="E14" i="38"/>
  <c r="I14" i="38"/>
  <c r="I15" i="38" s="1"/>
  <c r="I17" i="38" s="1"/>
  <c r="I23" i="38" s="1"/>
  <c r="I40" i="38" s="1"/>
  <c r="I41" i="38" s="1"/>
  <c r="F14" i="38"/>
  <c r="F15" i="38" s="1"/>
  <c r="P21" i="38" s="1"/>
  <c r="AW57" i="38" l="1"/>
  <c r="AV57" i="38"/>
  <c r="AN57" i="38"/>
  <c r="AO57" i="38"/>
  <c r="AU57" i="38"/>
  <c r="AP57" i="38"/>
  <c r="AQ57" i="38"/>
  <c r="AX57" i="38"/>
  <c r="AM57" i="38"/>
  <c r="AS57" i="38"/>
  <c r="AT57" i="38"/>
  <c r="E42" i="24"/>
  <c r="E20" i="24"/>
  <c r="F42" i="24"/>
  <c r="F20" i="24"/>
  <c r="G42" i="24"/>
  <c r="G20" i="24"/>
  <c r="D42" i="24"/>
  <c r="D20" i="24"/>
  <c r="Y9" i="38"/>
  <c r="AP52" i="38"/>
  <c r="AM55" i="38"/>
  <c r="V13" i="38"/>
  <c r="AG9" i="38"/>
  <c r="AX52" i="38"/>
  <c r="AR57" i="38"/>
  <c r="AF9" i="38"/>
  <c r="AW52" i="38"/>
  <c r="X9" i="38"/>
  <c r="AO52" i="38"/>
  <c r="G17" i="38"/>
  <c r="G23" i="38" s="1"/>
  <c r="Q21" i="38"/>
  <c r="F17" i="38"/>
  <c r="E15" i="38"/>
  <c r="V14" i="38" l="1"/>
  <c r="AH13" i="38"/>
  <c r="AH9" i="38"/>
  <c r="AF10" i="38" s="1"/>
  <c r="AY57" i="38"/>
  <c r="G40" i="38"/>
  <c r="G41" i="38" s="1"/>
  <c r="Q10" i="38"/>
  <c r="Q14" i="38" s="1"/>
  <c r="F23" i="38"/>
  <c r="P10" i="38" s="1"/>
  <c r="P14" i="38" s="1"/>
  <c r="E17" i="38"/>
  <c r="W10" i="38" l="1"/>
  <c r="AE10" i="38"/>
  <c r="Z10" i="38"/>
  <c r="V10" i="38"/>
  <c r="AD10" i="38"/>
  <c r="AA10" i="38"/>
  <c r="AB10" i="38"/>
  <c r="AC10" i="38"/>
  <c r="X10" i="38"/>
  <c r="AG10" i="38"/>
  <c r="Y10" i="38"/>
  <c r="X14" i="38"/>
  <c r="AC14" i="38"/>
  <c r="AE14" i="38"/>
  <c r="AD14" i="38"/>
  <c r="AF14" i="38"/>
  <c r="AH14" i="38" s="1"/>
  <c r="W14" i="38"/>
  <c r="AG14" i="38"/>
  <c r="Z14" i="38"/>
  <c r="AB14" i="38"/>
  <c r="Y14" i="38"/>
  <c r="AA14" i="38"/>
  <c r="P19" i="38"/>
  <c r="P22" i="38" s="1"/>
  <c r="AH22" i="38"/>
  <c r="Q19" i="38"/>
  <c r="Q22" i="38" s="1"/>
  <c r="AH26" i="38"/>
  <c r="E23" i="38"/>
  <c r="F40" i="38"/>
  <c r="F41" i="38" s="1"/>
  <c r="AH10" i="38" l="1"/>
  <c r="X27" i="38"/>
  <c r="F36" i="24" s="1"/>
  <c r="AB27" i="38"/>
  <c r="AF27" i="38"/>
  <c r="Y27" i="38"/>
  <c r="G36" i="24" s="1"/>
  <c r="AC27" i="38"/>
  <c r="AG27" i="38"/>
  <c r="V27" i="38"/>
  <c r="D36" i="24" s="1"/>
  <c r="Z27" i="38"/>
  <c r="AD27" i="38"/>
  <c r="W27" i="38"/>
  <c r="E36" i="24" s="1"/>
  <c r="AA27" i="38"/>
  <c r="AE27" i="38"/>
  <c r="Y23" i="38"/>
  <c r="G14" i="24" s="1"/>
  <c r="AC23" i="38"/>
  <c r="AG23" i="38"/>
  <c r="Z23" i="38"/>
  <c r="AD23" i="38"/>
  <c r="W23" i="38"/>
  <c r="E14" i="24" s="1"/>
  <c r="AA23" i="38"/>
  <c r="AE23" i="38"/>
  <c r="V23" i="38"/>
  <c r="D14" i="24" s="1"/>
  <c r="X23" i="38"/>
  <c r="F14" i="24" s="1"/>
  <c r="AB23" i="38"/>
  <c r="AF23" i="38"/>
  <c r="AH27" i="38" l="1"/>
  <c r="AH23" i="38"/>
  <c r="A6" i="23" l="1"/>
  <c r="A4" i="18"/>
  <c r="A2" i="18"/>
  <c r="A5" i="16"/>
  <c r="E26" i="15"/>
  <c r="C21" i="29" l="1"/>
  <c r="G33" i="15" l="1"/>
  <c r="F33" i="15"/>
  <c r="G31" i="15"/>
  <c r="F31" i="15"/>
  <c r="G30" i="15"/>
  <c r="F30" i="15"/>
  <c r="E27" i="15"/>
  <c r="I21" i="15"/>
  <c r="H21" i="15"/>
  <c r="G21" i="15"/>
  <c r="E21" i="15" s="1"/>
  <c r="F21" i="15"/>
  <c r="F32" i="15" s="1"/>
  <c r="E19" i="15"/>
  <c r="E13" i="15"/>
  <c r="K11" i="15"/>
  <c r="J11" i="15"/>
  <c r="I11" i="15"/>
  <c r="H11" i="15"/>
  <c r="G11" i="15"/>
  <c r="F11" i="15"/>
  <c r="E10" i="15"/>
  <c r="E9" i="15"/>
  <c r="G32" i="15" l="1"/>
  <c r="G34" i="15" s="1"/>
  <c r="E11" i="15"/>
  <c r="F34" i="15"/>
  <c r="H14" i="15"/>
  <c r="H15" i="15" s="1"/>
  <c r="H17" i="15" s="1"/>
  <c r="H23" i="15" s="1"/>
  <c r="H39" i="15" s="1"/>
  <c r="H40" i="15" s="1"/>
  <c r="K14" i="15"/>
  <c r="K15" i="15" s="1"/>
  <c r="G14" i="15"/>
  <c r="G15" i="15" s="1"/>
  <c r="J14" i="15"/>
  <c r="J15" i="15" s="1"/>
  <c r="F14" i="15"/>
  <c r="F15" i="15" s="1"/>
  <c r="I14" i="15"/>
  <c r="I15" i="15" s="1"/>
  <c r="I17" i="15" s="1"/>
  <c r="I23" i="15" s="1"/>
  <c r="I39" i="15" s="1"/>
  <c r="I40" i="15" s="1"/>
  <c r="E14" i="15"/>
  <c r="E15" i="15" l="1"/>
  <c r="F17" i="15"/>
  <c r="F23" i="15" s="1"/>
  <c r="G17" i="15"/>
  <c r="G23" i="15" s="1"/>
  <c r="G39" i="15" s="1"/>
  <c r="G40" i="15" s="1"/>
  <c r="E23" i="16"/>
  <c r="E17" i="15" l="1"/>
  <c r="F39" i="15"/>
  <c r="F40" i="15" s="1"/>
  <c r="E23" i="15"/>
  <c r="K56" i="29" l="1"/>
  <c r="K46" i="29"/>
  <c r="K45" i="29"/>
  <c r="H48" i="24" l="1"/>
  <c r="C84" i="29"/>
  <c r="B84" i="29"/>
  <c r="H35" i="24" s="1"/>
  <c r="E83" i="29"/>
  <c r="E84" i="29" s="1"/>
  <c r="K57" i="29"/>
  <c r="L56" i="29"/>
  <c r="K55" i="29"/>
  <c r="K54" i="29"/>
  <c r="K53" i="29"/>
  <c r="K52" i="29"/>
  <c r="K51" i="29"/>
  <c r="K50" i="29"/>
  <c r="K49" i="29"/>
  <c r="K48" i="29"/>
  <c r="K47" i="29"/>
  <c r="F41" i="29"/>
  <c r="E41" i="29"/>
  <c r="D41" i="29"/>
  <c r="C41" i="29"/>
  <c r="H40" i="24" s="1"/>
  <c r="F39" i="29"/>
  <c r="E39" i="29"/>
  <c r="D39" i="29"/>
  <c r="C39" i="29"/>
  <c r="F37" i="29"/>
  <c r="E37" i="29"/>
  <c r="C37" i="29"/>
  <c r="G34" i="29"/>
  <c r="I34" i="29" s="1"/>
  <c r="G33" i="29"/>
  <c r="G32" i="29"/>
  <c r="G31" i="29"/>
  <c r="G30" i="29"/>
  <c r="G29" i="29"/>
  <c r="G28" i="29"/>
  <c r="G27" i="29"/>
  <c r="G26" i="29"/>
  <c r="G25" i="29"/>
  <c r="G24" i="29"/>
  <c r="G21" i="29"/>
  <c r="F21" i="29"/>
  <c r="E21" i="29"/>
  <c r="G19" i="29"/>
  <c r="F19" i="29"/>
  <c r="E19" i="29"/>
  <c r="C19" i="29"/>
  <c r="F17" i="29"/>
  <c r="C17" i="29"/>
  <c r="H16" i="29"/>
  <c r="I16" i="29" s="1"/>
  <c r="H15" i="29"/>
  <c r="I14" i="29"/>
  <c r="H13" i="29"/>
  <c r="G71" i="29" s="1"/>
  <c r="O12" i="29"/>
  <c r="H12" i="29"/>
  <c r="G70" i="29" s="1"/>
  <c r="AA11" i="29"/>
  <c r="T11" i="29"/>
  <c r="V11" i="29" s="1"/>
  <c r="Q11" i="29"/>
  <c r="P11" i="29"/>
  <c r="H11" i="29"/>
  <c r="G69" i="29" s="1"/>
  <c r="AA10" i="29"/>
  <c r="T10" i="29"/>
  <c r="V10" i="29" s="1"/>
  <c r="Q10" i="29"/>
  <c r="S10" i="29" s="1"/>
  <c r="P10" i="29"/>
  <c r="H10" i="29"/>
  <c r="I10" i="29" s="1"/>
  <c r="AA9" i="29"/>
  <c r="T9" i="29"/>
  <c r="V9" i="29" s="1"/>
  <c r="Q9" i="29"/>
  <c r="P9" i="29"/>
  <c r="E17" i="29"/>
  <c r="AA8" i="29"/>
  <c r="T8" i="29"/>
  <c r="V8" i="29" s="1"/>
  <c r="Q8" i="29"/>
  <c r="P8" i="29"/>
  <c r="H8" i="29"/>
  <c r="G67" i="29" s="1"/>
  <c r="AA7" i="29"/>
  <c r="T7" i="29"/>
  <c r="V7" i="29" s="1"/>
  <c r="Q7" i="29"/>
  <c r="S7" i="29" s="1"/>
  <c r="P7" i="29"/>
  <c r="H7" i="29"/>
  <c r="G66" i="29" s="1"/>
  <c r="AA6" i="29"/>
  <c r="T6" i="29"/>
  <c r="V6" i="29" s="1"/>
  <c r="Q6" i="29"/>
  <c r="P6" i="29"/>
  <c r="H6" i="29"/>
  <c r="G65" i="29" s="1"/>
  <c r="AA5" i="29"/>
  <c r="T5" i="29"/>
  <c r="V5" i="29" s="1"/>
  <c r="Q5" i="29"/>
  <c r="S5" i="29" s="1"/>
  <c r="P5" i="29"/>
  <c r="H5" i="29"/>
  <c r="G64" i="29" s="1"/>
  <c r="AA4" i="29"/>
  <c r="T4" i="29"/>
  <c r="V4" i="29" s="1"/>
  <c r="Q4" i="29"/>
  <c r="P4" i="29"/>
  <c r="H4" i="29"/>
  <c r="G63" i="29" s="1"/>
  <c r="AA3" i="29"/>
  <c r="T3" i="29"/>
  <c r="Q3" i="29"/>
  <c r="P3" i="29"/>
  <c r="H3" i="29"/>
  <c r="AD2" i="29"/>
  <c r="AA2" i="29"/>
  <c r="Z2" i="29"/>
  <c r="X2" i="29"/>
  <c r="V2" i="29"/>
  <c r="T2" i="29"/>
  <c r="Q2" i="29"/>
  <c r="P2" i="29"/>
  <c r="O2" i="29"/>
  <c r="D83" i="29" l="1"/>
  <c r="D84" i="29" s="1"/>
  <c r="G62" i="29"/>
  <c r="D62" i="29"/>
  <c r="F62" i="29"/>
  <c r="I13" i="29"/>
  <c r="F71" i="29"/>
  <c r="L55" i="29"/>
  <c r="Z7" i="29"/>
  <c r="AB7" i="29" s="1"/>
  <c r="X7" i="29"/>
  <c r="F66" i="29"/>
  <c r="Z5" i="29"/>
  <c r="AB5" i="29" s="1"/>
  <c r="X5" i="29"/>
  <c r="L47" i="29"/>
  <c r="G41" i="29"/>
  <c r="L50" i="29"/>
  <c r="I4" i="29"/>
  <c r="I6" i="29"/>
  <c r="I8" i="29"/>
  <c r="I12" i="29"/>
  <c r="L48" i="29"/>
  <c r="L52" i="29"/>
  <c r="F64" i="29"/>
  <c r="F69" i="29"/>
  <c r="L46" i="29"/>
  <c r="L54" i="29"/>
  <c r="F63" i="29"/>
  <c r="F67" i="29"/>
  <c r="I3" i="29"/>
  <c r="I19" i="29" s="1"/>
  <c r="I5" i="29"/>
  <c r="I7" i="29"/>
  <c r="X10" i="29"/>
  <c r="I11" i="29"/>
  <c r="H19" i="29"/>
  <c r="L45" i="29"/>
  <c r="L49" i="29"/>
  <c r="L53" i="29"/>
  <c r="F65" i="29"/>
  <c r="F70" i="29"/>
  <c r="G75" i="29"/>
  <c r="G17" i="29"/>
  <c r="H9" i="29"/>
  <c r="H17" i="29" s="1"/>
  <c r="T12" i="29"/>
  <c r="V3" i="29"/>
  <c r="V12" i="29" s="1"/>
  <c r="Z8" i="29"/>
  <c r="AB8" i="29" s="1"/>
  <c r="S8" i="29"/>
  <c r="X8" i="29" s="1"/>
  <c r="Z9" i="29"/>
  <c r="AB9" i="29" s="1"/>
  <c r="S9" i="29"/>
  <c r="X9" i="29" s="1"/>
  <c r="AA15" i="29"/>
  <c r="AC15" i="29" s="1"/>
  <c r="Z4" i="29"/>
  <c r="AB4" i="29" s="1"/>
  <c r="S4" i="29"/>
  <c r="X4" i="29" s="1"/>
  <c r="Q12" i="29"/>
  <c r="G77" i="29"/>
  <c r="Z10" i="29"/>
  <c r="AB10" i="29" s="1"/>
  <c r="Z11" i="29"/>
  <c r="AB11" i="29" s="1"/>
  <c r="S11" i="29"/>
  <c r="X11" i="29" s="1"/>
  <c r="L57" i="29"/>
  <c r="Z6" i="29"/>
  <c r="AB6" i="29" s="1"/>
  <c r="S6" i="29"/>
  <c r="X6" i="29" s="1"/>
  <c r="H72" i="29"/>
  <c r="C72" i="29"/>
  <c r="I15" i="29"/>
  <c r="E72" i="29"/>
  <c r="I72" i="29"/>
  <c r="D72" i="29"/>
  <c r="F72" i="29"/>
  <c r="G37" i="29"/>
  <c r="G39" i="29"/>
  <c r="P12" i="29"/>
  <c r="AA16" i="29"/>
  <c r="AC16" i="29" s="1"/>
  <c r="H21" i="29"/>
  <c r="D37" i="29"/>
  <c r="H62" i="29"/>
  <c r="D63" i="29"/>
  <c r="H63" i="29"/>
  <c r="D64" i="29"/>
  <c r="H64" i="29"/>
  <c r="D65" i="29"/>
  <c r="H65" i="29"/>
  <c r="D66" i="29"/>
  <c r="H66" i="29"/>
  <c r="D67" i="29"/>
  <c r="H67" i="29"/>
  <c r="D69" i="29"/>
  <c r="H69" i="29"/>
  <c r="D70" i="29"/>
  <c r="H70" i="29"/>
  <c r="D71" i="29"/>
  <c r="H71" i="29"/>
  <c r="S3" i="29"/>
  <c r="Z3" i="29"/>
  <c r="E62" i="29"/>
  <c r="I62" i="29"/>
  <c r="E63" i="29"/>
  <c r="I63" i="29"/>
  <c r="E64" i="29"/>
  <c r="I64" i="29"/>
  <c r="E65" i="29"/>
  <c r="I65" i="29"/>
  <c r="E66" i="29"/>
  <c r="I66" i="29"/>
  <c r="E67" i="29"/>
  <c r="I67" i="29"/>
  <c r="E69" i="29"/>
  <c r="I69" i="29"/>
  <c r="E70" i="29"/>
  <c r="I70" i="29"/>
  <c r="E71" i="29"/>
  <c r="I71" i="29"/>
  <c r="C62" i="29"/>
  <c r="C63" i="29"/>
  <c r="C64" i="29"/>
  <c r="C65" i="29"/>
  <c r="C66" i="29"/>
  <c r="C67" i="29"/>
  <c r="C69" i="29"/>
  <c r="C70" i="29"/>
  <c r="C71" i="29"/>
  <c r="L51" i="29" l="1"/>
  <c r="L60" i="29" s="1"/>
  <c r="F75" i="29"/>
  <c r="AC5" i="29"/>
  <c r="AD5" i="29" s="1"/>
  <c r="AC10" i="29"/>
  <c r="AE10" i="29" s="1"/>
  <c r="AC7" i="29"/>
  <c r="AD7" i="29" s="1"/>
  <c r="X16" i="29"/>
  <c r="F77" i="29"/>
  <c r="J70" i="29"/>
  <c r="H32" i="29" s="1"/>
  <c r="I32" i="29" s="1"/>
  <c r="J65" i="29"/>
  <c r="H27" i="29" s="1"/>
  <c r="I27" i="29" s="1"/>
  <c r="I77" i="29"/>
  <c r="H77" i="29"/>
  <c r="AC11" i="29"/>
  <c r="AD11" i="29" s="1"/>
  <c r="AC8" i="29"/>
  <c r="AE8" i="29" s="1"/>
  <c r="I21" i="29"/>
  <c r="H41" i="24" s="1"/>
  <c r="J67" i="29"/>
  <c r="H29" i="29" s="1"/>
  <c r="I29" i="29" s="1"/>
  <c r="J63" i="29"/>
  <c r="H25" i="29" s="1"/>
  <c r="I25" i="29" s="1"/>
  <c r="AC4" i="29"/>
  <c r="AD4" i="29" s="1"/>
  <c r="AC9" i="29"/>
  <c r="AD9" i="29" s="1"/>
  <c r="H75" i="29"/>
  <c r="J72" i="29"/>
  <c r="I75" i="29"/>
  <c r="J69" i="29"/>
  <c r="H31" i="29" s="1"/>
  <c r="I31" i="29" s="1"/>
  <c r="AB3" i="29"/>
  <c r="AB12" i="29" s="1"/>
  <c r="Z12" i="29"/>
  <c r="J71" i="29"/>
  <c r="H33" i="29" s="1"/>
  <c r="I33" i="29" s="1"/>
  <c r="J66" i="29"/>
  <c r="H28" i="29" s="1"/>
  <c r="I28" i="29" s="1"/>
  <c r="C75" i="29"/>
  <c r="J62" i="29"/>
  <c r="X3" i="29"/>
  <c r="S12" i="29"/>
  <c r="C77" i="29"/>
  <c r="J64" i="29"/>
  <c r="E77" i="29"/>
  <c r="E75" i="29"/>
  <c r="D77" i="29"/>
  <c r="D75" i="29"/>
  <c r="AC6" i="29"/>
  <c r="G68" i="29"/>
  <c r="G73" i="29" s="1"/>
  <c r="C68" i="29"/>
  <c r="I68" i="29"/>
  <c r="I73" i="29" s="1"/>
  <c r="E68" i="29"/>
  <c r="E73" i="29" s="1"/>
  <c r="H68" i="29"/>
  <c r="H73" i="29" s="1"/>
  <c r="D68" i="29"/>
  <c r="D73" i="29" s="1"/>
  <c r="I9" i="29"/>
  <c r="I17" i="29" s="1"/>
  <c r="F68" i="29"/>
  <c r="F73" i="29" s="1"/>
  <c r="G9" i="28"/>
  <c r="AD16" i="29" l="1"/>
  <c r="AE16" i="29" s="1"/>
  <c r="H70" i="24"/>
  <c r="H69" i="24" s="1"/>
  <c r="H59" i="41" s="1"/>
  <c r="AE5" i="29"/>
  <c r="AE7" i="29"/>
  <c r="AD10" i="29"/>
  <c r="AD8" i="29"/>
  <c r="AE4" i="29"/>
  <c r="AE11" i="29"/>
  <c r="AE9" i="29"/>
  <c r="AD6" i="29"/>
  <c r="AE6" i="29"/>
  <c r="J68" i="29"/>
  <c r="H30" i="29" s="1"/>
  <c r="I30" i="29" s="1"/>
  <c r="C73" i="29"/>
  <c r="X12" i="29"/>
  <c r="X15" i="29"/>
  <c r="AC3" i="29"/>
  <c r="J77" i="29"/>
  <c r="H26" i="29"/>
  <c r="H24" i="29"/>
  <c r="J75" i="29"/>
  <c r="AD15" i="29" l="1"/>
  <c r="AE15" i="29" s="1"/>
  <c r="H62" i="24"/>
  <c r="H61" i="24" s="1"/>
  <c r="H27" i="41" s="1"/>
  <c r="J73" i="29"/>
  <c r="AD3" i="29"/>
  <c r="AD12" i="29" s="1"/>
  <c r="AC12" i="29"/>
  <c r="AE12" i="29" s="1"/>
  <c r="AE3" i="29"/>
  <c r="H39" i="29"/>
  <c r="H37" i="29"/>
  <c r="I24" i="29"/>
  <c r="I26" i="29"/>
  <c r="I41" i="29" s="1"/>
  <c r="H39" i="24" s="1"/>
  <c r="H41" i="29"/>
  <c r="I37" i="29" l="1"/>
  <c r="I39" i="29"/>
  <c r="T10" i="28"/>
  <c r="V10" i="28" s="1"/>
  <c r="T11" i="28"/>
  <c r="V11" i="28" s="1"/>
  <c r="T9" i="28"/>
  <c r="V9" i="28" s="1"/>
  <c r="T4" i="28"/>
  <c r="T5" i="28"/>
  <c r="V5" i="28" s="1"/>
  <c r="T6" i="28"/>
  <c r="V6" i="28" s="1"/>
  <c r="T7" i="28"/>
  <c r="V7" i="28" s="1"/>
  <c r="T8" i="28"/>
  <c r="T3" i="28"/>
  <c r="Q10" i="28"/>
  <c r="Q11" i="28"/>
  <c r="S11" i="28" s="1"/>
  <c r="Q9" i="28"/>
  <c r="S9" i="28" s="1"/>
  <c r="Q4" i="28"/>
  <c r="S4" i="28" s="1"/>
  <c r="Q5" i="28"/>
  <c r="S5" i="28" s="1"/>
  <c r="Q6" i="28"/>
  <c r="Q7" i="28"/>
  <c r="S7" i="28" s="1"/>
  <c r="Q8" i="28"/>
  <c r="Q3" i="28"/>
  <c r="P10" i="28"/>
  <c r="P11" i="28"/>
  <c r="P9" i="28"/>
  <c r="P4" i="28"/>
  <c r="Z4" i="28" s="1"/>
  <c r="AB4" i="28" s="1"/>
  <c r="P5" i="28"/>
  <c r="P6" i="28"/>
  <c r="P7" i="28"/>
  <c r="P8" i="28"/>
  <c r="P3" i="28"/>
  <c r="AA11" i="28"/>
  <c r="AA10" i="28"/>
  <c r="S10" i="28"/>
  <c r="AA9" i="28"/>
  <c r="AA8" i="28"/>
  <c r="V8" i="28"/>
  <c r="S8" i="28"/>
  <c r="X8" i="28" s="1"/>
  <c r="AA7" i="28"/>
  <c r="AA6" i="28"/>
  <c r="S6" i="28"/>
  <c r="AA5" i="28"/>
  <c r="AA4" i="28"/>
  <c r="V4" i="28"/>
  <c r="AA3" i="28"/>
  <c r="V3" i="28"/>
  <c r="S3" i="28"/>
  <c r="X3" i="28" s="1"/>
  <c r="AD2" i="28"/>
  <c r="AA2" i="28"/>
  <c r="Z2" i="28"/>
  <c r="X2" i="28"/>
  <c r="V2" i="28"/>
  <c r="T2" i="28"/>
  <c r="Q2" i="28"/>
  <c r="P2" i="28"/>
  <c r="O2" i="28"/>
  <c r="Z8" i="28" l="1"/>
  <c r="AB8" i="28" s="1"/>
  <c r="X10" i="28"/>
  <c r="AA15" i="28"/>
  <c r="AC15" i="28" s="1"/>
  <c r="X9" i="28"/>
  <c r="X7" i="28"/>
  <c r="X5" i="28"/>
  <c r="X6" i="28"/>
  <c r="Z7" i="28"/>
  <c r="AB7" i="28" s="1"/>
  <c r="X4" i="28"/>
  <c r="X15" i="28" s="1"/>
  <c r="G62" i="24" s="1"/>
  <c r="T12" i="28"/>
  <c r="Z6" i="28"/>
  <c r="AB6" i="28" s="1"/>
  <c r="Z9" i="28"/>
  <c r="AB9" i="28" s="1"/>
  <c r="AC8" i="28"/>
  <c r="AD8" i="28" s="1"/>
  <c r="Z5" i="28"/>
  <c r="AB5" i="28" s="1"/>
  <c r="V12" i="28"/>
  <c r="AC6" i="28"/>
  <c r="S12" i="28"/>
  <c r="X11" i="28"/>
  <c r="Z10" i="28"/>
  <c r="AB10" i="28" s="1"/>
  <c r="Z11" i="28"/>
  <c r="AB11" i="28" s="1"/>
  <c r="Q12" i="28"/>
  <c r="AA16" i="28"/>
  <c r="AC16" i="28" s="1"/>
  <c r="Z3" i="28"/>
  <c r="O12" i="28"/>
  <c r="P12" i="28"/>
  <c r="AC5" i="28" l="1"/>
  <c r="AC7" i="28"/>
  <c r="AC10" i="28"/>
  <c r="AC9" i="28"/>
  <c r="AE9" i="28" s="1"/>
  <c r="AE8" i="28"/>
  <c r="AD15" i="28"/>
  <c r="AE15" i="28" s="1"/>
  <c r="G61" i="24"/>
  <c r="G27" i="41" s="1"/>
  <c r="G17" i="41" s="1"/>
  <c r="H17" i="41" s="1"/>
  <c r="I17" i="41" s="1"/>
  <c r="J17" i="41" s="1"/>
  <c r="K17" i="41" s="1"/>
  <c r="L17" i="41" s="1"/>
  <c r="M17" i="41" s="1"/>
  <c r="AC4" i="28"/>
  <c r="AE4" i="28" s="1"/>
  <c r="X12" i="28"/>
  <c r="X16" i="28"/>
  <c r="AE10" i="28"/>
  <c r="AD10" i="28"/>
  <c r="AD16" i="28"/>
  <c r="AE16" i="28" s="1"/>
  <c r="AE5" i="28"/>
  <c r="AD5" i="28"/>
  <c r="AE6" i="28"/>
  <c r="AD6" i="28"/>
  <c r="AB3" i="28"/>
  <c r="Z12" i="28"/>
  <c r="AC11" i="28"/>
  <c r="AE7" i="28"/>
  <c r="AD7" i="28"/>
  <c r="AD4" i="28" l="1"/>
  <c r="AD9" i="28"/>
  <c r="G70" i="24"/>
  <c r="G69" i="24" s="1"/>
  <c r="G59" i="41" s="1"/>
  <c r="G49" i="41" s="1"/>
  <c r="H49" i="41" s="1"/>
  <c r="I49" i="41" s="1"/>
  <c r="J49" i="41" s="1"/>
  <c r="K49" i="41" s="1"/>
  <c r="L49" i="41" s="1"/>
  <c r="M49" i="41" s="1"/>
  <c r="N5" i="41"/>
  <c r="N17" i="41"/>
  <c r="O17" i="41" s="1"/>
  <c r="P17" i="41" s="1"/>
  <c r="Q17" i="41" s="1"/>
  <c r="R17" i="41" s="1"/>
  <c r="S17" i="41" s="1"/>
  <c r="AB12" i="28"/>
  <c r="AC3" i="28"/>
  <c r="AE11" i="28"/>
  <c r="AD11" i="28"/>
  <c r="N50" i="41" l="1"/>
  <c r="O50" i="41" s="1"/>
  <c r="P50" i="41" s="1"/>
  <c r="Q50" i="41" s="1"/>
  <c r="R50" i="41" s="1"/>
  <c r="S50" i="41" s="1"/>
  <c r="T50" i="41" s="1"/>
  <c r="U50" i="41" s="1"/>
  <c r="V50" i="41" s="1"/>
  <c r="W50" i="41" s="1"/>
  <c r="X50" i="41" s="1"/>
  <c r="Y50" i="41" s="1"/>
  <c r="N37" i="41"/>
  <c r="N38" i="41" s="1"/>
  <c r="N40" i="41" s="1"/>
  <c r="N6" i="41"/>
  <c r="N8" i="41" s="1"/>
  <c r="AC12" i="28"/>
  <c r="AE12" i="28" s="1"/>
  <c r="AE3" i="28"/>
  <c r="AD3" i="28"/>
  <c r="AD12" i="28" s="1"/>
  <c r="O36" i="41" l="1"/>
  <c r="O38" i="41"/>
  <c r="AH9" i="41"/>
  <c r="AF9" i="41"/>
  <c r="AK9" i="41"/>
  <c r="M20" i="41" s="1"/>
  <c r="AD9" i="41"/>
  <c r="Z9" i="41"/>
  <c r="AB9" i="41"/>
  <c r="AJ9" i="41"/>
  <c r="L20" i="41" s="1"/>
  <c r="AC9" i="41"/>
  <c r="AE9" i="41"/>
  <c r="AA9" i="41"/>
  <c r="AG9" i="41"/>
  <c r="AI9" i="41"/>
  <c r="AG41" i="41"/>
  <c r="AH41" i="41"/>
  <c r="AD41" i="41"/>
  <c r="AJ41" i="41"/>
  <c r="Z41" i="41"/>
  <c r="AB41" i="41"/>
  <c r="AC41" i="41"/>
  <c r="AE41" i="41"/>
  <c r="AA41" i="41"/>
  <c r="AK41" i="41"/>
  <c r="M52" i="41" s="1"/>
  <c r="AI41" i="41"/>
  <c r="AF41" i="41"/>
  <c r="F37" i="28"/>
  <c r="D30" i="28"/>
  <c r="E9" i="28"/>
  <c r="E86" i="28"/>
  <c r="K20" i="41" l="1"/>
  <c r="J20" i="41"/>
  <c r="H52" i="41"/>
  <c r="L52" i="41"/>
  <c r="M63" i="41" s="1"/>
  <c r="G20" i="41"/>
  <c r="O4" i="41"/>
  <c r="N18" i="41"/>
  <c r="O6" i="41"/>
  <c r="E52" i="41"/>
  <c r="K31" i="41"/>
  <c r="E20" i="41"/>
  <c r="F20" i="41"/>
  <c r="G52" i="41"/>
  <c r="N63" i="41"/>
  <c r="J52" i="41"/>
  <c r="I20" i="41"/>
  <c r="L31" i="41"/>
  <c r="N31" i="41"/>
  <c r="M31" i="41"/>
  <c r="N80" i="24"/>
  <c r="N81" i="24" s="1"/>
  <c r="N75" i="24" s="1"/>
  <c r="M79" i="24"/>
  <c r="N49" i="41"/>
  <c r="K52" i="41"/>
  <c r="F52" i="41"/>
  <c r="D52" i="41"/>
  <c r="C51" i="41"/>
  <c r="I52" i="41"/>
  <c r="D20" i="41"/>
  <c r="H20" i="41"/>
  <c r="P36" i="41"/>
  <c r="K51" i="28"/>
  <c r="K50" i="28"/>
  <c r="K80" i="24" l="1"/>
  <c r="J31" i="41"/>
  <c r="M80" i="24"/>
  <c r="M81" i="24" s="1"/>
  <c r="M75" i="24" s="1"/>
  <c r="O49" i="41"/>
  <c r="I63" i="41"/>
  <c r="L79" i="24"/>
  <c r="K63" i="41"/>
  <c r="G31" i="41"/>
  <c r="L63" i="41"/>
  <c r="G63" i="41"/>
  <c r="E63" i="41"/>
  <c r="P59" i="41"/>
  <c r="Q36" i="41"/>
  <c r="I80" i="24"/>
  <c r="H79" i="24"/>
  <c r="H31" i="41"/>
  <c r="D63" i="41"/>
  <c r="G79" i="24"/>
  <c r="H63" i="41"/>
  <c r="L80" i="24"/>
  <c r="C53" i="41"/>
  <c r="E31" i="41"/>
  <c r="E79" i="24"/>
  <c r="F80" i="24"/>
  <c r="D31" i="41"/>
  <c r="D79" i="24"/>
  <c r="D81" i="24" s="1"/>
  <c r="D75" i="24" s="1"/>
  <c r="E80" i="24"/>
  <c r="G80" i="24"/>
  <c r="F63" i="41"/>
  <c r="I31" i="41"/>
  <c r="I79" i="24"/>
  <c r="J80" i="24"/>
  <c r="H80" i="24"/>
  <c r="K79" i="24"/>
  <c r="K81" i="24" s="1"/>
  <c r="K75" i="24" s="1"/>
  <c r="J63" i="41"/>
  <c r="J79" i="24"/>
  <c r="F31" i="41"/>
  <c r="F79" i="24"/>
  <c r="O18" i="41"/>
  <c r="P4" i="41"/>
  <c r="E87" i="28"/>
  <c r="C87" i="28"/>
  <c r="B87" i="28"/>
  <c r="K62" i="28"/>
  <c r="K61" i="28"/>
  <c r="L61" i="28" s="1"/>
  <c r="K60" i="28"/>
  <c r="K59" i="28"/>
  <c r="K58" i="28"/>
  <c r="K57" i="28"/>
  <c r="K56" i="28"/>
  <c r="D86" i="28" s="1"/>
  <c r="K55" i="28"/>
  <c r="K54" i="28"/>
  <c r="K53" i="28"/>
  <c r="K52" i="28"/>
  <c r="E41" i="28"/>
  <c r="D41" i="28"/>
  <c r="C41" i="28"/>
  <c r="G40" i="24" s="1"/>
  <c r="F39" i="28"/>
  <c r="E39" i="28"/>
  <c r="D39" i="28"/>
  <c r="C39" i="28"/>
  <c r="E37" i="28"/>
  <c r="C37" i="28"/>
  <c r="G34" i="28"/>
  <c r="I34" i="28" s="1"/>
  <c r="G33" i="28"/>
  <c r="G32" i="28"/>
  <c r="G31" i="28"/>
  <c r="G30" i="28"/>
  <c r="D37" i="28"/>
  <c r="G29" i="28"/>
  <c r="G27" i="28"/>
  <c r="G26" i="28"/>
  <c r="G25" i="28"/>
  <c r="G24" i="28"/>
  <c r="F21" i="28"/>
  <c r="E21" i="28"/>
  <c r="C21" i="28"/>
  <c r="G35" i="24" s="1"/>
  <c r="G19" i="28"/>
  <c r="F19" i="28"/>
  <c r="E19" i="28"/>
  <c r="C19" i="28"/>
  <c r="F17" i="28"/>
  <c r="C17" i="28"/>
  <c r="H16" i="28"/>
  <c r="I16" i="28" s="1"/>
  <c r="H15" i="28"/>
  <c r="F75" i="28" s="1"/>
  <c r="I14" i="28"/>
  <c r="H13" i="28"/>
  <c r="F74" i="28" s="1"/>
  <c r="H12" i="28"/>
  <c r="F73" i="28" s="1"/>
  <c r="H11" i="28"/>
  <c r="F72" i="28" s="1"/>
  <c r="H10" i="28"/>
  <c r="I10" i="28" s="1"/>
  <c r="H9" i="28"/>
  <c r="E17" i="28"/>
  <c r="H8" i="28"/>
  <c r="F70" i="28" s="1"/>
  <c r="G21" i="28"/>
  <c r="H6" i="28"/>
  <c r="F68" i="28" s="1"/>
  <c r="H5" i="28"/>
  <c r="F67" i="28" s="1"/>
  <c r="H4" i="28"/>
  <c r="F66" i="28" s="1"/>
  <c r="H3" i="28"/>
  <c r="F65" i="28" s="1"/>
  <c r="P49" i="41" l="1"/>
  <c r="L81" i="24"/>
  <c r="L75" i="24" s="1"/>
  <c r="J81" i="24"/>
  <c r="J75" i="24" s="1"/>
  <c r="I81" i="24"/>
  <c r="E81" i="24"/>
  <c r="P27" i="41"/>
  <c r="P18" i="41" s="1"/>
  <c r="Q4" i="41"/>
  <c r="D73" i="24"/>
  <c r="D76" i="24" s="1"/>
  <c r="G81" i="24"/>
  <c r="R36" i="41"/>
  <c r="Q59" i="41"/>
  <c r="F81" i="24"/>
  <c r="H81" i="24"/>
  <c r="D87" i="28"/>
  <c r="L62" i="28"/>
  <c r="I8" i="28"/>
  <c r="I13" i="28"/>
  <c r="I74" i="28"/>
  <c r="I11" i="28"/>
  <c r="L57" i="28"/>
  <c r="G39" i="28"/>
  <c r="L53" i="28"/>
  <c r="I68" i="28"/>
  <c r="I72" i="28"/>
  <c r="L60" i="28"/>
  <c r="E66" i="28"/>
  <c r="E70" i="28"/>
  <c r="E73" i="28"/>
  <c r="L51" i="28"/>
  <c r="L55" i="28"/>
  <c r="L58" i="28"/>
  <c r="I66" i="28"/>
  <c r="I70" i="28"/>
  <c r="I73" i="28"/>
  <c r="L59" i="28"/>
  <c r="E68" i="28"/>
  <c r="E72" i="28"/>
  <c r="E74" i="28"/>
  <c r="F78" i="28"/>
  <c r="F71" i="28"/>
  <c r="I71" i="28"/>
  <c r="L56" i="28"/>
  <c r="H71" i="28"/>
  <c r="D71" i="28"/>
  <c r="E71" i="28"/>
  <c r="G71" i="28"/>
  <c r="C71" i="28"/>
  <c r="I9" i="28"/>
  <c r="L52" i="28"/>
  <c r="I67" i="28"/>
  <c r="E75" i="28"/>
  <c r="C65" i="28"/>
  <c r="G65" i="28"/>
  <c r="C66" i="28"/>
  <c r="G66" i="28"/>
  <c r="C67" i="28"/>
  <c r="G67" i="28"/>
  <c r="C68" i="28"/>
  <c r="G68" i="28"/>
  <c r="C70" i="28"/>
  <c r="G70" i="28"/>
  <c r="C72" i="28"/>
  <c r="G72" i="28"/>
  <c r="C73" i="28"/>
  <c r="G73" i="28"/>
  <c r="C74" i="28"/>
  <c r="G74" i="28"/>
  <c r="C75" i="28"/>
  <c r="H75" i="28"/>
  <c r="L50" i="28"/>
  <c r="E65" i="28"/>
  <c r="I5" i="28"/>
  <c r="H7" i="28"/>
  <c r="H17" i="28" s="1"/>
  <c r="I12" i="28"/>
  <c r="I4" i="28"/>
  <c r="I6" i="28"/>
  <c r="I15" i="28"/>
  <c r="F41" i="28"/>
  <c r="D65" i="28"/>
  <c r="H65" i="28"/>
  <c r="D66" i="28"/>
  <c r="H66" i="28"/>
  <c r="D67" i="28"/>
  <c r="H67" i="28"/>
  <c r="D68" i="28"/>
  <c r="H68" i="28"/>
  <c r="D70" i="28"/>
  <c r="H70" i="28"/>
  <c r="D72" i="28"/>
  <c r="H72" i="28"/>
  <c r="D73" i="28"/>
  <c r="H73" i="28"/>
  <c r="D74" i="28"/>
  <c r="H74" i="28"/>
  <c r="D75" i="28"/>
  <c r="I75" i="28"/>
  <c r="H19" i="28"/>
  <c r="I65" i="28"/>
  <c r="E67" i="28"/>
  <c r="I3" i="28"/>
  <c r="G17" i="28"/>
  <c r="G28" i="28"/>
  <c r="L61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50" i="27"/>
  <c r="D30" i="27"/>
  <c r="F28" i="27"/>
  <c r="G9" i="27"/>
  <c r="G7" i="27"/>
  <c r="E9" i="27"/>
  <c r="D86" i="27" l="1"/>
  <c r="Q49" i="41"/>
  <c r="H75" i="24"/>
  <c r="H73" i="24" s="1"/>
  <c r="H76" i="24" s="1"/>
  <c r="G75" i="24"/>
  <c r="G73" i="24" s="1"/>
  <c r="G76" i="24" s="1"/>
  <c r="E75" i="24"/>
  <c r="E73" i="24" s="1"/>
  <c r="E76" i="24" s="1"/>
  <c r="F75" i="24"/>
  <c r="F73" i="24" s="1"/>
  <c r="F76" i="24" s="1"/>
  <c r="I75" i="24"/>
  <c r="I73" i="24" s="1"/>
  <c r="I76" i="24" s="1"/>
  <c r="Q27" i="41"/>
  <c r="Q18" i="41" s="1"/>
  <c r="R4" i="41"/>
  <c r="S36" i="41"/>
  <c r="R59" i="41"/>
  <c r="J71" i="28"/>
  <c r="H30" i="28" s="1"/>
  <c r="I30" i="28" s="1"/>
  <c r="G41" i="28"/>
  <c r="I19" i="28"/>
  <c r="H78" i="28"/>
  <c r="J75" i="28"/>
  <c r="J73" i="28"/>
  <c r="H32" i="28" s="1"/>
  <c r="I32" i="28" s="1"/>
  <c r="J70" i="28"/>
  <c r="H29" i="28" s="1"/>
  <c r="I29" i="28" s="1"/>
  <c r="J67" i="28"/>
  <c r="C78" i="28"/>
  <c r="J65" i="28"/>
  <c r="D78" i="28"/>
  <c r="E78" i="28"/>
  <c r="G37" i="28"/>
  <c r="I78" i="28"/>
  <c r="J74" i="28"/>
  <c r="H33" i="28" s="1"/>
  <c r="I33" i="28" s="1"/>
  <c r="J72" i="28"/>
  <c r="H31" i="28" s="1"/>
  <c r="I31" i="28" s="1"/>
  <c r="J68" i="28"/>
  <c r="H27" i="28" s="1"/>
  <c r="I27" i="28" s="1"/>
  <c r="J66" i="28"/>
  <c r="H25" i="28" s="1"/>
  <c r="I25" i="28" s="1"/>
  <c r="F69" i="28"/>
  <c r="H69" i="28"/>
  <c r="H80" i="28" s="1"/>
  <c r="D69" i="28"/>
  <c r="D76" i="28" s="1"/>
  <c r="I69" i="28"/>
  <c r="I76" i="28" s="1"/>
  <c r="E69" i="28"/>
  <c r="E80" i="28" s="1"/>
  <c r="L54" i="28"/>
  <c r="L63" i="28" s="1"/>
  <c r="G69" i="28"/>
  <c r="G80" i="28" s="1"/>
  <c r="C69" i="28"/>
  <c r="C76" i="28" s="1"/>
  <c r="I7" i="28"/>
  <c r="I17" i="28" s="1"/>
  <c r="G78" i="28"/>
  <c r="G76" i="28"/>
  <c r="H21" i="28"/>
  <c r="R49" i="41" l="1"/>
  <c r="T36" i="41"/>
  <c r="S59" i="41"/>
  <c r="S4" i="41"/>
  <c r="R27" i="41"/>
  <c r="R18" i="41" s="1"/>
  <c r="D80" i="28"/>
  <c r="H76" i="28"/>
  <c r="F76" i="28"/>
  <c r="F80" i="28"/>
  <c r="J69" i="28"/>
  <c r="H28" i="28" s="1"/>
  <c r="I28" i="28" s="1"/>
  <c r="I80" i="28"/>
  <c r="E76" i="28"/>
  <c r="H26" i="28"/>
  <c r="J80" i="28"/>
  <c r="H24" i="28"/>
  <c r="J78" i="28"/>
  <c r="C80" i="28"/>
  <c r="I21" i="28"/>
  <c r="G41" i="24" s="1"/>
  <c r="E87" i="27"/>
  <c r="C87" i="27"/>
  <c r="B87" i="27"/>
  <c r="D87" i="27"/>
  <c r="F41" i="27"/>
  <c r="E41" i="27"/>
  <c r="D41" i="27"/>
  <c r="C41" i="27"/>
  <c r="F39" i="27"/>
  <c r="E39" i="27"/>
  <c r="D39" i="27"/>
  <c r="C39" i="27"/>
  <c r="F37" i="27"/>
  <c r="E37" i="27"/>
  <c r="C37" i="27"/>
  <c r="G34" i="27"/>
  <c r="I34" i="27" s="1"/>
  <c r="G33" i="27"/>
  <c r="G32" i="27"/>
  <c r="G31" i="27"/>
  <c r="G30" i="27"/>
  <c r="G29" i="27"/>
  <c r="G28" i="27"/>
  <c r="G27" i="27"/>
  <c r="G26" i="27"/>
  <c r="G25" i="27"/>
  <c r="G24" i="27"/>
  <c r="G21" i="27"/>
  <c r="F21" i="27"/>
  <c r="E21" i="27"/>
  <c r="C21" i="27"/>
  <c r="G19" i="27"/>
  <c r="F19" i="27"/>
  <c r="E19" i="27"/>
  <c r="C19" i="27"/>
  <c r="G17" i="27"/>
  <c r="F17" i="27"/>
  <c r="E17" i="27"/>
  <c r="C17" i="27"/>
  <c r="H16" i="27"/>
  <c r="I16" i="27" s="1"/>
  <c r="H15" i="27"/>
  <c r="I14" i="27"/>
  <c r="H13" i="27"/>
  <c r="H12" i="27"/>
  <c r="H11" i="27"/>
  <c r="H10" i="27"/>
  <c r="L57" i="27" s="1"/>
  <c r="H9" i="27"/>
  <c r="L56" i="27" s="1"/>
  <c r="H8" i="27"/>
  <c r="H7" i="27"/>
  <c r="L54" i="27" s="1"/>
  <c r="H6" i="27"/>
  <c r="H5" i="27"/>
  <c r="H4" i="27"/>
  <c r="H3" i="27"/>
  <c r="F70" i="27" l="1"/>
  <c r="L55" i="27"/>
  <c r="C65" i="27"/>
  <c r="L50" i="27"/>
  <c r="G72" i="27"/>
  <c r="F72" i="27"/>
  <c r="L58" i="27"/>
  <c r="C72" i="27"/>
  <c r="D72" i="27"/>
  <c r="F66" i="27"/>
  <c r="L51" i="27"/>
  <c r="F73" i="27"/>
  <c r="G73" i="27"/>
  <c r="L59" i="27"/>
  <c r="C67" i="27"/>
  <c r="L52" i="27"/>
  <c r="F74" i="27"/>
  <c r="G74" i="27"/>
  <c r="L60" i="27"/>
  <c r="F68" i="27"/>
  <c r="L53" i="27"/>
  <c r="L62" i="27"/>
  <c r="I75" i="27"/>
  <c r="H75" i="27"/>
  <c r="E75" i="27"/>
  <c r="F75" i="27"/>
  <c r="D75" i="27"/>
  <c r="C75" i="27"/>
  <c r="S49" i="41"/>
  <c r="T4" i="41"/>
  <c r="S27" i="41"/>
  <c r="S18" i="41" s="1"/>
  <c r="U36" i="41"/>
  <c r="T59" i="41"/>
  <c r="T49" i="41" s="1"/>
  <c r="H37" i="28"/>
  <c r="H39" i="28"/>
  <c r="I24" i="28"/>
  <c r="H41" i="28"/>
  <c r="I26" i="28"/>
  <c r="I41" i="28" s="1"/>
  <c r="G39" i="24" s="1"/>
  <c r="J76" i="28"/>
  <c r="C74" i="27"/>
  <c r="D74" i="27"/>
  <c r="C73" i="27"/>
  <c r="D73" i="27"/>
  <c r="G71" i="27"/>
  <c r="C71" i="27"/>
  <c r="D71" i="27"/>
  <c r="I10" i="27"/>
  <c r="D37" i="27"/>
  <c r="D65" i="27"/>
  <c r="H66" i="27"/>
  <c r="G68" i="27"/>
  <c r="G70" i="27"/>
  <c r="H73" i="27"/>
  <c r="C66" i="27"/>
  <c r="C78" i="27" s="1"/>
  <c r="H68" i="27"/>
  <c r="H70" i="27"/>
  <c r="I73" i="27"/>
  <c r="H74" i="27"/>
  <c r="D66" i="27"/>
  <c r="C68" i="27"/>
  <c r="C70" i="27"/>
  <c r="I12" i="27"/>
  <c r="G66" i="27"/>
  <c r="D68" i="27"/>
  <c r="D70" i="27"/>
  <c r="E73" i="27"/>
  <c r="F69" i="27"/>
  <c r="I69" i="27"/>
  <c r="E69" i="27"/>
  <c r="F71" i="27"/>
  <c r="I71" i="27"/>
  <c r="E71" i="27"/>
  <c r="C69" i="27"/>
  <c r="F67" i="27"/>
  <c r="I67" i="27"/>
  <c r="E67" i="27"/>
  <c r="I7" i="27"/>
  <c r="I15" i="27"/>
  <c r="H21" i="27"/>
  <c r="D67" i="27"/>
  <c r="D69" i="27"/>
  <c r="F65" i="27"/>
  <c r="I65" i="27"/>
  <c r="E65" i="27"/>
  <c r="H19" i="27"/>
  <c r="I5" i="27"/>
  <c r="I74" i="27"/>
  <c r="E74" i="27"/>
  <c r="I13" i="27"/>
  <c r="G65" i="27"/>
  <c r="G67" i="27"/>
  <c r="G69" i="27"/>
  <c r="I3" i="27"/>
  <c r="I9" i="27"/>
  <c r="I72" i="27"/>
  <c r="E72" i="27"/>
  <c r="I11" i="27"/>
  <c r="H17" i="27"/>
  <c r="G37" i="27"/>
  <c r="G41" i="27"/>
  <c r="H65" i="27"/>
  <c r="H67" i="27"/>
  <c r="H69" i="27"/>
  <c r="H71" i="27"/>
  <c r="H72" i="27"/>
  <c r="G39" i="27"/>
  <c r="E66" i="27"/>
  <c r="I66" i="27"/>
  <c r="E68" i="27"/>
  <c r="I68" i="27"/>
  <c r="E70" i="27"/>
  <c r="I70" i="27"/>
  <c r="I4" i="27"/>
  <c r="I6" i="27"/>
  <c r="I8" i="27"/>
  <c r="E26" i="24"/>
  <c r="F26" i="24" s="1"/>
  <c r="F48" i="24" s="1"/>
  <c r="G24" i="26"/>
  <c r="L63" i="27" l="1"/>
  <c r="U59" i="41"/>
  <c r="U49" i="41" s="1"/>
  <c r="V36" i="41"/>
  <c r="U4" i="41"/>
  <c r="T27" i="41"/>
  <c r="T17" i="41" s="1"/>
  <c r="I39" i="28"/>
  <c r="I37" i="28"/>
  <c r="D78" i="27"/>
  <c r="J73" i="27"/>
  <c r="H32" i="27" s="1"/>
  <c r="I32" i="27" s="1"/>
  <c r="C76" i="27"/>
  <c r="J74" i="27"/>
  <c r="H33" i="27" s="1"/>
  <c r="I33" i="27" s="1"/>
  <c r="J70" i="27"/>
  <c r="H29" i="27" s="1"/>
  <c r="I29" i="27" s="1"/>
  <c r="J66" i="27"/>
  <c r="H25" i="27" s="1"/>
  <c r="I25" i="27" s="1"/>
  <c r="C80" i="27"/>
  <c r="J68" i="27"/>
  <c r="H27" i="27" s="1"/>
  <c r="I27" i="27" s="1"/>
  <c r="J72" i="27"/>
  <c r="H31" i="27" s="1"/>
  <c r="I31" i="27" s="1"/>
  <c r="I19" i="27"/>
  <c r="I17" i="27"/>
  <c r="G78" i="27"/>
  <c r="G76" i="27"/>
  <c r="E78" i="27"/>
  <c r="E76" i="27"/>
  <c r="I80" i="27"/>
  <c r="I78" i="27"/>
  <c r="I76" i="27"/>
  <c r="D80" i="27"/>
  <c r="D76" i="27"/>
  <c r="F80" i="27"/>
  <c r="J71" i="27"/>
  <c r="H30" i="27" s="1"/>
  <c r="I30" i="27" s="1"/>
  <c r="J67" i="27"/>
  <c r="H80" i="27"/>
  <c r="I21" i="27"/>
  <c r="F78" i="27"/>
  <c r="F76" i="27"/>
  <c r="H78" i="27"/>
  <c r="H76" i="27"/>
  <c r="J75" i="27"/>
  <c r="G80" i="27"/>
  <c r="E80" i="27"/>
  <c r="J69" i="27"/>
  <c r="H28" i="27" s="1"/>
  <c r="I28" i="27" s="1"/>
  <c r="J65" i="27"/>
  <c r="T18" i="41" l="1"/>
  <c r="V4" i="41"/>
  <c r="U27" i="41"/>
  <c r="U17" i="41" s="1"/>
  <c r="W36" i="41"/>
  <c r="V59" i="41"/>
  <c r="V49" i="41" s="1"/>
  <c r="J80" i="27"/>
  <c r="H26" i="27"/>
  <c r="J78" i="27"/>
  <c r="J76" i="27"/>
  <c r="H24" i="27"/>
  <c r="B87" i="26"/>
  <c r="C87" i="26"/>
  <c r="E87" i="26"/>
  <c r="D86" i="26"/>
  <c r="D87" i="26" s="1"/>
  <c r="D86" i="25"/>
  <c r="D30" i="26"/>
  <c r="E9" i="26"/>
  <c r="X36" i="41" l="1"/>
  <c r="W59" i="41"/>
  <c r="W49" i="41" s="1"/>
  <c r="W4" i="41"/>
  <c r="V27" i="41"/>
  <c r="V17" i="41" s="1"/>
  <c r="U18" i="41"/>
  <c r="H41" i="27"/>
  <c r="I26" i="27"/>
  <c r="I41" i="27" s="1"/>
  <c r="H39" i="27"/>
  <c r="H37" i="27"/>
  <c r="I24" i="27"/>
  <c r="F75" i="26"/>
  <c r="F41" i="26"/>
  <c r="E41" i="26"/>
  <c r="D41" i="26"/>
  <c r="C41" i="26"/>
  <c r="E40" i="24" s="1"/>
  <c r="F39" i="26"/>
  <c r="E39" i="26"/>
  <c r="D39" i="26"/>
  <c r="C39" i="26"/>
  <c r="F37" i="26"/>
  <c r="E37" i="26"/>
  <c r="D37" i="26"/>
  <c r="C37" i="26"/>
  <c r="G34" i="26"/>
  <c r="I34" i="26" s="1"/>
  <c r="G33" i="26"/>
  <c r="G32" i="26"/>
  <c r="G31" i="26"/>
  <c r="G30" i="26"/>
  <c r="G29" i="26"/>
  <c r="G28" i="26"/>
  <c r="G27" i="26"/>
  <c r="G26" i="26"/>
  <c r="G25" i="26"/>
  <c r="G21" i="26"/>
  <c r="F21" i="26"/>
  <c r="E21" i="26"/>
  <c r="C21" i="26"/>
  <c r="E35" i="24" s="1"/>
  <c r="G19" i="26"/>
  <c r="F19" i="26"/>
  <c r="E19" i="26"/>
  <c r="C19" i="26"/>
  <c r="E13" i="24" s="1"/>
  <c r="G17" i="26"/>
  <c r="F17" i="26"/>
  <c r="C17" i="26"/>
  <c r="H16" i="26"/>
  <c r="I16" i="26" s="1"/>
  <c r="H15" i="26"/>
  <c r="H75" i="26" s="1"/>
  <c r="I14" i="26"/>
  <c r="H13" i="26"/>
  <c r="H74" i="26" s="1"/>
  <c r="H12" i="26"/>
  <c r="F73" i="26" s="1"/>
  <c r="H11" i="26"/>
  <c r="D73" i="26" s="1"/>
  <c r="H10" i="26"/>
  <c r="G72" i="26" s="1"/>
  <c r="H9" i="26"/>
  <c r="G71" i="26" s="1"/>
  <c r="H8" i="26"/>
  <c r="F70" i="26" s="1"/>
  <c r="H7" i="26"/>
  <c r="D69" i="26" s="1"/>
  <c r="H6" i="26"/>
  <c r="F68" i="26" s="1"/>
  <c r="H5" i="26"/>
  <c r="H4" i="26"/>
  <c r="F66" i="26" s="1"/>
  <c r="H3" i="26"/>
  <c r="D65" i="26" s="1"/>
  <c r="I10" i="26" l="1"/>
  <c r="C72" i="26"/>
  <c r="W27" i="41"/>
  <c r="W17" i="41" s="1"/>
  <c r="X4" i="41"/>
  <c r="V18" i="41"/>
  <c r="Y36" i="41"/>
  <c r="X59" i="41"/>
  <c r="I39" i="27"/>
  <c r="I37" i="27"/>
  <c r="C74" i="26"/>
  <c r="G75" i="26"/>
  <c r="G70" i="26"/>
  <c r="H70" i="26"/>
  <c r="H71" i="26"/>
  <c r="I9" i="26"/>
  <c r="G69" i="26"/>
  <c r="D66" i="26"/>
  <c r="D78" i="26" s="1"/>
  <c r="G66" i="26"/>
  <c r="D68" i="26"/>
  <c r="G68" i="26"/>
  <c r="H69" i="26"/>
  <c r="E73" i="26"/>
  <c r="D74" i="26"/>
  <c r="I7" i="26"/>
  <c r="I12" i="26"/>
  <c r="I15" i="26"/>
  <c r="H66" i="26"/>
  <c r="H68" i="26"/>
  <c r="C70" i="26"/>
  <c r="D71" i="26"/>
  <c r="D72" i="26"/>
  <c r="H73" i="26"/>
  <c r="G74" i="26"/>
  <c r="C66" i="26"/>
  <c r="C68" i="26"/>
  <c r="D70" i="26"/>
  <c r="I73" i="26"/>
  <c r="F67" i="26"/>
  <c r="I67" i="26"/>
  <c r="E67" i="26"/>
  <c r="H21" i="26"/>
  <c r="D67" i="26"/>
  <c r="F65" i="26"/>
  <c r="I65" i="26"/>
  <c r="E65" i="26"/>
  <c r="H19" i="26"/>
  <c r="I5" i="26"/>
  <c r="F74" i="26"/>
  <c r="I74" i="26"/>
  <c r="E74" i="26"/>
  <c r="I13" i="26"/>
  <c r="G65" i="26"/>
  <c r="G67" i="26"/>
  <c r="G80" i="26" s="1"/>
  <c r="C75" i="26"/>
  <c r="I3" i="26"/>
  <c r="F72" i="26"/>
  <c r="J72" i="26" s="1"/>
  <c r="H31" i="26" s="1"/>
  <c r="I31" i="26" s="1"/>
  <c r="I72" i="26"/>
  <c r="E72" i="26"/>
  <c r="I11" i="26"/>
  <c r="H17" i="26"/>
  <c r="G37" i="26"/>
  <c r="G41" i="26"/>
  <c r="H65" i="26"/>
  <c r="H67" i="26"/>
  <c r="H72" i="26"/>
  <c r="G73" i="26"/>
  <c r="D75" i="26"/>
  <c r="F69" i="26"/>
  <c r="I69" i="26"/>
  <c r="E69" i="26"/>
  <c r="F71" i="26"/>
  <c r="I71" i="26"/>
  <c r="E71" i="26"/>
  <c r="I75" i="26"/>
  <c r="E75" i="26"/>
  <c r="E17" i="26"/>
  <c r="C65" i="26"/>
  <c r="C67" i="26"/>
  <c r="C69" i="26"/>
  <c r="C71" i="26"/>
  <c r="C73" i="26"/>
  <c r="G39" i="26"/>
  <c r="E66" i="26"/>
  <c r="I66" i="26"/>
  <c r="E68" i="26"/>
  <c r="I68" i="26"/>
  <c r="E70" i="26"/>
  <c r="I70" i="26"/>
  <c r="I4" i="26"/>
  <c r="I6" i="26"/>
  <c r="I8" i="26"/>
  <c r="W18" i="41" l="1"/>
  <c r="Y59" i="41"/>
  <c r="AA39" i="41"/>
  <c r="Z42" i="41" s="1"/>
  <c r="Y4" i="41"/>
  <c r="X27" i="41"/>
  <c r="X17" i="41" s="1"/>
  <c r="X49" i="41"/>
  <c r="J74" i="26"/>
  <c r="H33" i="26" s="1"/>
  <c r="I33" i="26" s="1"/>
  <c r="J70" i="26"/>
  <c r="H29" i="26" s="1"/>
  <c r="I29" i="26" s="1"/>
  <c r="D80" i="26"/>
  <c r="J68" i="26"/>
  <c r="H27" i="26" s="1"/>
  <c r="I27" i="26" s="1"/>
  <c r="J66" i="26"/>
  <c r="H25" i="26" s="1"/>
  <c r="I25" i="26" s="1"/>
  <c r="J73" i="26"/>
  <c r="H32" i="26" s="1"/>
  <c r="I32" i="26" s="1"/>
  <c r="I21" i="26"/>
  <c r="E41" i="24" s="1"/>
  <c r="F78" i="26"/>
  <c r="F76" i="26"/>
  <c r="J71" i="26"/>
  <c r="H30" i="26" s="1"/>
  <c r="I30" i="26" s="1"/>
  <c r="J67" i="26"/>
  <c r="C80" i="26"/>
  <c r="H80" i="26"/>
  <c r="E80" i="26"/>
  <c r="D76" i="26"/>
  <c r="H78" i="26"/>
  <c r="H76" i="26"/>
  <c r="I19" i="26"/>
  <c r="I17" i="26"/>
  <c r="G78" i="26"/>
  <c r="G76" i="26"/>
  <c r="E78" i="26"/>
  <c r="E76" i="26"/>
  <c r="I80" i="26"/>
  <c r="J69" i="26"/>
  <c r="H28" i="26" s="1"/>
  <c r="I28" i="26" s="1"/>
  <c r="J65" i="26"/>
  <c r="C76" i="26"/>
  <c r="C78" i="26"/>
  <c r="J75" i="26"/>
  <c r="I78" i="26"/>
  <c r="I76" i="26"/>
  <c r="F80" i="26"/>
  <c r="D30" i="25"/>
  <c r="D37" i="25" s="1"/>
  <c r="X18" i="41" l="1"/>
  <c r="AA42" i="41"/>
  <c r="AB42" i="41" s="1"/>
  <c r="AC42" i="41" s="1"/>
  <c r="AD42" i="41" s="1"/>
  <c r="AE42" i="41" s="1"/>
  <c r="AF42" i="41" s="1"/>
  <c r="AG42" i="41" s="1"/>
  <c r="AH42" i="41" s="1"/>
  <c r="AI42" i="41" s="1"/>
  <c r="AJ42" i="41" s="1"/>
  <c r="AK42" i="41" s="1"/>
  <c r="AA7" i="41"/>
  <c r="Z10" i="41" s="1"/>
  <c r="Y27" i="41"/>
  <c r="Y17" i="41" s="1"/>
  <c r="Y49" i="41"/>
  <c r="J80" i="26"/>
  <c r="H26" i="26"/>
  <c r="J78" i="26"/>
  <c r="J76" i="26"/>
  <c r="H24" i="26"/>
  <c r="I24" i="26" s="1"/>
  <c r="I39" i="26" s="1"/>
  <c r="AA10" i="41" l="1"/>
  <c r="AB10" i="41" s="1"/>
  <c r="AC10" i="41" s="1"/>
  <c r="AD10" i="41" s="1"/>
  <c r="AE10" i="41" s="1"/>
  <c r="AF10" i="41" s="1"/>
  <c r="AG10" i="41" s="1"/>
  <c r="AH10" i="41" s="1"/>
  <c r="AI10" i="41" s="1"/>
  <c r="AJ10" i="41" s="1"/>
  <c r="AK10" i="41" s="1"/>
  <c r="Y18" i="41"/>
  <c r="H39" i="26"/>
  <c r="H37" i="26"/>
  <c r="H41" i="26"/>
  <c r="I26" i="26"/>
  <c r="I41" i="26" s="1"/>
  <c r="E39" i="24" s="1"/>
  <c r="E9" i="25"/>
  <c r="E17" i="24" l="1"/>
  <c r="I37" i="26"/>
  <c r="J48" i="24"/>
  <c r="K48" i="24"/>
  <c r="M48" i="24"/>
  <c r="N48" i="24"/>
  <c r="O48" i="24"/>
  <c r="F41" i="24"/>
  <c r="F40" i="24"/>
  <c r="F39" i="24"/>
  <c r="F35" i="24"/>
  <c r="G18" i="24"/>
  <c r="F18" i="24"/>
  <c r="E18" i="24"/>
  <c r="G17" i="24"/>
  <c r="F17" i="24"/>
  <c r="G19" i="24"/>
  <c r="F19" i="24"/>
  <c r="E19" i="24"/>
  <c r="G13" i="24"/>
  <c r="F13" i="24"/>
  <c r="E87" i="25"/>
  <c r="D87" i="25"/>
  <c r="C87" i="25"/>
  <c r="B87" i="25"/>
  <c r="F75" i="25"/>
  <c r="F41" i="25"/>
  <c r="E41" i="25"/>
  <c r="D41" i="25"/>
  <c r="C41" i="25"/>
  <c r="D40" i="24" s="1"/>
  <c r="F39" i="25"/>
  <c r="E39" i="25"/>
  <c r="D39" i="25"/>
  <c r="C39" i="25"/>
  <c r="D18" i="24" s="1"/>
  <c r="F37" i="25"/>
  <c r="E37" i="25"/>
  <c r="C37" i="25"/>
  <c r="G34" i="25"/>
  <c r="I34" i="25" s="1"/>
  <c r="G33" i="25"/>
  <c r="G32" i="25"/>
  <c r="G31" i="25"/>
  <c r="G30" i="25"/>
  <c r="G29" i="25"/>
  <c r="G28" i="25"/>
  <c r="G27" i="25"/>
  <c r="G26" i="25"/>
  <c r="G25" i="25"/>
  <c r="G24" i="25"/>
  <c r="G21" i="25"/>
  <c r="F21" i="25"/>
  <c r="E21" i="25"/>
  <c r="C21" i="25"/>
  <c r="D35" i="24" s="1"/>
  <c r="G19" i="25"/>
  <c r="F19" i="25"/>
  <c r="E19" i="25"/>
  <c r="C19" i="25"/>
  <c r="D13" i="24" s="1"/>
  <c r="G17" i="25"/>
  <c r="F17" i="25"/>
  <c r="C17" i="25"/>
  <c r="H16" i="25"/>
  <c r="I16" i="25" s="1"/>
  <c r="H15" i="25"/>
  <c r="I75" i="25" s="1"/>
  <c r="I14" i="25"/>
  <c r="H13" i="25"/>
  <c r="I74" i="25" s="1"/>
  <c r="H12" i="25"/>
  <c r="I73" i="25" s="1"/>
  <c r="H11" i="25"/>
  <c r="I72" i="25" s="1"/>
  <c r="H10" i="25"/>
  <c r="G72" i="25" s="1"/>
  <c r="H9" i="25"/>
  <c r="E17" i="25"/>
  <c r="H8" i="25"/>
  <c r="I70" i="25" s="1"/>
  <c r="H7" i="25"/>
  <c r="I69" i="25" s="1"/>
  <c r="H6" i="25"/>
  <c r="I68" i="25" s="1"/>
  <c r="H5" i="25"/>
  <c r="I67" i="25" s="1"/>
  <c r="H4" i="25"/>
  <c r="I66" i="25" s="1"/>
  <c r="H3" i="25"/>
  <c r="I65" i="25" s="1"/>
  <c r="C73" i="25" l="1"/>
  <c r="I11" i="25"/>
  <c r="G73" i="25"/>
  <c r="I71" i="25"/>
  <c r="I76" i="25" s="1"/>
  <c r="G41" i="25"/>
  <c r="G39" i="25"/>
  <c r="G75" i="25"/>
  <c r="F69" i="25"/>
  <c r="C67" i="25"/>
  <c r="G67" i="25"/>
  <c r="F65" i="25"/>
  <c r="G71" i="25"/>
  <c r="I9" i="25"/>
  <c r="C65" i="25"/>
  <c r="F67" i="25"/>
  <c r="G69" i="25"/>
  <c r="F72" i="25"/>
  <c r="F74" i="25"/>
  <c r="C71" i="25"/>
  <c r="C75" i="25"/>
  <c r="I13" i="25"/>
  <c r="G65" i="25"/>
  <c r="C69" i="25"/>
  <c r="F71" i="25"/>
  <c r="F73" i="25"/>
  <c r="I78" i="25"/>
  <c r="I80" i="25"/>
  <c r="F66" i="25"/>
  <c r="I4" i="25"/>
  <c r="C66" i="25"/>
  <c r="C70" i="25"/>
  <c r="G74" i="25"/>
  <c r="I10" i="25"/>
  <c r="I12" i="25"/>
  <c r="H17" i="25"/>
  <c r="H21" i="25"/>
  <c r="D65" i="25"/>
  <c r="H65" i="25"/>
  <c r="D66" i="25"/>
  <c r="H66" i="25"/>
  <c r="D67" i="25"/>
  <c r="H67" i="25"/>
  <c r="D68" i="25"/>
  <c r="H68" i="25"/>
  <c r="D69" i="25"/>
  <c r="H69" i="25"/>
  <c r="D70" i="25"/>
  <c r="H70" i="25"/>
  <c r="D71" i="25"/>
  <c r="H71" i="25"/>
  <c r="D72" i="25"/>
  <c r="H72" i="25"/>
  <c r="D73" i="25"/>
  <c r="H73" i="25"/>
  <c r="D74" i="25"/>
  <c r="H74" i="25"/>
  <c r="D75" i="25"/>
  <c r="H75" i="25"/>
  <c r="H19" i="25"/>
  <c r="G37" i="25"/>
  <c r="F68" i="25"/>
  <c r="F70" i="25"/>
  <c r="I6" i="25"/>
  <c r="I8" i="25"/>
  <c r="G66" i="25"/>
  <c r="C68" i="25"/>
  <c r="G68" i="25"/>
  <c r="G70" i="25"/>
  <c r="C72" i="25"/>
  <c r="C74" i="25"/>
  <c r="I3" i="25"/>
  <c r="I5" i="25"/>
  <c r="I7" i="25"/>
  <c r="I15" i="25"/>
  <c r="E65" i="25"/>
  <c r="E66" i="25"/>
  <c r="E67" i="25"/>
  <c r="E68" i="25"/>
  <c r="E69" i="25"/>
  <c r="E70" i="25"/>
  <c r="E71" i="25"/>
  <c r="E72" i="25"/>
  <c r="E73" i="25"/>
  <c r="E74" i="25"/>
  <c r="E75" i="25"/>
  <c r="G78" i="25" l="1"/>
  <c r="F80" i="25"/>
  <c r="I21" i="25"/>
  <c r="D41" i="24" s="1"/>
  <c r="C78" i="25"/>
  <c r="G76" i="25"/>
  <c r="F76" i="25"/>
  <c r="G80" i="25"/>
  <c r="J68" i="25"/>
  <c r="H27" i="25" s="1"/>
  <c r="I27" i="25" s="1"/>
  <c r="H80" i="25"/>
  <c r="H78" i="25"/>
  <c r="H76" i="25"/>
  <c r="J74" i="25"/>
  <c r="H33" i="25" s="1"/>
  <c r="I33" i="25" s="1"/>
  <c r="F78" i="25"/>
  <c r="E80" i="25"/>
  <c r="C76" i="25"/>
  <c r="J70" i="25"/>
  <c r="H29" i="25" s="1"/>
  <c r="I29" i="25" s="1"/>
  <c r="E78" i="25"/>
  <c r="E76" i="25"/>
  <c r="I17" i="25"/>
  <c r="I19" i="25"/>
  <c r="D19" i="24" s="1"/>
  <c r="J72" i="25"/>
  <c r="H31" i="25" s="1"/>
  <c r="I31" i="25" s="1"/>
  <c r="J75" i="25"/>
  <c r="J73" i="25"/>
  <c r="H32" i="25" s="1"/>
  <c r="I32" i="25" s="1"/>
  <c r="J71" i="25"/>
  <c r="H30" i="25" s="1"/>
  <c r="I30" i="25" s="1"/>
  <c r="J69" i="25"/>
  <c r="H28" i="25" s="1"/>
  <c r="I28" i="25" s="1"/>
  <c r="D80" i="25"/>
  <c r="J67" i="25"/>
  <c r="D78" i="25"/>
  <c r="D76" i="25"/>
  <c r="J65" i="25"/>
  <c r="J66" i="25"/>
  <c r="H25" i="25" s="1"/>
  <c r="I25" i="25" s="1"/>
  <c r="C80" i="25"/>
  <c r="H26" i="25" l="1"/>
  <c r="J80" i="25"/>
  <c r="H24" i="25"/>
  <c r="J78" i="25"/>
  <c r="J76" i="25"/>
  <c r="H39" i="25" l="1"/>
  <c r="H37" i="25"/>
  <c r="I24" i="25"/>
  <c r="H41" i="25"/>
  <c r="I26" i="25"/>
  <c r="I41" i="25" s="1"/>
  <c r="D39" i="24" s="1"/>
  <c r="I37" i="25" l="1"/>
  <c r="I39" i="25"/>
  <c r="D17" i="24" s="1"/>
  <c r="M19" i="24" l="1"/>
  <c r="L19" i="24"/>
  <c r="K19" i="24"/>
  <c r="J19" i="24"/>
  <c r="M18" i="24"/>
  <c r="L18" i="24"/>
  <c r="K18" i="24"/>
  <c r="J18" i="24"/>
  <c r="M17" i="24"/>
  <c r="L17" i="24"/>
  <c r="K17" i="24"/>
  <c r="M13" i="24"/>
  <c r="L13" i="24"/>
  <c r="K13" i="24"/>
  <c r="J13" i="24"/>
  <c r="I18" i="24"/>
  <c r="I13" i="24"/>
  <c r="J17" i="24" l="1"/>
  <c r="I19" i="24"/>
  <c r="I48" i="24"/>
  <c r="I17" i="24" l="1"/>
  <c r="O18" i="24" l="1"/>
  <c r="O13" i="24"/>
  <c r="O19" i="24" l="1"/>
  <c r="O17" i="24" l="1"/>
  <c r="N18" i="24" l="1"/>
  <c r="N13" i="24"/>
  <c r="N19" i="24" l="1"/>
  <c r="N17" i="24" l="1"/>
  <c r="H19" i="24" l="1"/>
  <c r="H18" i="24"/>
  <c r="H17" i="24"/>
  <c r="H13" i="24"/>
  <c r="D43" i="24" l="1"/>
  <c r="D21" i="24"/>
  <c r="D22" i="24" s="1"/>
  <c r="D23" i="24" s="1"/>
  <c r="E48" i="24"/>
  <c r="D44" i="24" l="1"/>
  <c r="D45" i="24" l="1"/>
  <c r="E21" i="24"/>
  <c r="E22" i="24" s="1"/>
  <c r="E23" i="24" l="1"/>
  <c r="C53" i="24"/>
  <c r="C51" i="24"/>
  <c r="D48" i="24"/>
  <c r="M42" i="24"/>
  <c r="M43" i="24" s="1"/>
  <c r="I42" i="24"/>
  <c r="I43" i="24" s="1"/>
  <c r="E43" i="24"/>
  <c r="A40" i="24"/>
  <c r="A36" i="24"/>
  <c r="A37" i="24" s="1"/>
  <c r="C29" i="24"/>
  <c r="C22" i="24"/>
  <c r="C21" i="24"/>
  <c r="N20" i="24"/>
  <c r="N21" i="24" s="1"/>
  <c r="J20" i="24"/>
  <c r="J21" i="24" s="1"/>
  <c r="F21" i="24"/>
  <c r="A14" i="24"/>
  <c r="E7" i="24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D22" i="16"/>
  <c r="D12" i="16"/>
  <c r="E12" i="16"/>
  <c r="F10" i="18"/>
  <c r="J10" i="18"/>
  <c r="N10" i="18"/>
  <c r="D14" i="18"/>
  <c r="A22" i="18"/>
  <c r="A23" i="18" s="1"/>
  <c r="A24" i="18" s="1"/>
  <c r="A26" i="18" s="1"/>
  <c r="A27" i="18" s="1"/>
  <c r="A9" i="18"/>
  <c r="A10" i="18" s="1"/>
  <c r="A11" i="18" s="1"/>
  <c r="C14" i="16"/>
  <c r="F7" i="24" l="1"/>
  <c r="E55" i="24"/>
  <c r="E44" i="24"/>
  <c r="E45" i="24" s="1"/>
  <c r="H14" i="18"/>
  <c r="L14" i="18"/>
  <c r="E10" i="18"/>
  <c r="A15" i="24"/>
  <c r="C24" i="24" s="1"/>
  <c r="C15" i="24"/>
  <c r="I10" i="18"/>
  <c r="C24" i="18"/>
  <c r="H20" i="24"/>
  <c r="H21" i="24" s="1"/>
  <c r="H22" i="24" s="1"/>
  <c r="H23" i="24" s="1"/>
  <c r="L20" i="24"/>
  <c r="L21" i="24" s="1"/>
  <c r="L22" i="24" s="1"/>
  <c r="L23" i="24" s="1"/>
  <c r="G43" i="24"/>
  <c r="G44" i="24" s="1"/>
  <c r="G45" i="24" s="1"/>
  <c r="K42" i="24"/>
  <c r="K43" i="24" s="1"/>
  <c r="K44" i="24" s="1"/>
  <c r="K45" i="24" s="1"/>
  <c r="O42" i="24"/>
  <c r="O43" i="24" s="1"/>
  <c r="O44" i="24" s="1"/>
  <c r="O45" i="24" s="1"/>
  <c r="O10" i="18"/>
  <c r="K10" i="18"/>
  <c r="G10" i="18"/>
  <c r="O14" i="18"/>
  <c r="K14" i="18"/>
  <c r="G14" i="18"/>
  <c r="I20" i="24"/>
  <c r="I21" i="24" s="1"/>
  <c r="I22" i="24" s="1"/>
  <c r="I23" i="24" s="1"/>
  <c r="M20" i="24"/>
  <c r="C37" i="24"/>
  <c r="H42" i="24"/>
  <c r="H43" i="24" s="1"/>
  <c r="H44" i="24" s="1"/>
  <c r="H45" i="24" s="1"/>
  <c r="L42" i="24"/>
  <c r="L43" i="24" s="1"/>
  <c r="L44" i="24" s="1"/>
  <c r="L45" i="24" s="1"/>
  <c r="M10" i="18"/>
  <c r="G21" i="24"/>
  <c r="G22" i="24" s="1"/>
  <c r="G23" i="24" s="1"/>
  <c r="K20" i="24"/>
  <c r="K21" i="24" s="1"/>
  <c r="K22" i="24" s="1"/>
  <c r="K23" i="24" s="1"/>
  <c r="O20" i="24"/>
  <c r="O21" i="24" s="1"/>
  <c r="O22" i="24" s="1"/>
  <c r="O23" i="24" s="1"/>
  <c r="F43" i="24"/>
  <c r="F44" i="24" s="1"/>
  <c r="F45" i="24" s="1"/>
  <c r="J42" i="24"/>
  <c r="J43" i="24" s="1"/>
  <c r="J44" i="24" s="1"/>
  <c r="J45" i="24" s="1"/>
  <c r="N42" i="24"/>
  <c r="N43" i="24" s="1"/>
  <c r="N44" i="24" s="1"/>
  <c r="N45" i="24" s="1"/>
  <c r="F22" i="24"/>
  <c r="F23" i="24" s="1"/>
  <c r="J22" i="24"/>
  <c r="J23" i="24" s="1"/>
  <c r="N22" i="24"/>
  <c r="N23" i="24" s="1"/>
  <c r="I44" i="24"/>
  <c r="I45" i="24" s="1"/>
  <c r="M44" i="24"/>
  <c r="M45" i="24" s="1"/>
  <c r="P13" i="24"/>
  <c r="P35" i="24"/>
  <c r="A41" i="24"/>
  <c r="P40" i="24"/>
  <c r="P18" i="24"/>
  <c r="D23" i="16"/>
  <c r="D10" i="18"/>
  <c r="C28" i="18"/>
  <c r="A28" i="18"/>
  <c r="G7" i="24" l="1"/>
  <c r="F55" i="24"/>
  <c r="M21" i="24"/>
  <c r="M22" i="24" s="1"/>
  <c r="M23" i="24" s="1"/>
  <c r="E14" i="18"/>
  <c r="J14" i="18"/>
  <c r="N14" i="18"/>
  <c r="H10" i="18"/>
  <c r="L10" i="18"/>
  <c r="F14" i="18"/>
  <c r="E22" i="16"/>
  <c r="M14" i="18"/>
  <c r="D10" i="16"/>
  <c r="D14" i="16" s="1"/>
  <c r="P19" i="24"/>
  <c r="I14" i="18"/>
  <c r="P41" i="24"/>
  <c r="P43" i="24"/>
  <c r="A42" i="24"/>
  <c r="A43" i="24" s="1"/>
  <c r="E10" i="16"/>
  <c r="E14" i="16" s="1"/>
  <c r="H7" i="24" l="1"/>
  <c r="G55" i="24"/>
  <c r="P10" i="18"/>
  <c r="O11" i="18" s="1"/>
  <c r="D21" i="16"/>
  <c r="D24" i="16" s="1"/>
  <c r="G11" i="18"/>
  <c r="L11" i="18"/>
  <c r="N11" i="18"/>
  <c r="J11" i="18"/>
  <c r="E11" i="18"/>
  <c r="H11" i="18"/>
  <c r="M11" i="18"/>
  <c r="P21" i="24"/>
  <c r="P14" i="18"/>
  <c r="P23" i="18"/>
  <c r="A44" i="24"/>
  <c r="C46" i="24" s="1"/>
  <c r="C44" i="24"/>
  <c r="G48" i="24"/>
  <c r="C43" i="24"/>
  <c r="P27" i="18"/>
  <c r="E21" i="16"/>
  <c r="E24" i="16" s="1"/>
  <c r="K11" i="18" l="1"/>
  <c r="I7" i="24"/>
  <c r="H55" i="24"/>
  <c r="O24" i="18"/>
  <c r="O14" i="24" s="1"/>
  <c r="O15" i="24" s="1"/>
  <c r="O24" i="24" s="1"/>
  <c r="O25" i="24" s="1"/>
  <c r="I11" i="18"/>
  <c r="D11" i="18"/>
  <c r="D24" i="18" s="1"/>
  <c r="D15" i="24" s="1"/>
  <c r="D24" i="24" s="1"/>
  <c r="D25" i="24" s="1"/>
  <c r="F11" i="18"/>
  <c r="K24" i="18"/>
  <c r="K14" i="24" s="1"/>
  <c r="K15" i="24" s="1"/>
  <c r="K24" i="24" s="1"/>
  <c r="K25" i="24" s="1"/>
  <c r="K57" i="24" s="1"/>
  <c r="K26" i="41" s="1"/>
  <c r="K29" i="41" s="1"/>
  <c r="E24" i="18"/>
  <c r="E15" i="24" s="1"/>
  <c r="E24" i="24" s="1"/>
  <c r="E25" i="24" s="1"/>
  <c r="L24" i="18"/>
  <c r="L14" i="24" s="1"/>
  <c r="L15" i="24" s="1"/>
  <c r="L24" i="24" s="1"/>
  <c r="M24" i="18"/>
  <c r="M14" i="24" s="1"/>
  <c r="M15" i="24" s="1"/>
  <c r="M24" i="24" s="1"/>
  <c r="M25" i="24" s="1"/>
  <c r="J24" i="18"/>
  <c r="J14" i="24" s="1"/>
  <c r="J15" i="24" s="1"/>
  <c r="J24" i="24" s="1"/>
  <c r="J25" i="24" s="1"/>
  <c r="J57" i="24" s="1"/>
  <c r="I24" i="18"/>
  <c r="I14" i="24" s="1"/>
  <c r="I15" i="24" s="1"/>
  <c r="I24" i="24" s="1"/>
  <c r="N24" i="18"/>
  <c r="N14" i="24" s="1"/>
  <c r="N15" i="24" s="1"/>
  <c r="N24" i="24" s="1"/>
  <c r="H24" i="18"/>
  <c r="H14" i="24" s="1"/>
  <c r="H15" i="24" s="1"/>
  <c r="H24" i="24" s="1"/>
  <c r="G24" i="18"/>
  <c r="G15" i="24" s="1"/>
  <c r="G24" i="24" s="1"/>
  <c r="I15" i="18"/>
  <c r="I28" i="18" s="1"/>
  <c r="I36" i="24" s="1"/>
  <c r="I37" i="24" s="1"/>
  <c r="I46" i="24" s="1"/>
  <c r="G15" i="18"/>
  <c r="G28" i="18" s="1"/>
  <c r="G37" i="24" s="1"/>
  <c r="G46" i="24" s="1"/>
  <c r="G47" i="24" s="1"/>
  <c r="O15" i="18"/>
  <c r="O28" i="18" s="1"/>
  <c r="O36" i="24" s="1"/>
  <c r="O37" i="24" s="1"/>
  <c r="O46" i="24" s="1"/>
  <c r="K15" i="18"/>
  <c r="K28" i="18" s="1"/>
  <c r="K36" i="24" s="1"/>
  <c r="K37" i="24" s="1"/>
  <c r="K46" i="24" s="1"/>
  <c r="L15" i="18"/>
  <c r="L28" i="18" s="1"/>
  <c r="L36" i="24" s="1"/>
  <c r="L37" i="24" s="1"/>
  <c r="L46" i="24" s="1"/>
  <c r="E15" i="18"/>
  <c r="E28" i="18" s="1"/>
  <c r="E37" i="24" s="1"/>
  <c r="E46" i="24" s="1"/>
  <c r="E47" i="24" s="1"/>
  <c r="H15" i="18"/>
  <c r="H28" i="18" s="1"/>
  <c r="H36" i="24" s="1"/>
  <c r="H37" i="24" s="1"/>
  <c r="H46" i="24" s="1"/>
  <c r="H47" i="24" s="1"/>
  <c r="J15" i="18"/>
  <c r="J28" i="18" s="1"/>
  <c r="J36" i="24" s="1"/>
  <c r="J37" i="24" s="1"/>
  <c r="J46" i="24" s="1"/>
  <c r="D15" i="18"/>
  <c r="F15" i="18"/>
  <c r="F28" i="18" s="1"/>
  <c r="F37" i="24" s="1"/>
  <c r="F46" i="24" s="1"/>
  <c r="F47" i="24" s="1"/>
  <c r="N15" i="18"/>
  <c r="N28" i="18" s="1"/>
  <c r="N36" i="24" s="1"/>
  <c r="N37" i="24" s="1"/>
  <c r="N46" i="24" s="1"/>
  <c r="M15" i="18"/>
  <c r="M28" i="18" s="1"/>
  <c r="M36" i="24" s="1"/>
  <c r="M37" i="24" s="1"/>
  <c r="M46" i="24" s="1"/>
  <c r="F24" i="18"/>
  <c r="P44" i="24"/>
  <c r="P45" i="24" s="1"/>
  <c r="P39" i="24"/>
  <c r="D28" i="18"/>
  <c r="L25" i="24" l="1"/>
  <c r="L57" i="24"/>
  <c r="P11" i="18"/>
  <c r="O57" i="24"/>
  <c r="O26" i="41" s="1"/>
  <c r="N25" i="24"/>
  <c r="N57" i="24" s="1"/>
  <c r="M57" i="24"/>
  <c r="M26" i="41" s="1"/>
  <c r="M29" i="41" s="1"/>
  <c r="J26" i="41"/>
  <c r="J29" i="41" s="1"/>
  <c r="G25" i="24"/>
  <c r="G57" i="24" s="1"/>
  <c r="G26" i="41" s="1"/>
  <c r="G29" i="41" s="1"/>
  <c r="J7" i="24"/>
  <c r="I55" i="24"/>
  <c r="I25" i="24"/>
  <c r="I57" i="24" s="1"/>
  <c r="H25" i="24"/>
  <c r="H57" i="24" s="1"/>
  <c r="P24" i="18"/>
  <c r="D37" i="24"/>
  <c r="D46" i="24" s="1"/>
  <c r="F15" i="24"/>
  <c r="F24" i="24" s="1"/>
  <c r="E57" i="24"/>
  <c r="N47" i="24"/>
  <c r="N65" i="24" s="1"/>
  <c r="N58" i="41" s="1"/>
  <c r="N61" i="41" s="1"/>
  <c r="M47" i="24"/>
  <c r="M65" i="24" s="1"/>
  <c r="M58" i="41" s="1"/>
  <c r="M61" i="41" s="1"/>
  <c r="L47" i="24"/>
  <c r="K47" i="24"/>
  <c r="K65" i="24" s="1"/>
  <c r="K58" i="41" s="1"/>
  <c r="K61" i="41" s="1"/>
  <c r="J47" i="24"/>
  <c r="J65" i="24" s="1"/>
  <c r="J58" i="41" s="1"/>
  <c r="J61" i="41" s="1"/>
  <c r="I47" i="24"/>
  <c r="I65" i="24" s="1"/>
  <c r="H65" i="24"/>
  <c r="G65" i="24"/>
  <c r="G58" i="41" s="1"/>
  <c r="G61" i="41" s="1"/>
  <c r="O47" i="24"/>
  <c r="O65" i="24" s="1"/>
  <c r="O58" i="41" s="1"/>
  <c r="P15" i="18"/>
  <c r="F65" i="24"/>
  <c r="P17" i="24"/>
  <c r="P28" i="18"/>
  <c r="I58" i="41" l="1"/>
  <c r="I61" i="41" s="1"/>
  <c r="H26" i="41"/>
  <c r="H29" i="41" s="1"/>
  <c r="F58" i="41"/>
  <c r="F61" i="41" s="1"/>
  <c r="I26" i="41"/>
  <c r="I29" i="41" s="1"/>
  <c r="H58" i="41"/>
  <c r="H61" i="41" s="1"/>
  <c r="L26" i="41"/>
  <c r="L29" i="41" s="1"/>
  <c r="E26" i="41"/>
  <c r="E29" i="41" s="1"/>
  <c r="L65" i="24"/>
  <c r="L58" i="41" s="1"/>
  <c r="L61" i="41" s="1"/>
  <c r="N26" i="41"/>
  <c r="N29" i="41" s="1"/>
  <c r="D47" i="24"/>
  <c r="D49" i="24" s="1"/>
  <c r="K7" i="24"/>
  <c r="J55" i="24"/>
  <c r="F25" i="24"/>
  <c r="F57" i="24" s="1"/>
  <c r="E65" i="24"/>
  <c r="P14" i="24"/>
  <c r="P15" i="24"/>
  <c r="P22" i="24"/>
  <c r="P23" i="24" s="1"/>
  <c r="P47" i="24" l="1"/>
  <c r="E58" i="41"/>
  <c r="E61" i="41" s="1"/>
  <c r="F26" i="41"/>
  <c r="F29" i="41" s="1"/>
  <c r="L7" i="24"/>
  <c r="K55" i="24"/>
  <c r="P36" i="24"/>
  <c r="P25" i="24"/>
  <c r="M7" i="24" l="1"/>
  <c r="L55" i="24"/>
  <c r="P24" i="24"/>
  <c r="D57" i="24"/>
  <c r="P37" i="24"/>
  <c r="D65" i="24"/>
  <c r="D27" i="24"/>
  <c r="D58" i="41" l="1"/>
  <c r="D61" i="41" s="1"/>
  <c r="D26" i="41"/>
  <c r="D15" i="41"/>
  <c r="D29" i="41"/>
  <c r="N7" i="24"/>
  <c r="M55" i="24"/>
  <c r="D29" i="24"/>
  <c r="E27" i="24" s="1"/>
  <c r="E28" i="24" s="1"/>
  <c r="D58" i="24"/>
  <c r="D60" i="24" s="1"/>
  <c r="D59" i="24"/>
  <c r="P46" i="24"/>
  <c r="D28" i="24"/>
  <c r="D47" i="41" l="1"/>
  <c r="E47" i="41" s="1"/>
  <c r="O7" i="24"/>
  <c r="O55" i="24" s="1"/>
  <c r="N55" i="24"/>
  <c r="E15" i="41"/>
  <c r="D28" i="41"/>
  <c r="D30" i="41" s="1"/>
  <c r="D21" i="41"/>
  <c r="E59" i="24"/>
  <c r="E29" i="24"/>
  <c r="F27" i="24" s="1"/>
  <c r="F58" i="24" s="1"/>
  <c r="D51" i="24"/>
  <c r="D66" i="24"/>
  <c r="D68" i="24" s="1"/>
  <c r="D67" i="24"/>
  <c r="E58" i="24"/>
  <c r="E60" i="24" s="1"/>
  <c r="D50" i="24"/>
  <c r="E60" i="41" l="1"/>
  <c r="E62" i="41" s="1"/>
  <c r="D53" i="41"/>
  <c r="D60" i="41"/>
  <c r="D62" i="41" s="1"/>
  <c r="F15" i="41"/>
  <c r="E21" i="41"/>
  <c r="F28" i="41"/>
  <c r="F30" i="41" s="1"/>
  <c r="E28" i="41"/>
  <c r="E30" i="41" s="1"/>
  <c r="D53" i="24"/>
  <c r="E49" i="24"/>
  <c r="F47" i="41"/>
  <c r="F60" i="41"/>
  <c r="F62" i="41" s="1"/>
  <c r="E53" i="41"/>
  <c r="F59" i="24"/>
  <c r="F60" i="24" s="1"/>
  <c r="F28" i="24"/>
  <c r="F29" i="24"/>
  <c r="G27" i="24" s="1"/>
  <c r="G47" i="41" l="1"/>
  <c r="G60" i="41" s="1"/>
  <c r="G62" i="41" s="1"/>
  <c r="F53" i="41"/>
  <c r="G15" i="41"/>
  <c r="F21" i="41"/>
  <c r="G28" i="24"/>
  <c r="G59" i="24"/>
  <c r="G58" i="24"/>
  <c r="E66" i="24"/>
  <c r="E68" i="24" s="1"/>
  <c r="E50" i="24"/>
  <c r="E51" i="24"/>
  <c r="E53" i="24" s="1"/>
  <c r="E67" i="24"/>
  <c r="G29" i="24"/>
  <c r="H27" i="24" s="1"/>
  <c r="H59" i="24" s="1"/>
  <c r="H15" i="41" l="1"/>
  <c r="G21" i="41"/>
  <c r="H28" i="41"/>
  <c r="H30" i="41" s="1"/>
  <c r="G28" i="41"/>
  <c r="G30" i="41" s="1"/>
  <c r="H47" i="41"/>
  <c r="H60" i="41" s="1"/>
  <c r="H62" i="41" s="1"/>
  <c r="G53" i="41"/>
  <c r="G60" i="24"/>
  <c r="F49" i="24"/>
  <c r="F66" i="24" s="1"/>
  <c r="H28" i="24"/>
  <c r="H29" i="24"/>
  <c r="I27" i="24" s="1"/>
  <c r="I28" i="24" s="1"/>
  <c r="H58" i="24"/>
  <c r="H60" i="24" s="1"/>
  <c r="I47" i="41" l="1"/>
  <c r="I60" i="41" s="1"/>
  <c r="I62" i="41" s="1"/>
  <c r="H53" i="41"/>
  <c r="I15" i="41"/>
  <c r="H21" i="41"/>
  <c r="F51" i="24"/>
  <c r="F53" i="24" s="1"/>
  <c r="F50" i="24"/>
  <c r="F67" i="24"/>
  <c r="F68" i="24" s="1"/>
  <c r="I59" i="24"/>
  <c r="I29" i="24"/>
  <c r="J27" i="24" s="1"/>
  <c r="J59" i="24" s="1"/>
  <c r="I58" i="24"/>
  <c r="I60" i="24" l="1"/>
  <c r="J15" i="41"/>
  <c r="J28" i="41" s="1"/>
  <c r="J30" i="41" s="1"/>
  <c r="I21" i="41"/>
  <c r="I28" i="41"/>
  <c r="I30" i="41" s="1"/>
  <c r="J47" i="41"/>
  <c r="J60" i="41" s="1"/>
  <c r="J62" i="41" s="1"/>
  <c r="I53" i="41"/>
  <c r="G49" i="24"/>
  <c r="J58" i="24"/>
  <c r="J60" i="24" s="1"/>
  <c r="J28" i="24"/>
  <c r="J29" i="24"/>
  <c r="K27" i="24" s="1"/>
  <c r="K28" i="24" s="1"/>
  <c r="K47" i="41" l="1"/>
  <c r="K60" i="41" s="1"/>
  <c r="K62" i="41" s="1"/>
  <c r="J53" i="41"/>
  <c r="K15" i="41"/>
  <c r="J21" i="41"/>
  <c r="G67" i="24"/>
  <c r="G66" i="24"/>
  <c r="G50" i="24"/>
  <c r="G51" i="24"/>
  <c r="H49" i="24" s="1"/>
  <c r="H50" i="24" s="1"/>
  <c r="K58" i="24"/>
  <c r="K59" i="24"/>
  <c r="K29" i="24"/>
  <c r="L27" i="24" s="1"/>
  <c r="L59" i="24" l="1"/>
  <c r="L60" i="24" s="1"/>
  <c r="L58" i="24"/>
  <c r="K60" i="24"/>
  <c r="L15" i="41"/>
  <c r="L28" i="41" s="1"/>
  <c r="L30" i="41" s="1"/>
  <c r="K21" i="41"/>
  <c r="K28" i="41"/>
  <c r="K30" i="41" s="1"/>
  <c r="L47" i="41"/>
  <c r="L60" i="41" s="1"/>
  <c r="L62" i="41" s="1"/>
  <c r="K53" i="41"/>
  <c r="G68" i="24"/>
  <c r="G53" i="24"/>
  <c r="H66" i="24"/>
  <c r="H67" i="24"/>
  <c r="H51" i="24"/>
  <c r="I49" i="24" s="1"/>
  <c r="L29" i="24"/>
  <c r="M27" i="24" s="1"/>
  <c r="L28" i="24"/>
  <c r="H68" i="24" l="1"/>
  <c r="M59" i="24"/>
  <c r="M58" i="24"/>
  <c r="M47" i="41"/>
  <c r="M60" i="41" s="1"/>
  <c r="M62" i="41" s="1"/>
  <c r="L53" i="41"/>
  <c r="M15" i="41"/>
  <c r="L21" i="41"/>
  <c r="H53" i="24"/>
  <c r="M28" i="24"/>
  <c r="M29" i="24"/>
  <c r="N27" i="24" s="1"/>
  <c r="I51" i="24"/>
  <c r="J49" i="24" s="1"/>
  <c r="I67" i="24"/>
  <c r="I66" i="24"/>
  <c r="I68" i="24" s="1"/>
  <c r="I50" i="24"/>
  <c r="M60" i="24" l="1"/>
  <c r="N28" i="24"/>
  <c r="N58" i="24"/>
  <c r="N59" i="24"/>
  <c r="N15" i="41"/>
  <c r="N28" i="41" s="1"/>
  <c r="N30" i="41" s="1"/>
  <c r="M21" i="41"/>
  <c r="M28" i="41"/>
  <c r="M30" i="41" s="1"/>
  <c r="N47" i="41"/>
  <c r="N60" i="41" s="1"/>
  <c r="N62" i="41" s="1"/>
  <c r="M53" i="41"/>
  <c r="N29" i="24"/>
  <c r="O27" i="24" s="1"/>
  <c r="I53" i="24"/>
  <c r="J51" i="24"/>
  <c r="J53" i="24" s="1"/>
  <c r="J67" i="24"/>
  <c r="J66" i="24"/>
  <c r="J50" i="24"/>
  <c r="O59" i="24" l="1"/>
  <c r="O58" i="24"/>
  <c r="J68" i="24"/>
  <c r="N60" i="24"/>
  <c r="O47" i="41"/>
  <c r="N53" i="41"/>
  <c r="O15" i="41"/>
  <c r="N21" i="41"/>
  <c r="O29" i="24"/>
  <c r="K49" i="24"/>
  <c r="K66" i="24" s="1"/>
  <c r="O28" i="24"/>
  <c r="P27" i="24"/>
  <c r="O60" i="24" l="1"/>
  <c r="P16" i="41"/>
  <c r="P48" i="41"/>
  <c r="K67" i="24"/>
  <c r="K68" i="24" s="1"/>
  <c r="K50" i="24"/>
  <c r="K51" i="24"/>
  <c r="K53" i="24" s="1"/>
  <c r="P28" i="24"/>
  <c r="Q48" i="41" l="1"/>
  <c r="Q16" i="41"/>
  <c r="L49" i="24"/>
  <c r="L66" i="24" l="1"/>
  <c r="L68" i="24" s="1"/>
  <c r="L67" i="24"/>
  <c r="R16" i="41"/>
  <c r="R48" i="41"/>
  <c r="L51" i="24"/>
  <c r="L53" i="24" s="1"/>
  <c r="L50" i="24"/>
  <c r="S48" i="41" l="1"/>
  <c r="S16" i="41"/>
  <c r="M49" i="24"/>
  <c r="M67" i="24" l="1"/>
  <c r="M66" i="24"/>
  <c r="T16" i="41"/>
  <c r="T48" i="41"/>
  <c r="M50" i="24"/>
  <c r="M51" i="24"/>
  <c r="M53" i="24" s="1"/>
  <c r="M68" i="24" l="1"/>
  <c r="U48" i="41"/>
  <c r="U16" i="41"/>
  <c r="N49" i="24"/>
  <c r="N66" i="24" l="1"/>
  <c r="N67" i="24"/>
  <c r="V16" i="41"/>
  <c r="V48" i="41"/>
  <c r="N50" i="24"/>
  <c r="N51" i="24"/>
  <c r="O49" i="24" s="1"/>
  <c r="N68" i="24" l="1"/>
  <c r="O67" i="24"/>
  <c r="O66" i="24"/>
  <c r="W48" i="41"/>
  <c r="W16" i="41"/>
  <c r="N53" i="24"/>
  <c r="O51" i="24"/>
  <c r="O53" i="24" s="1"/>
  <c r="O50" i="24"/>
  <c r="P49" i="24"/>
  <c r="P50" i="24" s="1"/>
  <c r="O68" i="24" l="1"/>
  <c r="X16" i="41"/>
  <c r="X48" i="41"/>
  <c r="Y48" i="41" l="1"/>
  <c r="Y16" i="41"/>
  <c r="Z5" i="41" l="1"/>
  <c r="Z6" i="41" s="1"/>
  <c r="Z8" i="41" s="1"/>
  <c r="Z37" i="41"/>
  <c r="Z38" i="41" l="1"/>
  <c r="Z40" i="41" s="1"/>
  <c r="Z4" i="41"/>
  <c r="AW9" i="41"/>
  <c r="AR9" i="41"/>
  <c r="AM9" i="41"/>
  <c r="AT9" i="41"/>
  <c r="AS9" i="41"/>
  <c r="AN9" i="41"/>
  <c r="AV9" i="41"/>
  <c r="AP9" i="41"/>
  <c r="AO9" i="41"/>
  <c r="AU9" i="41"/>
  <c r="AL9" i="41"/>
  <c r="AQ9" i="41"/>
  <c r="AA4" i="41" l="1"/>
  <c r="AA6" i="41"/>
  <c r="Z27" i="41"/>
  <c r="AR41" i="41"/>
  <c r="AW41" i="41"/>
  <c r="AT41" i="41"/>
  <c r="AQ41" i="41"/>
  <c r="AO41" i="41"/>
  <c r="AN41" i="41"/>
  <c r="AL41" i="41"/>
  <c r="AP41" i="41"/>
  <c r="AV41" i="41"/>
  <c r="AM41" i="41"/>
  <c r="AS41" i="41"/>
  <c r="AU41" i="41"/>
  <c r="U11" i="41"/>
  <c r="P11" i="41"/>
  <c r="V11" i="41"/>
  <c r="Y11" i="41"/>
  <c r="Q11" i="41"/>
  <c r="X11" i="41"/>
  <c r="O11" i="41"/>
  <c r="O12" i="41" s="1"/>
  <c r="W11" i="41"/>
  <c r="T11" i="41"/>
  <c r="R11" i="41"/>
  <c r="S11" i="41"/>
  <c r="Z36" i="41"/>
  <c r="R12" i="41" l="1"/>
  <c r="R20" i="41" s="1"/>
  <c r="X12" i="41"/>
  <c r="X20" i="41" s="1"/>
  <c r="P12" i="41"/>
  <c r="P20" i="41" s="1"/>
  <c r="P21" i="41" s="1"/>
  <c r="T12" i="41"/>
  <c r="T20" i="41" s="1"/>
  <c r="Q12" i="41"/>
  <c r="Q20" i="41" s="1"/>
  <c r="U12" i="41"/>
  <c r="U20" i="41" s="1"/>
  <c r="W12" i="41"/>
  <c r="W20" i="41" s="1"/>
  <c r="W21" i="41" s="1"/>
  <c r="Y12" i="41"/>
  <c r="Y20" i="41" s="1"/>
  <c r="S12" i="41"/>
  <c r="S20" i="41" s="1"/>
  <c r="S21" i="41" s="1"/>
  <c r="V12" i="41"/>
  <c r="V20" i="41" s="1"/>
  <c r="O19" i="41"/>
  <c r="Z17" i="41"/>
  <c r="Z18" i="41"/>
  <c r="AA38" i="41"/>
  <c r="Z59" i="41"/>
  <c r="AA36" i="41"/>
  <c r="V43" i="41"/>
  <c r="U43" i="41"/>
  <c r="R43" i="41"/>
  <c r="S43" i="41"/>
  <c r="Q43" i="41"/>
  <c r="Y43" i="41"/>
  <c r="W43" i="41"/>
  <c r="O43" i="41"/>
  <c r="O44" i="41" s="1"/>
  <c r="X43" i="41"/>
  <c r="T43" i="41"/>
  <c r="P43" i="41"/>
  <c r="AB4" i="41"/>
  <c r="AA27" i="41"/>
  <c r="Q31" i="41" l="1"/>
  <c r="Q29" i="41" s="1"/>
  <c r="Q21" i="41"/>
  <c r="R21" i="41"/>
  <c r="S31" i="41"/>
  <c r="S29" i="41" s="1"/>
  <c r="R31" i="41"/>
  <c r="R29" i="41" s="1"/>
  <c r="U31" i="41"/>
  <c r="U29" i="41" s="1"/>
  <c r="U21" i="41"/>
  <c r="Z31" i="41"/>
  <c r="Z29" i="41" s="1"/>
  <c r="Y31" i="41"/>
  <c r="Y29" i="41" s="1"/>
  <c r="Y21" i="41"/>
  <c r="V31" i="41"/>
  <c r="V29" i="41" s="1"/>
  <c r="V21" i="41"/>
  <c r="W31" i="41"/>
  <c r="W29" i="41" s="1"/>
  <c r="X31" i="41"/>
  <c r="X29" i="41" s="1"/>
  <c r="X21" i="41"/>
  <c r="T31" i="41"/>
  <c r="T29" i="41" s="1"/>
  <c r="T21" i="41"/>
  <c r="T44" i="41"/>
  <c r="T52" i="41" s="1"/>
  <c r="Y44" i="41"/>
  <c r="Y52" i="41" s="1"/>
  <c r="U44" i="41"/>
  <c r="U52" i="41" s="1"/>
  <c r="X44" i="41"/>
  <c r="X52" i="41" s="1"/>
  <c r="Q44" i="41"/>
  <c r="Q52" i="41" s="1"/>
  <c r="V44" i="41"/>
  <c r="V52" i="41" s="1"/>
  <c r="S44" i="41"/>
  <c r="S52" i="41" s="1"/>
  <c r="P44" i="41"/>
  <c r="P52" i="41" s="1"/>
  <c r="P53" i="41" s="1"/>
  <c r="W44" i="41"/>
  <c r="W52" i="41" s="1"/>
  <c r="W53" i="41" s="1"/>
  <c r="R44" i="41"/>
  <c r="R52" i="41" s="1"/>
  <c r="O51" i="41"/>
  <c r="O31" i="41"/>
  <c r="O29" i="41" s="1"/>
  <c r="O21" i="41"/>
  <c r="P31" i="41"/>
  <c r="P29" i="41" s="1"/>
  <c r="Z21" i="41"/>
  <c r="AA18" i="41"/>
  <c r="Z49" i="41"/>
  <c r="Z50" i="41"/>
  <c r="L84" i="24"/>
  <c r="U28" i="41"/>
  <c r="U30" i="41" s="1"/>
  <c r="J85" i="24"/>
  <c r="K84" i="24"/>
  <c r="AA17" i="41"/>
  <c r="AA29" i="41"/>
  <c r="AC4" i="41"/>
  <c r="AB27" i="41"/>
  <c r="AB36" i="41"/>
  <c r="AA59" i="41"/>
  <c r="AA61" i="41" s="1"/>
  <c r="Q28" i="41" l="1"/>
  <c r="Q30" i="41" s="1"/>
  <c r="V28" i="41"/>
  <c r="V30" i="41" s="1"/>
  <c r="S28" i="41"/>
  <c r="S30" i="41" s="1"/>
  <c r="R28" i="41"/>
  <c r="R30" i="41" s="1"/>
  <c r="W28" i="41"/>
  <c r="W30" i="41" s="1"/>
  <c r="T63" i="41"/>
  <c r="T61" i="41" s="1"/>
  <c r="T53" i="41"/>
  <c r="U63" i="41"/>
  <c r="U61" i="41" s="1"/>
  <c r="U53" i="41"/>
  <c r="V53" i="41"/>
  <c r="V63" i="41"/>
  <c r="V61" i="41" s="1"/>
  <c r="R63" i="41"/>
  <c r="R61" i="41" s="1"/>
  <c r="R53" i="41"/>
  <c r="Q63" i="41"/>
  <c r="Q61" i="41" s="1"/>
  <c r="Y63" i="41"/>
  <c r="Y61" i="41" s="1"/>
  <c r="Y53" i="41"/>
  <c r="Z63" i="41"/>
  <c r="Z61" i="41" s="1"/>
  <c r="S63" i="41"/>
  <c r="S61" i="41" s="1"/>
  <c r="X63" i="41"/>
  <c r="X61" i="41" s="1"/>
  <c r="X53" i="41"/>
  <c r="S53" i="41"/>
  <c r="W63" i="41"/>
  <c r="W61" i="41" s="1"/>
  <c r="X28" i="41"/>
  <c r="X30" i="41" s="1"/>
  <c r="Q53" i="41"/>
  <c r="T28" i="41"/>
  <c r="T30" i="41" s="1"/>
  <c r="Z28" i="41"/>
  <c r="Z30" i="41" s="1"/>
  <c r="Y28" i="41"/>
  <c r="Y30" i="41" s="1"/>
  <c r="O28" i="41"/>
  <c r="O30" i="41" s="1"/>
  <c r="O53" i="41"/>
  <c r="O83" i="24"/>
  <c r="O63" i="41"/>
  <c r="O61" i="41" s="1"/>
  <c r="M84" i="24"/>
  <c r="O84" i="24"/>
  <c r="P63" i="41"/>
  <c r="P61" i="41" s="1"/>
  <c r="N84" i="24"/>
  <c r="P28" i="41"/>
  <c r="P30" i="41" s="1"/>
  <c r="AB18" i="41"/>
  <c r="Z53" i="41"/>
  <c r="AA50" i="41"/>
  <c r="U60" i="41"/>
  <c r="U62" i="41" s="1"/>
  <c r="T60" i="41"/>
  <c r="T62" i="41" s="1"/>
  <c r="K85" i="24"/>
  <c r="K74" i="24" s="1"/>
  <c r="K73" i="24" s="1"/>
  <c r="K76" i="24" s="1"/>
  <c r="J74" i="24"/>
  <c r="J73" i="24" s="1"/>
  <c r="J76" i="24" s="1"/>
  <c r="AB17" i="41"/>
  <c r="AB29" i="41"/>
  <c r="AA49" i="41"/>
  <c r="AD4" i="41"/>
  <c r="AC27" i="41"/>
  <c r="AC36" i="41"/>
  <c r="AB59" i="41"/>
  <c r="AB61" i="41" s="1"/>
  <c r="AA21" i="41"/>
  <c r="AA28" i="41"/>
  <c r="AA30" i="41" s="1"/>
  <c r="R60" i="41"/>
  <c r="R62" i="41" s="1"/>
  <c r="X60" i="41" l="1"/>
  <c r="X62" i="41" s="1"/>
  <c r="Y60" i="41"/>
  <c r="Y62" i="41" s="1"/>
  <c r="V60" i="41"/>
  <c r="V62" i="41" s="1"/>
  <c r="Q60" i="41"/>
  <c r="Q62" i="41" s="1"/>
  <c r="S60" i="41"/>
  <c r="S62" i="41" s="1"/>
  <c r="Z60" i="41"/>
  <c r="Z62" i="41" s="1"/>
  <c r="W60" i="41"/>
  <c r="W62" i="41" s="1"/>
  <c r="O60" i="41"/>
  <c r="O62" i="41" s="1"/>
  <c r="P60" i="41"/>
  <c r="P62" i="41" s="1"/>
  <c r="N85" i="24"/>
  <c r="N74" i="24" s="1"/>
  <c r="N73" i="24" s="1"/>
  <c r="N76" i="24" s="1"/>
  <c r="L85" i="24"/>
  <c r="L74" i="24" s="1"/>
  <c r="L73" i="24" s="1"/>
  <c r="L76" i="24" s="1"/>
  <c r="O85" i="24"/>
  <c r="O74" i="24" s="1"/>
  <c r="O73" i="24" s="1"/>
  <c r="O76" i="24" s="1"/>
  <c r="M85" i="24"/>
  <c r="M74" i="24" s="1"/>
  <c r="M73" i="24" s="1"/>
  <c r="M76" i="24" s="1"/>
  <c r="AC18" i="41"/>
  <c r="AB28" i="41"/>
  <c r="AB30" i="41" s="1"/>
  <c r="AB50" i="41"/>
  <c r="AB49" i="41"/>
  <c r="AA53" i="41"/>
  <c r="AA60" i="41"/>
  <c r="AA62" i="41" s="1"/>
  <c r="AE4" i="41"/>
  <c r="AD27" i="41"/>
  <c r="AC59" i="41"/>
  <c r="AC61" i="41" s="1"/>
  <c r="AD36" i="41"/>
  <c r="AC17" i="41"/>
  <c r="AC29" i="41"/>
  <c r="AB21" i="41"/>
  <c r="AC28" i="41" l="1"/>
  <c r="AC30" i="41" s="1"/>
  <c r="AD18" i="41"/>
  <c r="AB60" i="41"/>
  <c r="AB62" i="41" s="1"/>
  <c r="AC50" i="41"/>
  <c r="AD59" i="41"/>
  <c r="AD61" i="41" s="1"/>
  <c r="AE36" i="41"/>
  <c r="AD17" i="41"/>
  <c r="AD29" i="41"/>
  <c r="AC21" i="41"/>
  <c r="AF4" i="41"/>
  <c r="AE27" i="41"/>
  <c r="AC49" i="41"/>
  <c r="AC60" i="41" s="1"/>
  <c r="AC62" i="41" s="1"/>
  <c r="AB53" i="41"/>
  <c r="AE18" i="41" l="1"/>
  <c r="AD50" i="41"/>
  <c r="AF27" i="41"/>
  <c r="AG4" i="41"/>
  <c r="AD21" i="41"/>
  <c r="AD28" i="41"/>
  <c r="AD30" i="41" s="1"/>
  <c r="AE59" i="41"/>
  <c r="AE61" i="41" s="1"/>
  <c r="AF36" i="41"/>
  <c r="AE17" i="41"/>
  <c r="AE29" i="41"/>
  <c r="AD49" i="41"/>
  <c r="AC53" i="41"/>
  <c r="AF18" i="41" l="1"/>
  <c r="AD60" i="41"/>
  <c r="AD62" i="41" s="1"/>
  <c r="AE50" i="41"/>
  <c r="AE21" i="41"/>
  <c r="AG36" i="41"/>
  <c r="AF59" i="41"/>
  <c r="AE28" i="41"/>
  <c r="AE30" i="41" s="1"/>
  <c r="AE49" i="41"/>
  <c r="AD53" i="41"/>
  <c r="AG27" i="41"/>
  <c r="AH4" i="41"/>
  <c r="AF17" i="41"/>
  <c r="AF29" i="41"/>
  <c r="AG18" i="41" l="1"/>
  <c r="AE60" i="41"/>
  <c r="AE62" i="41" s="1"/>
  <c r="AF50" i="41"/>
  <c r="AF21" i="41"/>
  <c r="AH36" i="41"/>
  <c r="AG59" i="41"/>
  <c r="AF49" i="41"/>
  <c r="AF60" i="41" s="1"/>
  <c r="AF62" i="41" s="1"/>
  <c r="AF61" i="41"/>
  <c r="AI4" i="41"/>
  <c r="AH27" i="41"/>
  <c r="AE53" i="41"/>
  <c r="AF28" i="41"/>
  <c r="AF30" i="41" s="1"/>
  <c r="AG17" i="41"/>
  <c r="AG29" i="41"/>
  <c r="AH18" i="41" l="1"/>
  <c r="AG50" i="41"/>
  <c r="AJ4" i="41"/>
  <c r="AI27" i="41"/>
  <c r="AI36" i="41"/>
  <c r="AH59" i="41"/>
  <c r="AG21" i="41"/>
  <c r="AG28" i="41"/>
  <c r="AG30" i="41" s="1"/>
  <c r="AH17" i="41"/>
  <c r="AH29" i="41"/>
  <c r="AG49" i="41"/>
  <c r="AG61" i="41"/>
  <c r="AF53" i="41"/>
  <c r="AH50" i="41" l="1"/>
  <c r="AI18" i="41"/>
  <c r="AG60" i="41"/>
  <c r="AG62" i="41" s="1"/>
  <c r="AH21" i="41"/>
  <c r="AJ36" i="41"/>
  <c r="AI59" i="41"/>
  <c r="AH49" i="41"/>
  <c r="AH61" i="41"/>
  <c r="AG53" i="41"/>
  <c r="AH28" i="41"/>
  <c r="AH30" i="41" s="1"/>
  <c r="AI17" i="41"/>
  <c r="AI29" i="41"/>
  <c r="AK4" i="41"/>
  <c r="AJ27" i="41"/>
  <c r="AJ18" i="41" s="1"/>
  <c r="AH60" i="41" l="1"/>
  <c r="AH62" i="41" s="1"/>
  <c r="AI50" i="41"/>
  <c r="AJ59" i="41"/>
  <c r="AK36" i="41"/>
  <c r="AM7" i="41"/>
  <c r="AL10" i="41" s="1"/>
  <c r="AM10" i="41" s="1"/>
  <c r="AN10" i="41" s="1"/>
  <c r="AO10" i="41" s="1"/>
  <c r="AP10" i="41" s="1"/>
  <c r="AQ10" i="41" s="1"/>
  <c r="AR10" i="41" s="1"/>
  <c r="AS10" i="41" s="1"/>
  <c r="AT10" i="41" s="1"/>
  <c r="AU10" i="41" s="1"/>
  <c r="AV10" i="41" s="1"/>
  <c r="AW10" i="41" s="1"/>
  <c r="AK27" i="41"/>
  <c r="AK18" i="41" s="1"/>
  <c r="AI49" i="41"/>
  <c r="AI61" i="41"/>
  <c r="AI21" i="41"/>
  <c r="AI28" i="41"/>
  <c r="AI30" i="41" s="1"/>
  <c r="AJ17" i="41"/>
  <c r="AJ28" i="41" s="1"/>
  <c r="AJ30" i="41" s="1"/>
  <c r="AJ29" i="41"/>
  <c r="AH53" i="41"/>
  <c r="AI60" i="41" l="1"/>
  <c r="AI62" i="41" s="1"/>
  <c r="AJ50" i="41"/>
  <c r="AK17" i="41"/>
  <c r="AK28" i="41" s="1"/>
  <c r="AK30" i="41" s="1"/>
  <c r="AK29" i="41"/>
  <c r="AJ21" i="41"/>
  <c r="AM39" i="41"/>
  <c r="AL42" i="41" s="1"/>
  <c r="AM42" i="41" s="1"/>
  <c r="AN42" i="41" s="1"/>
  <c r="AO42" i="41" s="1"/>
  <c r="AP42" i="41" s="1"/>
  <c r="AQ42" i="41" s="1"/>
  <c r="AR42" i="41" s="1"/>
  <c r="AS42" i="41" s="1"/>
  <c r="AT42" i="41" s="1"/>
  <c r="AU42" i="41" s="1"/>
  <c r="AV42" i="41" s="1"/>
  <c r="AW42" i="41" s="1"/>
  <c r="AK59" i="41"/>
  <c r="AI53" i="41"/>
  <c r="AJ49" i="41"/>
  <c r="AJ61" i="41"/>
  <c r="AJ60" i="41" l="1"/>
  <c r="AJ62" i="41" s="1"/>
  <c r="AK50" i="41"/>
  <c r="AJ53" i="41"/>
  <c r="AK49" i="41"/>
  <c r="AK61" i="41"/>
  <c r="AK21" i="41"/>
  <c r="AL5" i="41"/>
  <c r="AL37" i="41" l="1"/>
  <c r="AL38" i="41" s="1"/>
  <c r="AL40" i="41" s="1"/>
  <c r="AL36" i="41" s="1"/>
  <c r="AK53" i="41"/>
  <c r="AK60" i="41"/>
  <c r="AK62" i="41" s="1"/>
  <c r="AL6" i="41"/>
  <c r="AL8" i="41" s="1"/>
  <c r="AL4" i="41" s="1"/>
  <c r="AM6" i="41" l="1"/>
  <c r="AM4" i="41"/>
  <c r="AL27" i="41"/>
  <c r="AL59" i="41"/>
  <c r="AL49" i="41" s="1"/>
  <c r="AM38" i="41"/>
  <c r="AM36" i="41"/>
  <c r="AL61" i="41" l="1"/>
  <c r="AL50" i="41"/>
  <c r="AL18" i="41"/>
  <c r="AL29" i="41"/>
  <c r="AL17" i="41"/>
  <c r="AN4" i="41"/>
  <c r="AM27" i="41"/>
  <c r="AM29" i="41" s="1"/>
  <c r="AM59" i="41"/>
  <c r="AM61" i="41" s="1"/>
  <c r="AN36" i="41"/>
  <c r="AM18" i="41" l="1"/>
  <c r="AM49" i="41"/>
  <c r="AO4" i="41"/>
  <c r="AN27" i="41"/>
  <c r="AM50" i="41"/>
  <c r="AL60" i="41"/>
  <c r="AL62" i="41" s="1"/>
  <c r="AL53" i="41"/>
  <c r="AN59" i="41"/>
  <c r="AN61" i="41" s="1"/>
  <c r="AO36" i="41"/>
  <c r="AM17" i="41"/>
  <c r="AL21" i="41"/>
  <c r="AL28" i="41"/>
  <c r="AL30" i="41" s="1"/>
  <c r="AN49" i="41" l="1"/>
  <c r="AM60" i="41"/>
  <c r="AM62" i="41" s="1"/>
  <c r="AN17" i="41"/>
  <c r="AM21" i="41"/>
  <c r="AP4" i="41"/>
  <c r="AO27" i="41"/>
  <c r="AO29" i="41" s="1"/>
  <c r="AO59" i="41"/>
  <c r="AP36" i="41"/>
  <c r="AN18" i="41"/>
  <c r="AN29" i="41"/>
  <c r="AM28" i="41"/>
  <c r="AM30" i="41" s="1"/>
  <c r="AN50" i="41"/>
  <c r="AM53" i="41"/>
  <c r="AO18" i="41" l="1"/>
  <c r="AN60" i="41"/>
  <c r="AN62" i="41" s="1"/>
  <c r="AO50" i="41"/>
  <c r="AN53" i="41"/>
  <c r="AP59" i="41"/>
  <c r="AP61" i="41" s="1"/>
  <c r="AQ36" i="41"/>
  <c r="AN28" i="41"/>
  <c r="AN30" i="41" s="1"/>
  <c r="AQ4" i="41"/>
  <c r="AP27" i="41"/>
  <c r="AO49" i="41"/>
  <c r="AO61" i="41"/>
  <c r="AO17" i="41"/>
  <c r="AN21" i="41"/>
  <c r="AO28" i="41" l="1"/>
  <c r="AO30" i="41" s="1"/>
  <c r="AO60" i="41"/>
  <c r="AO62" i="41" s="1"/>
  <c r="AR4" i="41"/>
  <c r="AQ27" i="41"/>
  <c r="AP18" i="41"/>
  <c r="AP29" i="41"/>
  <c r="AP17" i="41"/>
  <c r="AO21" i="41"/>
  <c r="AP49" i="41"/>
  <c r="AO53" i="41"/>
  <c r="AQ59" i="41"/>
  <c r="AQ61" i="41" s="1"/>
  <c r="AR36" i="41"/>
  <c r="AP50" i="41"/>
  <c r="AQ50" i="41" l="1"/>
  <c r="AP28" i="41"/>
  <c r="AP30" i="41" s="1"/>
  <c r="AS36" i="41"/>
  <c r="AR59" i="41"/>
  <c r="AR61" i="41" s="1"/>
  <c r="AQ49" i="41"/>
  <c r="AQ60" i="41" s="1"/>
  <c r="AQ62" i="41" s="1"/>
  <c r="AP53" i="41"/>
  <c r="AQ18" i="41"/>
  <c r="AQ29" i="41"/>
  <c r="AP60" i="41"/>
  <c r="AP62" i="41" s="1"/>
  <c r="AQ17" i="41"/>
  <c r="AP21" i="41"/>
  <c r="AR27" i="41"/>
  <c r="AS4" i="41"/>
  <c r="AQ28" i="41" l="1"/>
  <c r="AQ30" i="41" s="1"/>
  <c r="AR50" i="41"/>
  <c r="AR49" i="41"/>
  <c r="AQ53" i="41"/>
  <c r="AT4" i="41"/>
  <c r="AS27" i="41"/>
  <c r="AS29" i="41" s="1"/>
  <c r="AR17" i="41"/>
  <c r="AQ21" i="41"/>
  <c r="AR18" i="41"/>
  <c r="AR29" i="41"/>
  <c r="AT36" i="41"/>
  <c r="AS59" i="41"/>
  <c r="AS61" i="41" s="1"/>
  <c r="AS18" i="41" l="1"/>
  <c r="AR60" i="41"/>
  <c r="AR62" i="41" s="1"/>
  <c r="AR28" i="41"/>
  <c r="AR30" i="41" s="1"/>
  <c r="AS17" i="41"/>
  <c r="AR21" i="41"/>
  <c r="AT27" i="41"/>
  <c r="AT29" i="41" s="1"/>
  <c r="AU4" i="41"/>
  <c r="AT59" i="41"/>
  <c r="AT61" i="41" s="1"/>
  <c r="AU36" i="41"/>
  <c r="AS49" i="41"/>
  <c r="AR53" i="41"/>
  <c r="AS50" i="41"/>
  <c r="AT50" i="41" l="1"/>
  <c r="AS28" i="41"/>
  <c r="AS30" i="41" s="1"/>
  <c r="AT18" i="41"/>
  <c r="AV4" i="41"/>
  <c r="AU27" i="41"/>
  <c r="AV36" i="41"/>
  <c r="AU59" i="41"/>
  <c r="AU61" i="41" s="1"/>
  <c r="AT17" i="41"/>
  <c r="AS21" i="41"/>
  <c r="AT49" i="41"/>
  <c r="AS53" i="41"/>
  <c r="AS60" i="41"/>
  <c r="AS62" i="41" s="1"/>
  <c r="AT28" i="41" l="1"/>
  <c r="AT30" i="41" s="1"/>
  <c r="AU49" i="41"/>
  <c r="AT53" i="41"/>
  <c r="AT60" i="41"/>
  <c r="AT62" i="41" s="1"/>
  <c r="AU50" i="41"/>
  <c r="AV27" i="41"/>
  <c r="AV29" i="41" s="1"/>
  <c r="AW4" i="41"/>
  <c r="AW27" i="41" s="1"/>
  <c r="AW29" i="41" s="1"/>
  <c r="AW36" i="41"/>
  <c r="AW59" i="41" s="1"/>
  <c r="AW61" i="41" s="1"/>
  <c r="AV59" i="41"/>
  <c r="AU17" i="41"/>
  <c r="AT21" i="41"/>
  <c r="AU18" i="41"/>
  <c r="AV18" i="41" s="1"/>
  <c r="AU29" i="41"/>
  <c r="AW18" i="41" l="1"/>
  <c r="AV50" i="41"/>
  <c r="AW50" i="41" s="1"/>
  <c r="AV61" i="41"/>
  <c r="AV49" i="41"/>
  <c r="AU53" i="41"/>
  <c r="AU60" i="41"/>
  <c r="AU62" i="41" s="1"/>
  <c r="AU28" i="41"/>
  <c r="AU30" i="41" s="1"/>
  <c r="AV17" i="41"/>
  <c r="AU21" i="41"/>
  <c r="AV60" i="41" l="1"/>
  <c r="AV62" i="41" s="1"/>
  <c r="AW17" i="41"/>
  <c r="AW21" i="41" s="1"/>
  <c r="AV21" i="41"/>
  <c r="AW49" i="41"/>
  <c r="AW53" i="41" s="1"/>
  <c r="AV53" i="41"/>
  <c r="AV28" i="41"/>
  <c r="AV30" i="41" s="1"/>
  <c r="AW28" i="41" l="1"/>
  <c r="AW30" i="41" s="1"/>
  <c r="AW60" i="41"/>
  <c r="AW62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8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E8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F8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G8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H8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I8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J8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K83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L83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M83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N8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G10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Jaa0175</author>
  </authors>
  <commentList>
    <comment ref="F24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sharedStrings.xml><?xml version="1.0" encoding="utf-8"?>
<sst xmlns="http://schemas.openxmlformats.org/spreadsheetml/2006/main" count="2176" uniqueCount="393">
  <si>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</si>
  <si>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</si>
  <si>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</si>
  <si>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</si>
  <si>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</si>
  <si>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</si>
  <si>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</si>
  <si>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</si>
  <si>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</si>
  <si>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</si>
  <si>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</si>
  <si>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</si>
  <si>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</si>
  <si>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</si>
  <si>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</si>
  <si>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</si>
  <si>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</si>
  <si>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</si>
  <si>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</si>
  <si>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</si>
  <si>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</si>
  <si>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</si>
  <si>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</si>
  <si>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</si>
  <si>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</si>
  <si>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</si>
  <si>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</si>
  <si>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</si>
  <si>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</si>
  <si>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</si>
  <si>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</si>
  <si>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</si>
  <si>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</si>
  <si>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</si>
  <si>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</si>
  <si>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</si>
  <si>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</si>
  <si>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</si>
  <si>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</si>
  <si>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</si>
  <si>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</si>
  <si>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</si>
  <si>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</si>
  <si>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</si>
  <si>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</si>
  <si>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</si>
  <si>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</si>
  <si>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</si>
  <si>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</si>
  <si>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</si>
  <si>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</si>
  <si>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</si>
  <si>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</si>
  <si>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</si>
  <si>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</si>
  <si>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</si>
  <si>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</si>
  <si>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</si>
  <si>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</si>
  <si>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</si>
  <si>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</si>
  <si>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</si>
  <si>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</si>
  <si>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</si>
  <si>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</si>
  <si>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</si>
  <si>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</si>
  <si>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</si>
  <si>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</si>
  <si>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</si>
  <si>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</si>
  <si>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</si>
  <si>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</si>
  <si>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</si>
  <si>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</si>
  <si>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</si>
  <si>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</si>
  <si>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</si>
  <si>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</si>
  <si>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Test Year # of Customers 12 ME 09.2014</t>
  </si>
  <si>
    <t>Normalized Usage by Month</t>
  </si>
  <si>
    <t>WASHINGTON ELECTRIC SYSTEM</t>
  </si>
  <si>
    <t>March</t>
  </si>
  <si>
    <t>April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</si>
  <si>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</si>
  <si>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</si>
  <si>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</si>
  <si>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</si>
  <si>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</si>
  <si>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</si>
  <si>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</si>
  <si>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</si>
  <si>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</si>
  <si>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</si>
  <si>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</si>
  <si>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</si>
  <si>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</si>
  <si>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</si>
  <si>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</si>
  <si>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</si>
  <si>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</si>
  <si>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</si>
  <si>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</si>
  <si>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</si>
  <si>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</si>
  <si>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</si>
  <si>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</si>
  <si>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</si>
  <si>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</si>
  <si>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</si>
  <si>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</si>
  <si>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</si>
  <si>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</si>
  <si>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</si>
  <si>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</si>
  <si>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</si>
  <si>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</si>
  <si>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</si>
  <si>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</si>
  <si>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</si>
  <si>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</si>
  <si>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</si>
  <si>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</si>
  <si>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</si>
  <si>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</si>
  <si>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</si>
  <si>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</si>
  <si>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</si>
  <si>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</si>
  <si>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</si>
  <si>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</si>
  <si>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</si>
  <si>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</si>
  <si>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</si>
  <si>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</si>
  <si>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</si>
  <si>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</si>
  <si>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</si>
  <si>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</si>
  <si>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</si>
  <si>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186328 Residential Decoupled Deferred Revenue</t>
  </si>
  <si>
    <t>186338 Non-Residential Decoupled Deferred Revenue</t>
  </si>
  <si>
    <t>EDWA</t>
  </si>
  <si>
    <t>Allowed Revenue Increase (Attachment 1)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</si>
  <si>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</si>
  <si>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</si>
  <si>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</si>
  <si>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</si>
  <si>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</si>
  <si>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</si>
  <si>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</si>
  <si>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</si>
  <si>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</si>
  <si>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</si>
  <si>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</si>
  <si>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Copied From EMA-6, Page 3</t>
  </si>
  <si>
    <t>Revenue Conversion Factor</t>
  </si>
  <si>
    <t>Washington - Electric System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</si>
  <si>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</si>
  <si>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</si>
  <si>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</si>
  <si>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</si>
  <si>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</si>
  <si>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</si>
  <si>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</si>
  <si>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</si>
  <si>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</si>
  <si>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</si>
  <si>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</si>
  <si>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</si>
  <si>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</si>
  <si>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</si>
  <si>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</si>
  <si>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</si>
  <si>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</si>
  <si>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</si>
  <si>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</si>
  <si>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</si>
  <si>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</si>
  <si>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</si>
  <si>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</si>
  <si>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</si>
  <si>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</si>
  <si>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</si>
  <si>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</si>
  <si>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</si>
  <si>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</si>
  <si>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</si>
  <si>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</si>
  <si>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</si>
  <si>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</si>
  <si>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</si>
  <si>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</si>
  <si>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</si>
  <si>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</si>
  <si>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</si>
  <si>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</si>
  <si>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</si>
  <si>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</si>
  <si>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</si>
  <si>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</si>
  <si>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</si>
  <si>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</si>
  <si>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</si>
  <si>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</si>
  <si>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</si>
  <si>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</si>
  <si>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</si>
  <si>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</si>
  <si>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</si>
  <si>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456328 Res Decoupling Deferral</t>
  </si>
  <si>
    <t xml:space="preserve">456338 Non-Res Decoupling Deferral </t>
  </si>
  <si>
    <t>Actual Usage (kWhs)</t>
  </si>
  <si>
    <t>Sch 75</t>
  </si>
  <si>
    <t>1.30% of base revenue</t>
  </si>
  <si>
    <t>Schedule 25 Schedule Shifting Special Circumstance</t>
  </si>
  <si>
    <t>Customer Count</t>
  </si>
  <si>
    <t>KWh Usage</t>
  </si>
  <si>
    <t>Base Rate Revenue Received</t>
  </si>
  <si>
    <t>Customer 1</t>
  </si>
  <si>
    <t>Schedule 21 Adjustment</t>
  </si>
  <si>
    <t>Sch 21 Fixed Charge Revenue</t>
  </si>
  <si>
    <t>Add to Schedule 21 customer, usage and revenue statistics until incorporated in Decoupling base</t>
  </si>
  <si>
    <t>1 Large Schedule 21 customer in the test year moved to Schedule 25. (Schedule 25 not included in Decoupling, Schedule 21 included in Decoupling)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</si>
  <si>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$55,878.</t>
    </r>
  </si>
  <si>
    <t>Development of WA Electric Deferrals (Calendar Year 2018)</t>
  </si>
  <si>
    <t>January Billing</t>
  </si>
  <si>
    <t>February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</si>
  <si>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$55,019.</t>
    </r>
  </si>
  <si>
    <t>Total Adder Schedule Rate/kWh</t>
  </si>
  <si>
    <t>Check</t>
  </si>
  <si>
    <t>March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</si>
  <si>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$56,631.</t>
    </r>
  </si>
  <si>
    <t>April Billing</t>
  </si>
  <si>
    <t>WA Schedule 75 2016 Deferral Decoupling Mechanism Amortization</t>
  </si>
  <si>
    <t>Current Month</t>
  </si>
  <si>
    <t>Reasonableness check - do not print</t>
  </si>
  <si>
    <t>Prior Month</t>
  </si>
  <si>
    <t>11/1/2017 rate</t>
  </si>
  <si>
    <t>Unbilled Schedule 75 Revenue</t>
  </si>
  <si>
    <t>Usage Calculated Schedule 75 Revenue</t>
  </si>
  <si>
    <t>Unbilled True-up Sch 75</t>
  </si>
  <si>
    <t>Schedule 001</t>
  </si>
  <si>
    <t>Schedule 002</t>
  </si>
  <si>
    <t>Schedule 011</t>
  </si>
  <si>
    <t>Schedule 012</t>
  </si>
  <si>
    <t>Schedule 021</t>
  </si>
  <si>
    <t>Schedule 022</t>
  </si>
  <si>
    <t>Schedule 030</t>
  </si>
  <si>
    <t>Schedule 031</t>
  </si>
  <si>
    <t>Schedule 032</t>
  </si>
  <si>
    <t>UE-170939</t>
  </si>
  <si>
    <t>Conversion Factor</t>
  </si>
  <si>
    <t>Calendar kWhs</t>
  </si>
  <si>
    <t>Amortization Rate</t>
  </si>
  <si>
    <t>difference</t>
  </si>
  <si>
    <t>Residential Amortization</t>
  </si>
  <si>
    <t>Non-Residential Amortization</t>
  </si>
  <si>
    <t>Sch 21 Adjust.</t>
  </si>
  <si>
    <t>456329 Amortization Residential Decoupling Def Revenue</t>
  </si>
  <si>
    <t>182328 Reg Asset Residential Decoupling Surcharge</t>
  </si>
  <si>
    <t>254328 Reg Liability Residential Decoupling Rebate</t>
  </si>
  <si>
    <t>456339 Amortization Non-Resid Decoupling Def Revenue</t>
  </si>
  <si>
    <t>182338 Reg Asset Non-Resid Decoupling Surcharge</t>
  </si>
  <si>
    <t>254338 Reg Liability Non-Resid Decoupling Rebate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</si>
  <si>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$53,859.</t>
    </r>
  </si>
  <si>
    <t>Twelve Months Ended December 31, 2016</t>
  </si>
  <si>
    <t>Residential Schedule 001/002</t>
  </si>
  <si>
    <t>Extra Large Gen Schedule 025</t>
  </si>
  <si>
    <t>Pumping Schedule 031/032</t>
  </si>
  <si>
    <t>Washington Docket No. UE-170485 Compliance Filing</t>
  </si>
  <si>
    <t>SCHEDULE 1,2</t>
  </si>
  <si>
    <t>Total Normalized 12ME Dec 2016 Revenue</t>
  </si>
  <si>
    <t xml:space="preserve">Allowed Base Rate Revenue </t>
  </si>
  <si>
    <t>Normalized kWhs (12ME Dec 2016 Test Year)</t>
  </si>
  <si>
    <t>Customer Bills (12ME Dec 2016 Test Year)</t>
  </si>
  <si>
    <t>AVISTA UTILITIES</t>
  </si>
  <si>
    <t>WASHINGTON ELECTRIC</t>
  </si>
  <si>
    <t>TWELVE MONTHS ENDED DECEMBER 31, 2016</t>
  </si>
  <si>
    <t>With Tax Reform</t>
  </si>
  <si>
    <t xml:space="preserve">  Federal Income Tax @ 21%</t>
  </si>
  <si>
    <t>(Per Order No. 6; UE-120436, dated 6/20/2012 - "hard" CF rounded to 6 digits)</t>
  </si>
  <si>
    <t>Revised Conversion Factor per Bench Request 9, Attachment B Page 4</t>
  </si>
  <si>
    <t>Attachment 4, Page 4</t>
  </si>
  <si>
    <t>Test Year # of Customers 12 ME 12.2016</t>
  </si>
  <si>
    <t>Attachment 4, Page 2</t>
  </si>
  <si>
    <t xml:space="preserve">  -UE-170485 Decoupled RPC</t>
  </si>
  <si>
    <t>WUTC Docket No. UE-170485</t>
  </si>
  <si>
    <t>SCHEDULE 1</t>
  </si>
  <si>
    <t>Total Normalized 12 ME Sept 2014 Revenue</t>
  </si>
  <si>
    <t>Total Rate Revenue (January 11, 2016)</t>
  </si>
  <si>
    <t>Normalized kWhs (12ME Sept 2014 Test Year)</t>
  </si>
  <si>
    <t>Customer Bills (12ME Sept 2014 Test Year)</t>
  </si>
  <si>
    <t>January</t>
  </si>
  <si>
    <t>February</t>
  </si>
  <si>
    <t>June</t>
  </si>
  <si>
    <t>July</t>
  </si>
  <si>
    <t>August</t>
  </si>
  <si>
    <t>September</t>
  </si>
  <si>
    <t>October</t>
  </si>
  <si>
    <t>November</t>
  </si>
  <si>
    <t>December</t>
  </si>
  <si>
    <t>Residential Schedule 001</t>
  </si>
  <si>
    <t>Extra Large Gen Schedule 25</t>
  </si>
  <si>
    <t>Pumping Schedule 31/32</t>
  </si>
  <si>
    <t>WUTC Docket No. UE-150204</t>
  </si>
  <si>
    <t>Twelve Months Ended September 30, 2014</t>
  </si>
  <si>
    <t>TY Normalized Usage by Month</t>
  </si>
  <si>
    <t>Twelve Months Ended December 31, 2014</t>
  </si>
  <si>
    <t>Decoupling Mechanism - UE-150204 Base effective 1/11/2016, UE-170485 Base effective 5/1/2018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</si>
  <si>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$54,971.</t>
    </r>
  </si>
  <si>
    <t>May Billing</t>
  </si>
  <si>
    <t>Sch 74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</si>
  <si>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$54,601.</t>
    </r>
  </si>
  <si>
    <t>Forecast Usage</t>
  </si>
  <si>
    <t>1 Year Amort Rate</t>
  </si>
  <si>
    <t>Incremental Revenue Change</t>
  </si>
  <si>
    <t>Schedule 75 Rate</t>
  </si>
  <si>
    <t>Maximum Incremental Change</t>
  </si>
  <si>
    <t>Est Norm Billed Rev $000s</t>
  </si>
  <si>
    <t>Surcharge Cap</t>
  </si>
  <si>
    <t>Carryover Rate</t>
  </si>
  <si>
    <t>Implied Carryover Amortization</t>
  </si>
  <si>
    <t>Balance Sheet Accounts</t>
  </si>
  <si>
    <t>Current Deferrals</t>
  </si>
  <si>
    <t>Prior Year Pending</t>
  </si>
  <si>
    <t>Approved Surcharge</t>
  </si>
  <si>
    <t>Approved Rebate</t>
  </si>
  <si>
    <t>Contra Deferrals</t>
  </si>
  <si>
    <t>Prior Year Contra</t>
  </si>
  <si>
    <t>ADFIT Decoupling</t>
  </si>
  <si>
    <t>Provision for Rate Ref</t>
  </si>
  <si>
    <t>ADFIT Prov Rate Ref</t>
  </si>
  <si>
    <t>Interest Rate</t>
  </si>
  <si>
    <t>Income Statement Accounts</t>
  </si>
  <si>
    <t>Res Deferral</t>
  </si>
  <si>
    <t xml:space="preserve">Res Amortization </t>
  </si>
  <si>
    <t>419328/431328</t>
  </si>
  <si>
    <t>Interest (Income)/Expense</t>
  </si>
  <si>
    <t>410100/411100</t>
  </si>
  <si>
    <t xml:space="preserve">DFIT </t>
  </si>
  <si>
    <t>410200/411200</t>
  </si>
  <si>
    <t>non-op DFIT</t>
  </si>
  <si>
    <t>Contra Deferral</t>
  </si>
  <si>
    <t>EREV Jun Mid-Month 6 14 18</t>
  </si>
  <si>
    <t>Decoupling Calc</t>
  </si>
  <si>
    <t>Actual</t>
  </si>
  <si>
    <t>Beg Bal Dec 2017</t>
  </si>
  <si>
    <t>456311 Contra Decoupling Deferral</t>
  </si>
  <si>
    <t>253311 Contra Decoupling Deferred Revenue</t>
  </si>
  <si>
    <t>253312 Prior Year Contra Decoupling Deferred Revenue</t>
  </si>
  <si>
    <t>Contra Decoupling Detail - Account 253312</t>
  </si>
  <si>
    <t>Prior Contra Decoupling Balance for 2017 Deferrals</t>
  </si>
  <si>
    <t>Contra Decoupling Detail - Account 253311</t>
  </si>
  <si>
    <t>Prior Contra Decoupling Balance for 2018 Deferrals</t>
  </si>
  <si>
    <t>Current Contra Decoupling Balance for 2017 Deferrals</t>
  </si>
  <si>
    <t>Current Month Contra Decoupling Entry</t>
  </si>
  <si>
    <t>Current Contra Decoupling Balance for 2018 Deferrals</t>
  </si>
  <si>
    <t>Maximum Year 1 Rate</t>
  </si>
  <si>
    <t>Maximum 24 Month Recovery of 2018 Deferral</t>
  </si>
  <si>
    <t>Estimated Carryover Rate</t>
  </si>
  <si>
    <t>Residential Contra Decoupling Balance</t>
  </si>
  <si>
    <t>Debit (Credit)</t>
  </si>
  <si>
    <t>July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</si>
  <si>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$50,898.</t>
    </r>
  </si>
  <si>
    <t xml:space="preserve">431328 Interest Expense formerly 431605 </t>
  </si>
  <si>
    <t>419328 Interest Income formerly 419605</t>
  </si>
  <si>
    <t>August Billing</t>
  </si>
  <si>
    <t>DJ 127 - Sch 59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</si>
  <si>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$52,015.</t>
    </r>
  </si>
  <si>
    <t>Sept Billing</t>
  </si>
  <si>
    <t>Non-Res Deferral</t>
  </si>
  <si>
    <t xml:space="preserve">Non-Res Amortization </t>
  </si>
  <si>
    <t>Schedule 75 Rate Per Docket No. UE-180702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</si>
  <si>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$50,694.</t>
    </r>
  </si>
  <si>
    <t>1.42% of base revenue</t>
  </si>
  <si>
    <t>check net unbilled</t>
  </si>
  <si>
    <t>do not print</t>
  </si>
  <si>
    <t>calendar avg kWh/cust</t>
  </si>
  <si>
    <t>billed avg rate/kWh</t>
  </si>
  <si>
    <t>Do not print</t>
  </si>
  <si>
    <r>
      <t>Including this adjustment reduced the non-residential group surcharge by</t>
    </r>
    <r>
      <rPr>
        <sz val="11"/>
        <color rgb="FF3333FF"/>
        <rFont val="Times New Roman"/>
        <family val="1"/>
      </rPr>
      <t xml:space="preserve"> $53,441.</t>
    </r>
  </si>
  <si>
    <t>Prior Month Unbilled Adder Revenue</t>
  </si>
  <si>
    <t>Current Month Unbilled Adder Revenue</t>
  </si>
  <si>
    <t>Net Unbilled Adder Revenue</t>
  </si>
  <si>
    <t>Prior Month Unbilled Adder Total Rate</t>
  </si>
  <si>
    <t>Current Month Unbilled Adder Total Rate</t>
  </si>
  <si>
    <t>11/1/2018 rate</t>
  </si>
  <si>
    <t>UE-180702</t>
  </si>
  <si>
    <t>WA Schedule 75 2017 Deferral Decoupling Mechanism Amortization</t>
  </si>
  <si>
    <t>Nov Billing</t>
  </si>
  <si>
    <r>
      <t>Including this adjustment reduced the non-residential group surcharge by:</t>
    </r>
    <r>
      <rPr>
        <sz val="11"/>
        <color rgb="FF3333FF"/>
        <rFont val="Times New Roman"/>
        <family val="1"/>
      </rPr>
      <t xml:space="preserve"> </t>
    </r>
  </si>
  <si>
    <t>Dec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</si>
</sst>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  <numFmt numFmtId="205" formatCode="0.00000"/>
    <numFmt numFmtId="206" formatCode="#,##0,"/>
  </numFmts>
  <fonts count="1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FFC000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C00000"/>
      <name val="Calibri"/>
      <family val="2"/>
      <scheme val="minor"/>
    </font>
    <font>
      <sz val="11"/>
      <color rgb="FF0000FF"/>
      <name val="Times New Roman"/>
      <family val="1"/>
    </font>
    <font>
      <sz val="11"/>
      <name val="Times New Roman"/>
      <family val="1"/>
    </font>
    <font>
      <sz val="11"/>
      <color rgb="FF3333FF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ck">
        <color theme="5" tint="-0.24994659260841701"/>
      </left>
      <right/>
      <top/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404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0" fontId="118" fillId="33" borderId="0" xfId="4" applyFont="1" applyFill="1" applyAlignment="1">
      <alignment horizontal="left"/>
    </xf>
    <xf numFmtId="165" fontId="118" fillId="33" borderId="0" xfId="4" applyNumberFormat="1" applyFont="1" applyFill="1"/>
    <xf numFmtId="0" fontId="118" fillId="33" borderId="0" xfId="4" applyFont="1" applyFill="1" applyAlignment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4" fontId="117" fillId="33" borderId="44" xfId="4" applyNumberFormat="1" applyFont="1" applyFill="1" applyBorder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3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30" fillId="33" borderId="0" xfId="6" applyNumberFormat="1" applyFont="1" applyFill="1"/>
    <xf numFmtId="164" fontId="130" fillId="33" borderId="0" xfId="4" applyNumberFormat="1" applyFont="1" applyFill="1"/>
    <xf numFmtId="166" fontId="130" fillId="33" borderId="0" xfId="1" applyNumberFormat="1" applyFont="1" applyFill="1"/>
    <xf numFmtId="44" fontId="0" fillId="0" borderId="0" xfId="0" applyNumberFormat="1"/>
    <xf numFmtId="0" fontId="0" fillId="0" borderId="0" xfId="0"/>
    <xf numFmtId="0" fontId="118" fillId="0" borderId="0" xfId="0" applyFont="1" applyFill="1"/>
    <xf numFmtId="0" fontId="117" fillId="103" borderId="0" xfId="0" applyFont="1" applyFill="1"/>
    <xf numFmtId="0" fontId="118" fillId="103" borderId="0" xfId="0" applyFont="1" applyFill="1"/>
    <xf numFmtId="204" fontId="118" fillId="103" borderId="0" xfId="0" applyNumberFormat="1" applyFont="1" applyFill="1" applyAlignment="1">
      <alignment horizontal="center"/>
    </xf>
    <xf numFmtId="204" fontId="118" fillId="103" borderId="0" xfId="0" applyNumberFormat="1" applyFont="1" applyFill="1" applyAlignment="1">
      <alignment horizontal="center" wrapText="1"/>
    </xf>
    <xf numFmtId="3" fontId="130" fillId="0" borderId="0" xfId="4" applyNumberFormat="1" applyFont="1" applyFill="1" applyAlignment="1">
      <alignment horizontal="left" indent="1"/>
    </xf>
    <xf numFmtId="166" fontId="132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3" borderId="0" xfId="0" applyNumberFormat="1" applyFont="1" applyFill="1"/>
    <xf numFmtId="0" fontId="118" fillId="103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0" fillId="0" borderId="0" xfId="0" applyFill="1"/>
    <xf numFmtId="165" fontId="118" fillId="0" borderId="0" xfId="2" applyNumberFormat="1" applyFont="1" applyFill="1"/>
    <xf numFmtId="0" fontId="118" fillId="103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3" borderId="0" xfId="0" applyFont="1" applyFill="1" applyAlignment="1">
      <alignment horizontal="center" wrapText="1"/>
    </xf>
    <xf numFmtId="3" fontId="109" fillId="0" borderId="0" xfId="4" applyNumberFormat="1" applyFont="1" applyFill="1" applyAlignment="1">
      <alignment horizontal="left" indent="1"/>
    </xf>
    <xf numFmtId="44" fontId="134" fillId="0" borderId="0" xfId="2" applyFont="1" applyFill="1"/>
    <xf numFmtId="166" fontId="133" fillId="0" borderId="0" xfId="1" applyNumberFormat="1" applyFont="1" applyFill="1"/>
    <xf numFmtId="44" fontId="133" fillId="0" borderId="0" xfId="2" applyFont="1" applyFill="1"/>
    <xf numFmtId="44" fontId="131" fillId="0" borderId="0" xfId="0" applyNumberFormat="1" applyFont="1" applyFill="1"/>
    <xf numFmtId="44" fontId="0" fillId="0" borderId="0" xfId="0" applyNumberForma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44" fontId="125" fillId="0" borderId="0" xfId="2" applyFont="1" applyFill="1" applyBorder="1"/>
    <xf numFmtId="166" fontId="115" fillId="0" borderId="0" xfId="0" applyNumberFormat="1" applyFont="1"/>
    <xf numFmtId="0" fontId="135" fillId="0" borderId="49" xfId="0" applyFont="1" applyBorder="1"/>
    <xf numFmtId="14" fontId="115" fillId="0" borderId="0" xfId="0" applyNumberFormat="1" applyFont="1"/>
    <xf numFmtId="14" fontId="115" fillId="0" borderId="0" xfId="0" applyNumberFormat="1" applyFont="1" applyAlignment="1">
      <alignment horizontal="center"/>
    </xf>
    <xf numFmtId="44" fontId="115" fillId="0" borderId="36" xfId="0" applyNumberFormat="1" applyFont="1" applyBorder="1"/>
    <xf numFmtId="0" fontId="115" fillId="0" borderId="0" xfId="0" applyFont="1" applyFill="1"/>
    <xf numFmtId="0" fontId="115" fillId="0" borderId="35" xfId="0" applyFont="1" applyFill="1" applyBorder="1"/>
    <xf numFmtId="14" fontId="118" fillId="0" borderId="0" xfId="0" applyNumberFormat="1" applyFont="1"/>
    <xf numFmtId="0" fontId="0" fillId="0" borderId="0" xfId="0" applyFill="1" applyAlignment="1">
      <alignment horizontal="center" wrapText="1"/>
    </xf>
    <xf numFmtId="0" fontId="136" fillId="0" borderId="0" xfId="0" applyFont="1" applyFill="1" applyAlignment="1">
      <alignment horizontal="center"/>
    </xf>
    <xf numFmtId="166" fontId="136" fillId="0" borderId="0" xfId="1" applyNumberFormat="1" applyFont="1" applyFill="1"/>
    <xf numFmtId="7" fontId="136" fillId="0" borderId="0" xfId="2" applyNumberFormat="1" applyFont="1" applyFill="1"/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6" xfId="0" applyFont="1" applyFill="1" applyBorder="1" applyAlignment="1">
      <alignment horizontal="center"/>
    </xf>
    <xf numFmtId="166" fontId="16" fillId="0" borderId="36" xfId="0" applyNumberFormat="1" applyFont="1" applyFill="1" applyBorder="1"/>
    <xf numFmtId="7" fontId="16" fillId="0" borderId="36" xfId="0" applyNumberFormat="1" applyFont="1" applyFill="1" applyBorder="1"/>
    <xf numFmtId="0" fontId="129" fillId="0" borderId="0" xfId="0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 wrapText="1"/>
    </xf>
    <xf numFmtId="43" fontId="115" fillId="0" borderId="0" xfId="1" applyFont="1"/>
    <xf numFmtId="0" fontId="0" fillId="0" borderId="0" xfId="0" applyAlignment="1">
      <alignment horizontal="center" wrapText="1"/>
    </xf>
    <xf numFmtId="44" fontId="131" fillId="0" borderId="0" xfId="2" applyFont="1" applyFill="1"/>
    <xf numFmtId="44" fontId="0" fillId="0" borderId="0" xfId="2" applyFont="1" applyFill="1"/>
    <xf numFmtId="44" fontId="0" fillId="0" borderId="0" xfId="2" applyFont="1"/>
    <xf numFmtId="43" fontId="0" fillId="0" borderId="0" xfId="0" applyNumberFormat="1"/>
    <xf numFmtId="9" fontId="0" fillId="0" borderId="0" xfId="3" applyFont="1"/>
    <xf numFmtId="205" fontId="129" fillId="0" borderId="0" xfId="0" applyNumberFormat="1" applyFont="1" applyFill="1"/>
    <xf numFmtId="205" fontId="0" fillId="0" borderId="0" xfId="0" applyNumberFormat="1" applyFill="1"/>
    <xf numFmtId="44" fontId="0" fillId="0" borderId="36" xfId="0" applyNumberFormat="1" applyBorder="1"/>
    <xf numFmtId="0" fontId="0" fillId="0" borderId="0" xfId="0" applyAlignment="1">
      <alignment horizontal="right"/>
    </xf>
    <xf numFmtId="44" fontId="16" fillId="0" borderId="0" xfId="0" applyNumberFormat="1" applyFont="1"/>
    <xf numFmtId="0" fontId="131" fillId="0" borderId="0" xfId="0" applyFont="1"/>
    <xf numFmtId="166" fontId="129" fillId="0" borderId="0" xfId="1" applyNumberFormat="1" applyFont="1" applyFill="1"/>
    <xf numFmtId="0" fontId="118" fillId="0" borderId="51" xfId="4" applyFont="1" applyFill="1" applyBorder="1"/>
    <xf numFmtId="0" fontId="118" fillId="0" borderId="52" xfId="4" applyFont="1" applyFill="1" applyBorder="1"/>
    <xf numFmtId="0" fontId="118" fillId="0" borderId="53" xfId="4" applyFont="1" applyFill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5" xfId="0" applyFill="1" applyBorder="1"/>
    <xf numFmtId="0" fontId="0" fillId="0" borderId="56" xfId="0" applyFill="1" applyBorder="1"/>
    <xf numFmtId="167" fontId="16" fillId="0" borderId="0" xfId="0" applyNumberFormat="1" applyFont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0" fontId="117" fillId="0" borderId="0" xfId="0" applyFont="1" applyAlignment="1">
      <alignment horizontal="center"/>
    </xf>
    <xf numFmtId="0" fontId="21" fillId="33" borderId="35" xfId="0" applyFont="1" applyFill="1" applyBorder="1" applyAlignment="1">
      <alignment horizontal="center"/>
    </xf>
    <xf numFmtId="0" fontId="21" fillId="33" borderId="0" xfId="0" applyFont="1" applyFill="1"/>
    <xf numFmtId="0" fontId="126" fillId="0" borderId="0" xfId="0" applyFont="1" applyAlignment="1">
      <alignment horizontal="center"/>
    </xf>
    <xf numFmtId="0" fontId="11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27" fillId="0" borderId="0" xfId="0" applyFont="1" applyAlignment="1">
      <alignment horizontal="left" vertical="top" wrapText="1"/>
    </xf>
    <xf numFmtId="0" fontId="109" fillId="0" borderId="0" xfId="0" applyFont="1" applyAlignment="1">
      <alignment vertical="top" wrapText="1"/>
    </xf>
    <xf numFmtId="0" fontId="124" fillId="0" borderId="0" xfId="0" applyFont="1"/>
    <xf numFmtId="0" fontId="124" fillId="0" borderId="0" xfId="0" applyFont="1" applyAlignment="1">
      <alignment horizontal="left"/>
    </xf>
    <xf numFmtId="0" fontId="0" fillId="103" borderId="0" xfId="0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6" fillId="0" borderId="0" xfId="0" applyFont="1"/>
    <xf numFmtId="41" fontId="117" fillId="33" borderId="35" xfId="9505" applyNumberFormat="1" applyFont="1" applyFill="1" applyBorder="1">
      <alignment horizontal="center" vertical="center" wrapText="1"/>
    </xf>
    <xf numFmtId="0" fontId="118" fillId="33" borderId="35" xfId="4" applyFont="1" applyFill="1" applyBorder="1"/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17" fillId="0" borderId="35" xfId="0" applyFont="1" applyBorder="1" applyAlignment="1">
      <alignment horizontal="center"/>
    </xf>
    <xf numFmtId="0" fontId="126" fillId="0" borderId="35" xfId="0" applyFont="1" applyBorder="1" applyAlignment="1">
      <alignment horizontal="center"/>
    </xf>
    <xf numFmtId="168" fontId="127" fillId="0" borderId="35" xfId="0" applyNumberFormat="1" applyFont="1" applyBorder="1"/>
    <xf numFmtId="10" fontId="116" fillId="0" borderId="0" xfId="3" applyNumberFormat="1" applyFont="1" applyFill="1"/>
    <xf numFmtId="0" fontId="118" fillId="33" borderId="57" xfId="4" applyFont="1" applyFill="1" applyBorder="1"/>
    <xf numFmtId="167" fontId="125" fillId="33" borderId="58" xfId="4" applyNumberFormat="1" applyFont="1" applyFill="1" applyBorder="1" applyAlignment="1">
      <alignment horizontal="center" vertical="center"/>
    </xf>
    <xf numFmtId="0" fontId="118" fillId="33" borderId="57" xfId="4" applyFont="1" applyFill="1" applyBorder="1" applyAlignment="1">
      <alignment horizontal="center"/>
    </xf>
    <xf numFmtId="166" fontId="118" fillId="102" borderId="57" xfId="1" applyNumberFormat="1" applyFont="1" applyFill="1" applyBorder="1" applyAlignment="1">
      <alignment horizontal="center"/>
    </xf>
    <xf numFmtId="166" fontId="130" fillId="33" borderId="57" xfId="6" applyNumberFormat="1" applyFont="1" applyFill="1" applyBorder="1"/>
    <xf numFmtId="200" fontId="109" fillId="0" borderId="57" xfId="4" applyNumberFormat="1" applyFont="1" applyFill="1" applyBorder="1" applyAlignment="1">
      <alignment vertical="center" wrapText="1"/>
    </xf>
    <xf numFmtId="164" fontId="109" fillId="33" borderId="57" xfId="4" applyNumberFormat="1" applyFont="1" applyFill="1" applyBorder="1"/>
    <xf numFmtId="0" fontId="109" fillId="33" borderId="57" xfId="4" applyFont="1" applyFill="1" applyBorder="1"/>
    <xf numFmtId="164" fontId="130" fillId="33" borderId="57" xfId="4" applyNumberFormat="1" applyFont="1" applyFill="1" applyBorder="1"/>
    <xf numFmtId="166" fontId="130" fillId="33" borderId="57" xfId="1" applyNumberFormat="1" applyFont="1" applyFill="1" applyBorder="1"/>
    <xf numFmtId="165" fontId="109" fillId="0" borderId="57" xfId="5" applyNumberFormat="1" applyFont="1" applyFill="1" applyBorder="1"/>
    <xf numFmtId="200" fontId="109" fillId="33" borderId="57" xfId="4" applyNumberFormat="1" applyFont="1" applyFill="1" applyBorder="1" applyAlignment="1">
      <alignment vertical="center" wrapText="1"/>
    </xf>
    <xf numFmtId="164" fontId="109" fillId="102" borderId="57" xfId="4" applyNumberFormat="1" applyFont="1" applyFill="1" applyBorder="1"/>
    <xf numFmtId="10" fontId="109" fillId="0" borderId="57" xfId="3" applyNumberFormat="1" applyFont="1" applyFill="1" applyBorder="1"/>
    <xf numFmtId="164" fontId="109" fillId="33" borderId="57" xfId="5" applyNumberFormat="1" applyFont="1" applyFill="1" applyBorder="1"/>
    <xf numFmtId="164" fontId="117" fillId="33" borderId="59" xfId="4" applyNumberFormat="1" applyFont="1" applyFill="1" applyBorder="1"/>
    <xf numFmtId="0" fontId="118" fillId="0" borderId="57" xfId="4" applyFont="1" applyBorder="1"/>
    <xf numFmtId="164" fontId="118" fillId="33" borderId="57" xfId="4" applyNumberFormat="1" applyFont="1" applyFill="1" applyBorder="1"/>
    <xf numFmtId="205" fontId="0" fillId="0" borderId="0" xfId="0" applyNumberFormat="1"/>
    <xf numFmtId="10" fontId="0" fillId="0" borderId="0" xfId="0" applyNumberFormat="1"/>
    <xf numFmtId="10" fontId="131" fillId="0" borderId="0" xfId="0" applyNumberFormat="1" applyFont="1"/>
    <xf numFmtId="166" fontId="16" fillId="0" borderId="0" xfId="1" applyNumberFormat="1" applyFont="1" applyFill="1"/>
    <xf numFmtId="10" fontId="136" fillId="0" borderId="0" xfId="0" applyNumberFormat="1" applyFont="1"/>
    <xf numFmtId="43" fontId="115" fillId="0" borderId="0" xfId="0" applyNumberFormat="1" applyFont="1" applyFill="1"/>
    <xf numFmtId="43" fontId="115" fillId="0" borderId="0" xfId="0" applyNumberFormat="1" applyFont="1"/>
    <xf numFmtId="167" fontId="16" fillId="0" borderId="0" xfId="0" applyNumberFormat="1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0" fillId="0" borderId="0" xfId="0" applyAlignment="1">
      <alignment horizont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10" fontId="109" fillId="0" borderId="0" xfId="3" applyNumberFormat="1" applyFont="1" applyFill="1" applyBorder="1"/>
    <xf numFmtId="17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06" fontId="136" fillId="0" borderId="0" xfId="1" applyNumberFormat="1" applyFont="1"/>
    <xf numFmtId="169" fontId="0" fillId="0" borderId="0" xfId="1" applyNumberFormat="1" applyFont="1" applyAlignment="1">
      <alignment horizontal="left"/>
    </xf>
    <xf numFmtId="169" fontId="16" fillId="0" borderId="0" xfId="1" applyNumberFormat="1" applyFont="1" applyAlignment="1">
      <alignment horizontal="center"/>
    </xf>
    <xf numFmtId="169" fontId="0" fillId="0" borderId="0" xfId="1" applyNumberFormat="1" applyFont="1"/>
    <xf numFmtId="205" fontId="136" fillId="104" borderId="0" xfId="0" applyNumberFormat="1" applyFont="1" applyFill="1"/>
    <xf numFmtId="0" fontId="136" fillId="0" borderId="0" xfId="0" applyFont="1"/>
    <xf numFmtId="0" fontId="129" fillId="0" borderId="0" xfId="0" applyFont="1"/>
    <xf numFmtId="164" fontId="0" fillId="0" borderId="0" xfId="2" applyNumberFormat="1" applyFont="1"/>
    <xf numFmtId="164" fontId="136" fillId="0" borderId="0" xfId="2" applyNumberFormat="1" applyFont="1"/>
    <xf numFmtId="164" fontId="0" fillId="0" borderId="0" xfId="0" applyNumberFormat="1"/>
    <xf numFmtId="164" fontId="129" fillId="0" borderId="0" xfId="2" applyNumberFormat="1" applyFont="1"/>
    <xf numFmtId="164" fontId="16" fillId="0" borderId="0" xfId="0" applyNumberFormat="1" applyFont="1" applyAlignment="1">
      <alignment horizontal="center"/>
    </xf>
    <xf numFmtId="164" fontId="0" fillId="104" borderId="0" xfId="2" applyNumberFormat="1" applyFont="1" applyFill="1"/>
    <xf numFmtId="164" fontId="0" fillId="104" borderId="0" xfId="0" applyNumberFormat="1" applyFill="1"/>
    <xf numFmtId="164" fontId="136" fillId="0" borderId="0" xfId="0" applyNumberFormat="1" applyFont="1"/>
    <xf numFmtId="164" fontId="0" fillId="0" borderId="0" xfId="2" quotePrefix="1" applyNumberFormat="1" applyFont="1"/>
    <xf numFmtId="164" fontId="136" fillId="105" borderId="0" xfId="2" applyNumberFormat="1" applyFont="1" applyFill="1"/>
    <xf numFmtId="164" fontId="136" fillId="0" borderId="0" xfId="2" applyNumberFormat="1" applyFont="1" applyFill="1"/>
    <xf numFmtId="0" fontId="16" fillId="0" borderId="0" xfId="0" applyFont="1" applyAlignment="1">
      <alignment horizontal="left"/>
    </xf>
    <xf numFmtId="164" fontId="131" fillId="0" borderId="0" xfId="2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31" fillId="0" borderId="0" xfId="0" applyNumberFormat="1" applyFont="1"/>
    <xf numFmtId="0" fontId="16" fillId="0" borderId="0" xfId="0" applyFont="1" applyAlignment="1">
      <alignment horizontal="center"/>
    </xf>
    <xf numFmtId="44" fontId="139" fillId="0" borderId="0" xfId="0" applyNumberFormat="1" applyFont="1" applyFill="1" applyBorder="1"/>
    <xf numFmtId="0" fontId="0" fillId="0" borderId="60" xfId="0" applyBorder="1"/>
    <xf numFmtId="0" fontId="140" fillId="0" borderId="60" xfId="0" applyFont="1" applyBorder="1"/>
    <xf numFmtId="0" fontId="129" fillId="0" borderId="0" xfId="0" applyFont="1" applyBorder="1" applyAlignment="1">
      <alignment horizontal="center"/>
    </xf>
    <xf numFmtId="0" fontId="125" fillId="0" borderId="0" xfId="4" applyFont="1" applyFill="1" applyAlignment="1">
      <alignment horizontal="left"/>
    </xf>
    <xf numFmtId="44" fontId="136" fillId="0" borderId="0" xfId="0" applyNumberFormat="1" applyFont="1" applyFill="1"/>
    <xf numFmtId="44" fontId="129" fillId="0" borderId="0" xfId="0" applyNumberFormat="1" applyFont="1" applyFill="1"/>
    <xf numFmtId="44" fontId="141" fillId="0" borderId="0" xfId="0" applyNumberFormat="1" applyFont="1" applyFill="1" applyBorder="1"/>
    <xf numFmtId="166" fontId="16" fillId="104" borderId="0" xfId="1" applyNumberFormat="1" applyFont="1" applyFill="1"/>
    <xf numFmtId="167" fontId="0" fillId="0" borderId="0" xfId="0" applyNumberFormat="1"/>
    <xf numFmtId="165" fontId="118" fillId="0" borderId="0" xfId="2" applyNumberFormat="1" applyFont="1" applyFill="1" applyAlignment="1">
      <alignment horizontal="center" wrapText="1"/>
    </xf>
    <xf numFmtId="0" fontId="131" fillId="0" borderId="0" xfId="0" applyFont="1" applyFill="1"/>
    <xf numFmtId="0" fontId="16" fillId="0" borderId="0" xfId="0" applyFont="1" applyAlignment="1">
      <alignment horizontal="center"/>
    </xf>
    <xf numFmtId="164" fontId="0" fillId="106" borderId="0" xfId="0" applyNumberFormat="1" applyFill="1"/>
    <xf numFmtId="164" fontId="0" fillId="106" borderId="44" xfId="0" applyNumberFormat="1" applyFill="1" applyBorder="1"/>
    <xf numFmtId="165" fontId="118" fillId="0" borderId="0" xfId="2" applyNumberFormat="1" applyFont="1" applyFill="1" applyAlignment="1">
      <alignment horizontal="center" wrapText="1"/>
    </xf>
    <xf numFmtId="0" fontId="16" fillId="0" borderId="0" xfId="0" applyFont="1" applyAlignment="1">
      <alignment horizontal="center"/>
    </xf>
    <xf numFmtId="43" fontId="115" fillId="0" borderId="0" xfId="1" applyFont="1" applyFill="1"/>
    <xf numFmtId="165" fontId="118" fillId="0" borderId="0" xfId="2" applyNumberFormat="1" applyFont="1" applyFill="1" applyAlignment="1">
      <alignment horizontal="center" wrapText="1"/>
    </xf>
    <xf numFmtId="44" fontId="118" fillId="0" borderId="36" xfId="0" applyNumberFormat="1" applyFont="1" applyBorder="1"/>
    <xf numFmtId="169" fontId="142" fillId="0" borderId="0" xfId="1" applyNumberFormat="1" applyFont="1"/>
    <xf numFmtId="0" fontId="14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5" fontId="115" fillId="0" borderId="0" xfId="2" applyNumberFormat="1" applyFont="1"/>
    <xf numFmtId="165" fontId="118" fillId="0" borderId="0" xfId="2" applyNumberFormat="1" applyFont="1" applyFill="1" applyAlignment="1">
      <alignment horizontal="center" wrapText="1"/>
    </xf>
    <xf numFmtId="0" fontId="143" fillId="0" borderId="0" xfId="0" applyFont="1"/>
    <xf numFmtId="0" fontId="115" fillId="0" borderId="0" xfId="0" applyFont="1" applyAlignment="1">
      <alignment horizontal="center" wrapText="1"/>
    </xf>
    <xf numFmtId="166" fontId="144" fillId="0" borderId="0" xfId="1" applyNumberFormat="1" applyFont="1" applyFill="1"/>
    <xf numFmtId="0" fontId="144" fillId="0" borderId="0" xfId="0" applyFont="1" applyFill="1"/>
    <xf numFmtId="44" fontId="115" fillId="0" borderId="0" xfId="2" applyFont="1" applyFill="1"/>
    <xf numFmtId="44" fontId="115" fillId="0" borderId="0" xfId="2" applyFont="1"/>
    <xf numFmtId="44" fontId="115" fillId="0" borderId="0" xfId="0" applyNumberFormat="1" applyFont="1"/>
    <xf numFmtId="166" fontId="115" fillId="0" borderId="0" xfId="1" applyNumberFormat="1" applyFont="1"/>
    <xf numFmtId="9" fontId="115" fillId="0" borderId="0" xfId="3" applyFont="1"/>
    <xf numFmtId="205" fontId="144" fillId="0" borderId="0" xfId="0" applyNumberFormat="1" applyFont="1" applyFill="1"/>
    <xf numFmtId="205" fontId="115" fillId="0" borderId="0" xfId="0" applyNumberFormat="1" applyFont="1" applyFill="1"/>
    <xf numFmtId="166" fontId="115" fillId="0" borderId="36" xfId="0" applyNumberFormat="1" applyFont="1" applyBorder="1"/>
    <xf numFmtId="0" fontId="115" fillId="0" borderId="0" xfId="0" applyFont="1" applyAlignment="1">
      <alignment horizontal="right"/>
    </xf>
    <xf numFmtId="44" fontId="135" fillId="0" borderId="0" xfId="0" applyNumberFormat="1" applyFont="1"/>
    <xf numFmtId="0" fontId="115" fillId="0" borderId="0" xfId="0" applyFont="1" applyFill="1" applyAlignment="1">
      <alignment horizontal="center" wrapText="1"/>
    </xf>
    <xf numFmtId="7" fontId="145" fillId="0" borderId="0" xfId="2" applyNumberFormat="1" applyFont="1" applyFill="1"/>
    <xf numFmtId="0" fontId="143" fillId="0" borderId="0" xfId="0" applyFont="1" applyFill="1"/>
    <xf numFmtId="0" fontId="115" fillId="0" borderId="0" xfId="0" applyFont="1" applyAlignment="1">
      <alignment horizontal="left"/>
    </xf>
    <xf numFmtId="0" fontId="145" fillId="0" borderId="0" xfId="0" applyFont="1" applyFill="1" applyAlignment="1">
      <alignment horizontal="center"/>
    </xf>
    <xf numFmtId="166" fontId="145" fillId="0" borderId="0" xfId="1" applyNumberFormat="1" applyFont="1" applyFill="1"/>
    <xf numFmtId="0" fontId="135" fillId="0" borderId="0" xfId="0" applyFont="1" applyFill="1" applyAlignment="1">
      <alignment horizontal="center" wrapText="1"/>
    </xf>
    <xf numFmtId="0" fontId="135" fillId="0" borderId="36" xfId="0" applyFont="1" applyFill="1" applyBorder="1" applyAlignment="1">
      <alignment horizontal="center"/>
    </xf>
    <xf numFmtId="166" fontId="135" fillId="0" borderId="36" xfId="0" applyNumberFormat="1" applyFont="1" applyFill="1" applyBorder="1"/>
    <xf numFmtId="7" fontId="135" fillId="0" borderId="36" xfId="0" applyNumberFormat="1" applyFont="1" applyFill="1" applyBorder="1"/>
    <xf numFmtId="0" fontId="16" fillId="0" borderId="0" xfId="0" applyFont="1" applyAlignment="1">
      <alignment horizontal="center"/>
    </xf>
    <xf numFmtId="44" fontId="143" fillId="0" borderId="0" xfId="2" applyFont="1" applyFill="1"/>
    <xf numFmtId="44" fontId="118" fillId="0" borderId="0" xfId="2" applyNumberFormat="1" applyFont="1" applyFill="1"/>
    <xf numFmtId="166" fontId="115" fillId="0" borderId="0" xfId="0" applyNumberFormat="1" applyFont="1" applyFill="1"/>
    <xf numFmtId="165" fontId="118" fillId="0" borderId="0" xfId="2" applyNumberFormat="1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118" fillId="107" borderId="0" xfId="0" applyFont="1" applyFill="1" applyAlignment="1">
      <alignment horizontal="center"/>
    </xf>
    <xf numFmtId="14" fontId="118" fillId="107" borderId="0" xfId="0" applyNumberFormat="1" applyFont="1" applyFill="1" applyAlignment="1">
      <alignment horizontal="center"/>
    </xf>
    <xf numFmtId="14" fontId="115" fillId="0" borderId="0" xfId="0" applyNumberFormat="1" applyFont="1" applyFill="1"/>
    <xf numFmtId="169" fontId="115" fillId="0" borderId="0" xfId="1" applyNumberFormat="1" applyFont="1" applyFill="1"/>
    <xf numFmtId="0" fontId="16" fillId="0" borderId="0" xfId="0" applyFont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5" fontId="145" fillId="0" borderId="0" xfId="2" applyNumberFormat="1" applyFont="1" applyFill="1"/>
    <xf numFmtId="14" fontId="118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41" fontId="119" fillId="33" borderId="0" xfId="9068" applyNumberFormat="1" applyFont="1" applyFill="1" applyBorder="1" applyAlignment="1">
      <alignment horizontal="center" vertical="center" wrapText="1"/>
    </xf>
    <xf numFmtId="41" fontId="119" fillId="33" borderId="35" xfId="9068" applyNumberFormat="1" applyFont="1" applyFill="1" applyBorder="1" applyAlignment="1">
      <alignment horizontal="center" vertical="center" wrapText="1"/>
    </xf>
    <xf numFmtId="0" fontId="117" fillId="0" borderId="0" xfId="0" applyFont="1" applyAlignment="1">
      <alignment horizontal="center"/>
    </xf>
    <xf numFmtId="0" fontId="117" fillId="103" borderId="0" xfId="0" applyFont="1" applyFill="1" applyAlignment="1">
      <alignment horizont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0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7" fillId="0" borderId="0" xfId="0" applyFont="1" applyAlignment="1">
      <alignment horizontal="center" vertical="top" wrapText="1"/>
    </xf>
    <xf numFmtId="168" fontId="1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5" fillId="0" borderId="0" xfId="0" applyFont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0" fontId="144" fillId="0" borderId="0" xfId="0" applyFont="1" applyFill="1" applyAlignment="1">
      <alignment horizontal="center" wrapText="1"/>
    </xf>
    <xf numFmtId="0" fontId="129" fillId="0" borderId="0" xfId="0" applyFont="1" applyFill="1" applyAlignment="1">
      <alignment horizontal="center" wrapText="1"/>
    </xf>
  </cellXfs>
  <cellStyles count="9555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2 2" xfId="9551" xr:uid="{00000000-0005-0000-0000-00006D1F0000}"/>
    <cellStyle name="Normal 152 3" xfId="9549" xr:uid="{00000000-0005-0000-0000-00006E1F0000}"/>
    <cellStyle name="Normal 153" xfId="9520" xr:uid="{00000000-0005-0000-0000-00006F1F0000}"/>
    <cellStyle name="Normal 153 2" xfId="9552" xr:uid="{00000000-0005-0000-0000-0000701F0000}"/>
    <cellStyle name="Normal 153 3" xfId="9550" xr:uid="{00000000-0005-0000-0000-0000711F0000}"/>
    <cellStyle name="Normal 154" xfId="9512" xr:uid="{00000000-0005-0000-0000-0000721F0000}"/>
    <cellStyle name="Normal 154 2" xfId="9553" xr:uid="{00000000-0005-0000-0000-0000731F0000}"/>
    <cellStyle name="Normal 154 3" xfId="9548" xr:uid="{00000000-0005-0000-0000-0000741F0000}"/>
    <cellStyle name="Normal 155" xfId="9506" xr:uid="{00000000-0005-0000-0000-0000751F0000}"/>
    <cellStyle name="Normal 155 2" xfId="9554" xr:uid="{00000000-0005-0000-0000-0000761F0000}"/>
    <cellStyle name="Normal 155 3" xfId="9547" xr:uid="{00000000-0005-0000-0000-0000771F0000}"/>
    <cellStyle name="Normal 156" xfId="9536" xr:uid="{00000000-0005-0000-0000-0000781F0000}"/>
    <cellStyle name="Normal 16" xfId="8032" xr:uid="{00000000-0005-0000-0000-0000791F0000}"/>
    <cellStyle name="Normal 16 2" xfId="8033" xr:uid="{00000000-0005-0000-0000-00007A1F0000}"/>
    <cellStyle name="Normal 16 3" xfId="8034" xr:uid="{00000000-0005-0000-0000-00007B1F0000}"/>
    <cellStyle name="Normal 16 3 2" xfId="8035" xr:uid="{00000000-0005-0000-0000-00007C1F0000}"/>
    <cellStyle name="Normal 16 3 3" xfId="8036" xr:uid="{00000000-0005-0000-0000-00007D1F0000}"/>
    <cellStyle name="Normal 16 4" xfId="8037" xr:uid="{00000000-0005-0000-0000-00007E1F0000}"/>
    <cellStyle name="Normal 16 4 2" xfId="8038" xr:uid="{00000000-0005-0000-0000-00007F1F0000}"/>
    <cellStyle name="Normal 16 5" xfId="8039" xr:uid="{00000000-0005-0000-0000-0000801F0000}"/>
    <cellStyle name="Normal 16 6" xfId="8040" xr:uid="{00000000-0005-0000-0000-0000811F0000}"/>
    <cellStyle name="Normal 16 7" xfId="8041" xr:uid="{00000000-0005-0000-0000-0000821F0000}"/>
    <cellStyle name="Normal 16_2011 CBR Rev Calc by schedule" xfId="8042" xr:uid="{00000000-0005-0000-0000-0000831F0000}"/>
    <cellStyle name="Normal 17" xfId="8043" xr:uid="{00000000-0005-0000-0000-0000841F0000}"/>
    <cellStyle name="Normal 17 2" xfId="8044" xr:uid="{00000000-0005-0000-0000-0000851F0000}"/>
    <cellStyle name="Normal 17 3" xfId="8045" xr:uid="{00000000-0005-0000-0000-0000861F0000}"/>
    <cellStyle name="Normal 17 3 2" xfId="8046" xr:uid="{00000000-0005-0000-0000-0000871F0000}"/>
    <cellStyle name="Normal 17 4" xfId="8047" xr:uid="{00000000-0005-0000-0000-0000881F0000}"/>
    <cellStyle name="Normal 17 5" xfId="8048" xr:uid="{00000000-0005-0000-0000-0000891F0000}"/>
    <cellStyle name="Normal 18" xfId="8049" xr:uid="{00000000-0005-0000-0000-00008A1F0000}"/>
    <cellStyle name="Normal 18 2" xfId="8050" xr:uid="{00000000-0005-0000-0000-00008B1F0000}"/>
    <cellStyle name="Normal 18 3" xfId="8051" xr:uid="{00000000-0005-0000-0000-00008C1F0000}"/>
    <cellStyle name="Normal 18 3 2" xfId="8052" xr:uid="{00000000-0005-0000-0000-00008D1F0000}"/>
    <cellStyle name="Normal 18 4" xfId="8053" xr:uid="{00000000-0005-0000-0000-00008E1F0000}"/>
    <cellStyle name="Normal 18 5" xfId="8054" xr:uid="{00000000-0005-0000-0000-00008F1F0000}"/>
    <cellStyle name="Normal 19" xfId="8055" xr:uid="{00000000-0005-0000-0000-0000901F0000}"/>
    <cellStyle name="Normal 19 2" xfId="8056" xr:uid="{00000000-0005-0000-0000-0000911F0000}"/>
    <cellStyle name="Normal 19 3" xfId="8057" xr:uid="{00000000-0005-0000-0000-0000921F0000}"/>
    <cellStyle name="Normal 19 3 2" xfId="8058" xr:uid="{00000000-0005-0000-0000-0000931F0000}"/>
    <cellStyle name="Normal 19 4" xfId="8059" xr:uid="{00000000-0005-0000-0000-0000941F0000}"/>
    <cellStyle name="Normal 2" xfId="4" xr:uid="{00000000-0005-0000-0000-0000951F0000}"/>
    <cellStyle name="Normal 2 10" xfId="8060" xr:uid="{00000000-0005-0000-0000-0000961F0000}"/>
    <cellStyle name="Normal 2 10 2" xfId="8061" xr:uid="{00000000-0005-0000-0000-0000971F0000}"/>
    <cellStyle name="Normal 2 10 2 2" xfId="8062" xr:uid="{00000000-0005-0000-0000-0000981F0000}"/>
    <cellStyle name="Normal 2 10 3" xfId="8063" xr:uid="{00000000-0005-0000-0000-0000991F0000}"/>
    <cellStyle name="Normal 2 11" xfId="8064" xr:uid="{00000000-0005-0000-0000-00009A1F0000}"/>
    <cellStyle name="Normal 2 11 2" xfId="8065" xr:uid="{00000000-0005-0000-0000-00009B1F0000}"/>
    <cellStyle name="Normal 2 12" xfId="8066" xr:uid="{00000000-0005-0000-0000-00009C1F0000}"/>
    <cellStyle name="Normal 2 13" xfId="9542" xr:uid="{00000000-0005-0000-0000-00009D1F0000}"/>
    <cellStyle name="Normal 2 2" xfId="8067" xr:uid="{00000000-0005-0000-0000-00009E1F0000}"/>
    <cellStyle name="Normal 2 2 10" xfId="8068" xr:uid="{00000000-0005-0000-0000-00009F1F0000}"/>
    <cellStyle name="Normal 2 2 11" xfId="8069" xr:uid="{00000000-0005-0000-0000-0000A01F0000}"/>
    <cellStyle name="Normal 2 2 2" xfId="8070" xr:uid="{00000000-0005-0000-0000-0000A11F0000}"/>
    <cellStyle name="Normal 2 2 2 2" xfId="8071" xr:uid="{00000000-0005-0000-0000-0000A21F0000}"/>
    <cellStyle name="Normal 2 2 2 2 2" xfId="8072" xr:uid="{00000000-0005-0000-0000-0000A31F0000}"/>
    <cellStyle name="Normal 2 2 2 3" xfId="8073" xr:uid="{00000000-0005-0000-0000-0000A41F0000}"/>
    <cellStyle name="Normal 2 2 2 3 2" xfId="8074" xr:uid="{00000000-0005-0000-0000-0000A51F0000}"/>
    <cellStyle name="Normal 2 2 2 4" xfId="8075" xr:uid="{00000000-0005-0000-0000-0000A61F0000}"/>
    <cellStyle name="Normal 2 2 2 5" xfId="8076" xr:uid="{00000000-0005-0000-0000-0000A71F0000}"/>
    <cellStyle name="Normal 2 2 2 6" xfId="8077" xr:uid="{00000000-0005-0000-0000-0000A81F0000}"/>
    <cellStyle name="Normal 2 2 2 7" xfId="8078" xr:uid="{00000000-0005-0000-0000-0000A91F0000}"/>
    <cellStyle name="Normal 2 2 2_Chelan PUD Power Costs (8-10)" xfId="8079" xr:uid="{00000000-0005-0000-0000-0000AA1F0000}"/>
    <cellStyle name="Normal 2 2 3" xfId="8080" xr:uid="{00000000-0005-0000-0000-0000AB1F0000}"/>
    <cellStyle name="Normal 2 2 3 2" xfId="8081" xr:uid="{00000000-0005-0000-0000-0000AC1F0000}"/>
    <cellStyle name="Normal 2 2 3 3" xfId="8082" xr:uid="{00000000-0005-0000-0000-0000AD1F0000}"/>
    <cellStyle name="Normal 2 2 4" xfId="8083" xr:uid="{00000000-0005-0000-0000-0000AE1F0000}"/>
    <cellStyle name="Normal 2 2 4 2" xfId="8084" xr:uid="{00000000-0005-0000-0000-0000AF1F0000}"/>
    <cellStyle name="Normal 2 2 5" xfId="8085" xr:uid="{00000000-0005-0000-0000-0000B01F0000}"/>
    <cellStyle name="Normal 2 2 6" xfId="8086" xr:uid="{00000000-0005-0000-0000-0000B11F0000}"/>
    <cellStyle name="Normal 2 2 7" xfId="8087" xr:uid="{00000000-0005-0000-0000-0000B21F0000}"/>
    <cellStyle name="Normal 2 2 8" xfId="8088" xr:uid="{00000000-0005-0000-0000-0000B31F0000}"/>
    <cellStyle name="Normal 2 2 9" xfId="8089" xr:uid="{00000000-0005-0000-0000-0000B41F0000}"/>
    <cellStyle name="Normal 2 2_ Price Inputs" xfId="8090" xr:uid="{00000000-0005-0000-0000-0000B51F0000}"/>
    <cellStyle name="Normal 2 23" xfId="9546" xr:uid="{00000000-0005-0000-0000-0000B61F0000}"/>
    <cellStyle name="Normal 2 3" xfId="8091" xr:uid="{00000000-0005-0000-0000-0000B71F0000}"/>
    <cellStyle name="Normal 2 3 2" xfId="8092" xr:uid="{00000000-0005-0000-0000-0000B81F0000}"/>
    <cellStyle name="Normal 2 3 3" xfId="8093" xr:uid="{00000000-0005-0000-0000-0000B91F0000}"/>
    <cellStyle name="Normal 2 3 4" xfId="8094" xr:uid="{00000000-0005-0000-0000-0000BA1F0000}"/>
    <cellStyle name="Normal 2 3 5" xfId="9540" xr:uid="{00000000-0005-0000-0000-0000BB1F0000}"/>
    <cellStyle name="Normal 2 4" xfId="8095" xr:uid="{00000000-0005-0000-0000-0000BC1F0000}"/>
    <cellStyle name="Normal 2 4 2" xfId="8096" xr:uid="{00000000-0005-0000-0000-0000BD1F0000}"/>
    <cellStyle name="Normal 2 4 3" xfId="8097" xr:uid="{00000000-0005-0000-0000-0000BE1F0000}"/>
    <cellStyle name="Normal 2 5" xfId="8098" xr:uid="{00000000-0005-0000-0000-0000BF1F0000}"/>
    <cellStyle name="Normal 2 5 2" xfId="8099" xr:uid="{00000000-0005-0000-0000-0000C01F0000}"/>
    <cellStyle name="Normal 2 5 3" xfId="8100" xr:uid="{00000000-0005-0000-0000-0000C11F0000}"/>
    <cellStyle name="Normal 2 6" xfId="8101" xr:uid="{00000000-0005-0000-0000-0000C21F0000}"/>
    <cellStyle name="Normal 2 6 2" xfId="8102" xr:uid="{00000000-0005-0000-0000-0000C31F0000}"/>
    <cellStyle name="Normal 2 6 2 2" xfId="8103" xr:uid="{00000000-0005-0000-0000-0000C41F0000}"/>
    <cellStyle name="Normal 2 6 3" xfId="8104" xr:uid="{00000000-0005-0000-0000-0000C51F0000}"/>
    <cellStyle name="Normal 2 6 4" xfId="8105" xr:uid="{00000000-0005-0000-0000-0000C61F0000}"/>
    <cellStyle name="Normal 2 6 5" xfId="8106" xr:uid="{00000000-0005-0000-0000-0000C71F0000}"/>
    <cellStyle name="Normal 2 6 6" xfId="8107" xr:uid="{00000000-0005-0000-0000-0000C81F0000}"/>
    <cellStyle name="Normal 2 7" xfId="8108" xr:uid="{00000000-0005-0000-0000-0000C91F0000}"/>
    <cellStyle name="Normal 2 7 2" xfId="8109" xr:uid="{00000000-0005-0000-0000-0000CA1F0000}"/>
    <cellStyle name="Normal 2 7 2 2" xfId="8110" xr:uid="{00000000-0005-0000-0000-0000CB1F0000}"/>
    <cellStyle name="Normal 2 7 3" xfId="8111" xr:uid="{00000000-0005-0000-0000-0000CC1F0000}"/>
    <cellStyle name="Normal 2 7 4" xfId="8112" xr:uid="{00000000-0005-0000-0000-0000CD1F0000}"/>
    <cellStyle name="Normal 2 8" xfId="8113" xr:uid="{00000000-0005-0000-0000-0000CE1F0000}"/>
    <cellStyle name="Normal 2 8 2" xfId="8114" xr:uid="{00000000-0005-0000-0000-0000CF1F0000}"/>
    <cellStyle name="Normal 2 8 2 2" xfId="8115" xr:uid="{00000000-0005-0000-0000-0000D01F0000}"/>
    <cellStyle name="Normal 2 8 2 2 2" xfId="8116" xr:uid="{00000000-0005-0000-0000-0000D11F0000}"/>
    <cellStyle name="Normal 2 8 2 3" xfId="8117" xr:uid="{00000000-0005-0000-0000-0000D21F0000}"/>
    <cellStyle name="Normal 2 8 3" xfId="8118" xr:uid="{00000000-0005-0000-0000-0000D31F0000}"/>
    <cellStyle name="Normal 2 8 3 2" xfId="8119" xr:uid="{00000000-0005-0000-0000-0000D41F0000}"/>
    <cellStyle name="Normal 2 8 4" xfId="8120" xr:uid="{00000000-0005-0000-0000-0000D51F0000}"/>
    <cellStyle name="Normal 2 8 5" xfId="8121" xr:uid="{00000000-0005-0000-0000-0000D61F0000}"/>
    <cellStyle name="Normal 2 9" xfId="8122" xr:uid="{00000000-0005-0000-0000-0000D71F0000}"/>
    <cellStyle name="Normal 2 9 2" xfId="8123" xr:uid="{00000000-0005-0000-0000-0000D81F0000}"/>
    <cellStyle name="Normal 2 9 2 2" xfId="8124" xr:uid="{00000000-0005-0000-0000-0000D91F0000}"/>
    <cellStyle name="Normal 2 9 3" xfId="8125" xr:uid="{00000000-0005-0000-0000-0000DA1F0000}"/>
    <cellStyle name="Normal 2 9 4" xfId="8126" xr:uid="{00000000-0005-0000-0000-0000DB1F0000}"/>
    <cellStyle name="Normal 2_16.37E Wild Horse Expansion DeferralRevwrkingfile SF" xfId="8127" xr:uid="{00000000-0005-0000-0000-0000DC1F0000}"/>
    <cellStyle name="Normal 20" xfId="8128" xr:uid="{00000000-0005-0000-0000-0000DD1F0000}"/>
    <cellStyle name="Normal 20 2" xfId="8129" xr:uid="{00000000-0005-0000-0000-0000DE1F0000}"/>
    <cellStyle name="Normal 20 2 2" xfId="8130" xr:uid="{00000000-0005-0000-0000-0000DF1F0000}"/>
    <cellStyle name="Normal 20 3" xfId="8131" xr:uid="{00000000-0005-0000-0000-0000E01F0000}"/>
    <cellStyle name="Normal 20 3 2" xfId="8132" xr:uid="{00000000-0005-0000-0000-0000E11F0000}"/>
    <cellStyle name="Normal 20 4" xfId="8133" xr:uid="{00000000-0005-0000-0000-0000E21F0000}"/>
    <cellStyle name="Normal 20 4 2" xfId="8134" xr:uid="{00000000-0005-0000-0000-0000E31F0000}"/>
    <cellStyle name="Normal 20 5" xfId="8135" xr:uid="{00000000-0005-0000-0000-0000E41F0000}"/>
    <cellStyle name="Normal 20 6" xfId="8136" xr:uid="{00000000-0005-0000-0000-0000E51F0000}"/>
    <cellStyle name="Normal 21" xfId="8137" xr:uid="{00000000-0005-0000-0000-0000E61F0000}"/>
    <cellStyle name="Normal 21 2" xfId="8138" xr:uid="{00000000-0005-0000-0000-0000E71F0000}"/>
    <cellStyle name="Normal 21 2 2" xfId="8139" xr:uid="{00000000-0005-0000-0000-0000E81F0000}"/>
    <cellStyle name="Normal 21 2 3" xfId="8140" xr:uid="{00000000-0005-0000-0000-0000E91F0000}"/>
    <cellStyle name="Normal 21 3" xfId="8141" xr:uid="{00000000-0005-0000-0000-0000EA1F0000}"/>
    <cellStyle name="Normal 21 3 2" xfId="8142" xr:uid="{00000000-0005-0000-0000-0000EB1F0000}"/>
    <cellStyle name="Normal 21 4" xfId="8143" xr:uid="{00000000-0005-0000-0000-0000EC1F0000}"/>
    <cellStyle name="Normal 21 5" xfId="8144" xr:uid="{00000000-0005-0000-0000-0000ED1F0000}"/>
    <cellStyle name="Normal 21 6" xfId="8145" xr:uid="{00000000-0005-0000-0000-0000EE1F0000}"/>
    <cellStyle name="Normal 22" xfId="8146" xr:uid="{00000000-0005-0000-0000-0000EF1F0000}"/>
    <cellStyle name="Normal 22 2" xfId="8147" xr:uid="{00000000-0005-0000-0000-0000F01F0000}"/>
    <cellStyle name="Normal 22 2 2" xfId="8148" xr:uid="{00000000-0005-0000-0000-0000F11F0000}"/>
    <cellStyle name="Normal 22 2 3" xfId="8149" xr:uid="{00000000-0005-0000-0000-0000F21F0000}"/>
    <cellStyle name="Normal 22 3" xfId="8150" xr:uid="{00000000-0005-0000-0000-0000F31F0000}"/>
    <cellStyle name="Normal 22 3 2" xfId="8151" xr:uid="{00000000-0005-0000-0000-0000F41F0000}"/>
    <cellStyle name="Normal 22 4" xfId="8152" xr:uid="{00000000-0005-0000-0000-0000F51F0000}"/>
    <cellStyle name="Normal 22 5" xfId="8153" xr:uid="{00000000-0005-0000-0000-0000F61F0000}"/>
    <cellStyle name="Normal 22 6" xfId="8154" xr:uid="{00000000-0005-0000-0000-0000F71F0000}"/>
    <cellStyle name="Normal 23" xfId="8155" xr:uid="{00000000-0005-0000-0000-0000F81F0000}"/>
    <cellStyle name="Normal 23 2" xfId="8156" xr:uid="{00000000-0005-0000-0000-0000F91F0000}"/>
    <cellStyle name="Normal 23 2 2" xfId="8157" xr:uid="{00000000-0005-0000-0000-0000FA1F0000}"/>
    <cellStyle name="Normal 23 2 3" xfId="8158" xr:uid="{00000000-0005-0000-0000-0000FB1F0000}"/>
    <cellStyle name="Normal 23 3" xfId="8159" xr:uid="{00000000-0005-0000-0000-0000FC1F0000}"/>
    <cellStyle name="Normal 23 3 2" xfId="8160" xr:uid="{00000000-0005-0000-0000-0000FD1F0000}"/>
    <cellStyle name="Normal 23 4" xfId="8161" xr:uid="{00000000-0005-0000-0000-0000FE1F0000}"/>
    <cellStyle name="Normal 23 5" xfId="8162" xr:uid="{00000000-0005-0000-0000-0000FF1F0000}"/>
    <cellStyle name="Normal 23 6" xfId="8163" xr:uid="{00000000-0005-0000-0000-000000200000}"/>
    <cellStyle name="Normal 24" xfId="8164" xr:uid="{00000000-0005-0000-0000-000001200000}"/>
    <cellStyle name="Normal 24 2" xfId="8165" xr:uid="{00000000-0005-0000-0000-000002200000}"/>
    <cellStyle name="Normal 24 2 2" xfId="8166" xr:uid="{00000000-0005-0000-0000-000003200000}"/>
    <cellStyle name="Normal 24 2 3" xfId="8167" xr:uid="{00000000-0005-0000-0000-000004200000}"/>
    <cellStyle name="Normal 24 3" xfId="8168" xr:uid="{00000000-0005-0000-0000-000005200000}"/>
    <cellStyle name="Normal 24 3 2" xfId="8169" xr:uid="{00000000-0005-0000-0000-000006200000}"/>
    <cellStyle name="Normal 24 4" xfId="8170" xr:uid="{00000000-0005-0000-0000-000007200000}"/>
    <cellStyle name="Normal 24 5" xfId="8171" xr:uid="{00000000-0005-0000-0000-000008200000}"/>
    <cellStyle name="Normal 25" xfId="8172" xr:uid="{00000000-0005-0000-0000-000009200000}"/>
    <cellStyle name="Normal 25 2" xfId="8173" xr:uid="{00000000-0005-0000-0000-00000A200000}"/>
    <cellStyle name="Normal 25 2 2" xfId="8174" xr:uid="{00000000-0005-0000-0000-00000B200000}"/>
    <cellStyle name="Normal 25 2 3" xfId="8175" xr:uid="{00000000-0005-0000-0000-00000C200000}"/>
    <cellStyle name="Normal 25 3" xfId="8176" xr:uid="{00000000-0005-0000-0000-00000D200000}"/>
    <cellStyle name="Normal 25 3 2" xfId="8177" xr:uid="{00000000-0005-0000-0000-00000E200000}"/>
    <cellStyle name="Normal 25 4" xfId="8178" xr:uid="{00000000-0005-0000-0000-00000F200000}"/>
    <cellStyle name="Normal 25 5" xfId="8179" xr:uid="{00000000-0005-0000-0000-000010200000}"/>
    <cellStyle name="Normal 26" xfId="8180" xr:uid="{00000000-0005-0000-0000-000011200000}"/>
    <cellStyle name="Normal 26 2" xfId="8181" xr:uid="{00000000-0005-0000-0000-000012200000}"/>
    <cellStyle name="Normal 26 2 2" xfId="8182" xr:uid="{00000000-0005-0000-0000-000013200000}"/>
    <cellStyle name="Normal 26 2 3" xfId="8183" xr:uid="{00000000-0005-0000-0000-000014200000}"/>
    <cellStyle name="Normal 26 3" xfId="8184" xr:uid="{00000000-0005-0000-0000-000015200000}"/>
    <cellStyle name="Normal 26 3 2" xfId="8185" xr:uid="{00000000-0005-0000-0000-000016200000}"/>
    <cellStyle name="Normal 26 4" xfId="8186" xr:uid="{00000000-0005-0000-0000-000017200000}"/>
    <cellStyle name="Normal 26 5" xfId="8187" xr:uid="{00000000-0005-0000-0000-000018200000}"/>
    <cellStyle name="Normal 27" xfId="8188" xr:uid="{00000000-0005-0000-0000-000019200000}"/>
    <cellStyle name="Normal 27 2" xfId="8189" xr:uid="{00000000-0005-0000-0000-00001A200000}"/>
    <cellStyle name="Normal 27 2 2" xfId="8190" xr:uid="{00000000-0005-0000-0000-00001B200000}"/>
    <cellStyle name="Normal 27 2 3" xfId="8191" xr:uid="{00000000-0005-0000-0000-00001C200000}"/>
    <cellStyle name="Normal 27 3" xfId="8192" xr:uid="{00000000-0005-0000-0000-00001D200000}"/>
    <cellStyle name="Normal 27 3 2" xfId="8193" xr:uid="{00000000-0005-0000-0000-00001E200000}"/>
    <cellStyle name="Normal 27 4" xfId="8194" xr:uid="{00000000-0005-0000-0000-00001F200000}"/>
    <cellStyle name="Normal 27 5" xfId="8195" xr:uid="{00000000-0005-0000-0000-000020200000}"/>
    <cellStyle name="Normal 28" xfId="8196" xr:uid="{00000000-0005-0000-0000-000021200000}"/>
    <cellStyle name="Normal 28 2" xfId="8197" xr:uid="{00000000-0005-0000-0000-000022200000}"/>
    <cellStyle name="Normal 28 2 2" xfId="8198" xr:uid="{00000000-0005-0000-0000-000023200000}"/>
    <cellStyle name="Normal 28 2 3" xfId="8199" xr:uid="{00000000-0005-0000-0000-000024200000}"/>
    <cellStyle name="Normal 28 3" xfId="8200" xr:uid="{00000000-0005-0000-0000-000025200000}"/>
    <cellStyle name="Normal 28 3 2" xfId="8201" xr:uid="{00000000-0005-0000-0000-000026200000}"/>
    <cellStyle name="Normal 28 4" xfId="8202" xr:uid="{00000000-0005-0000-0000-000027200000}"/>
    <cellStyle name="Normal 28 5" xfId="8203" xr:uid="{00000000-0005-0000-0000-000028200000}"/>
    <cellStyle name="Normal 29" xfId="8204" xr:uid="{00000000-0005-0000-0000-000029200000}"/>
    <cellStyle name="Normal 29 2" xfId="8205" xr:uid="{00000000-0005-0000-0000-00002A200000}"/>
    <cellStyle name="Normal 29 2 2" xfId="8206" xr:uid="{00000000-0005-0000-0000-00002B200000}"/>
    <cellStyle name="Normal 29 2 3" xfId="8207" xr:uid="{00000000-0005-0000-0000-00002C200000}"/>
    <cellStyle name="Normal 29 3" xfId="8208" xr:uid="{00000000-0005-0000-0000-00002D200000}"/>
    <cellStyle name="Normal 29 3 2" xfId="8209" xr:uid="{00000000-0005-0000-0000-00002E200000}"/>
    <cellStyle name="Normal 29 4" xfId="8210" xr:uid="{00000000-0005-0000-0000-00002F200000}"/>
    <cellStyle name="Normal 29 5" xfId="8211" xr:uid="{00000000-0005-0000-0000-000030200000}"/>
    <cellStyle name="Normal 3" xfId="8212" xr:uid="{00000000-0005-0000-0000-000031200000}"/>
    <cellStyle name="Normal 3 10" xfId="8213" xr:uid="{00000000-0005-0000-0000-000032200000}"/>
    <cellStyle name="Normal 3 11" xfId="9515" xr:uid="{00000000-0005-0000-0000-000033200000}"/>
    <cellStyle name="Normal 3 2" xfId="8214" xr:uid="{00000000-0005-0000-0000-000034200000}"/>
    <cellStyle name="Normal 3 2 2" xfId="8215" xr:uid="{00000000-0005-0000-0000-000035200000}"/>
    <cellStyle name="Normal 3 2 2 2" xfId="8216" xr:uid="{00000000-0005-0000-0000-000036200000}"/>
    <cellStyle name="Normal 3 2 3" xfId="8217" xr:uid="{00000000-0005-0000-0000-000037200000}"/>
    <cellStyle name="Normal 3 2 4" xfId="8218" xr:uid="{00000000-0005-0000-0000-000038200000}"/>
    <cellStyle name="Normal 3 2 5" xfId="8219" xr:uid="{00000000-0005-0000-0000-000039200000}"/>
    <cellStyle name="Normal 3 2 6" xfId="8220" xr:uid="{00000000-0005-0000-0000-00003A200000}"/>
    <cellStyle name="Normal 3 2 7" xfId="9529" xr:uid="{00000000-0005-0000-0000-00003B200000}"/>
    <cellStyle name="Normal 3 2_Chelan PUD Power Costs (8-10)" xfId="8221" xr:uid="{00000000-0005-0000-0000-00003C200000}"/>
    <cellStyle name="Normal 3 3" xfId="8222" xr:uid="{00000000-0005-0000-0000-00003D200000}"/>
    <cellStyle name="Normal 3 3 2" xfId="8223" xr:uid="{00000000-0005-0000-0000-00003E200000}"/>
    <cellStyle name="Normal 3 3 2 2" xfId="8224" xr:uid="{00000000-0005-0000-0000-00003F200000}"/>
    <cellStyle name="Normal 3 3 2 3" xfId="8225" xr:uid="{00000000-0005-0000-0000-000040200000}"/>
    <cellStyle name="Normal 3 3 3" xfId="8226" xr:uid="{00000000-0005-0000-0000-000041200000}"/>
    <cellStyle name="Normal 3 3 4" xfId="8227" xr:uid="{00000000-0005-0000-0000-000042200000}"/>
    <cellStyle name="Normal 3 3 5" xfId="8228" xr:uid="{00000000-0005-0000-0000-000043200000}"/>
    <cellStyle name="Normal 3 3 6" xfId="8229" xr:uid="{00000000-0005-0000-0000-000044200000}"/>
    <cellStyle name="Normal 3 4" xfId="8230" xr:uid="{00000000-0005-0000-0000-000045200000}"/>
    <cellStyle name="Normal 3 4 2" xfId="8231" xr:uid="{00000000-0005-0000-0000-000046200000}"/>
    <cellStyle name="Normal 3 4 2 2" xfId="8232" xr:uid="{00000000-0005-0000-0000-000047200000}"/>
    <cellStyle name="Normal 3 4 3" xfId="8233" xr:uid="{00000000-0005-0000-0000-000048200000}"/>
    <cellStyle name="Normal 3 4 3 2" xfId="8234" xr:uid="{00000000-0005-0000-0000-000049200000}"/>
    <cellStyle name="Normal 3 4 4" xfId="8235" xr:uid="{00000000-0005-0000-0000-00004A200000}"/>
    <cellStyle name="Normal 3 4 4 2" xfId="8236" xr:uid="{00000000-0005-0000-0000-00004B200000}"/>
    <cellStyle name="Normal 3 4 5" xfId="8237" xr:uid="{00000000-0005-0000-0000-00004C200000}"/>
    <cellStyle name="Normal 3 5" xfId="8238" xr:uid="{00000000-0005-0000-0000-00004D200000}"/>
    <cellStyle name="Normal 3 5 2" xfId="8239" xr:uid="{00000000-0005-0000-0000-00004E200000}"/>
    <cellStyle name="Normal 3 6" xfId="8240" xr:uid="{00000000-0005-0000-0000-00004F200000}"/>
    <cellStyle name="Normal 3 6 2" xfId="8241" xr:uid="{00000000-0005-0000-0000-000050200000}"/>
    <cellStyle name="Normal 3 7" xfId="8242" xr:uid="{00000000-0005-0000-0000-000051200000}"/>
    <cellStyle name="Normal 3 8" xfId="8243" xr:uid="{00000000-0005-0000-0000-000052200000}"/>
    <cellStyle name="Normal 3 9" xfId="8244" xr:uid="{00000000-0005-0000-0000-000053200000}"/>
    <cellStyle name="Normal 3_ Price Inputs" xfId="8245" xr:uid="{00000000-0005-0000-0000-000054200000}"/>
    <cellStyle name="Normal 30" xfId="8246" xr:uid="{00000000-0005-0000-0000-000055200000}"/>
    <cellStyle name="Normal 30 2" xfId="8247" xr:uid="{00000000-0005-0000-0000-000056200000}"/>
    <cellStyle name="Normal 30 2 2" xfId="8248" xr:uid="{00000000-0005-0000-0000-000057200000}"/>
    <cellStyle name="Normal 30 2 3" xfId="8249" xr:uid="{00000000-0005-0000-0000-000058200000}"/>
    <cellStyle name="Normal 30 3" xfId="8250" xr:uid="{00000000-0005-0000-0000-000059200000}"/>
    <cellStyle name="Normal 30 3 2" xfId="8251" xr:uid="{00000000-0005-0000-0000-00005A200000}"/>
    <cellStyle name="Normal 30 4" xfId="8252" xr:uid="{00000000-0005-0000-0000-00005B200000}"/>
    <cellStyle name="Normal 30 5" xfId="8253" xr:uid="{00000000-0005-0000-0000-00005C200000}"/>
    <cellStyle name="Normal 31" xfId="8254" xr:uid="{00000000-0005-0000-0000-00005D200000}"/>
    <cellStyle name="Normal 31 2" xfId="8255" xr:uid="{00000000-0005-0000-0000-00005E200000}"/>
    <cellStyle name="Normal 31 2 2" xfId="8256" xr:uid="{00000000-0005-0000-0000-00005F200000}"/>
    <cellStyle name="Normal 31 2 3" xfId="8257" xr:uid="{00000000-0005-0000-0000-000060200000}"/>
    <cellStyle name="Normal 31 3" xfId="8258" xr:uid="{00000000-0005-0000-0000-000061200000}"/>
    <cellStyle name="Normal 31 3 2" xfId="8259" xr:uid="{00000000-0005-0000-0000-000062200000}"/>
    <cellStyle name="Normal 31 4" xfId="8260" xr:uid="{00000000-0005-0000-0000-000063200000}"/>
    <cellStyle name="Normal 31 5" xfId="8261" xr:uid="{00000000-0005-0000-0000-000064200000}"/>
    <cellStyle name="Normal 32" xfId="8262" xr:uid="{00000000-0005-0000-0000-000065200000}"/>
    <cellStyle name="Normal 32 2" xfId="8263" xr:uid="{00000000-0005-0000-0000-000066200000}"/>
    <cellStyle name="Normal 32 2 2" xfId="8264" xr:uid="{00000000-0005-0000-0000-000067200000}"/>
    <cellStyle name="Normal 32 2 3" xfId="8265" xr:uid="{00000000-0005-0000-0000-000068200000}"/>
    <cellStyle name="Normal 32 3" xfId="8266" xr:uid="{00000000-0005-0000-0000-000069200000}"/>
    <cellStyle name="Normal 32 3 2" xfId="8267" xr:uid="{00000000-0005-0000-0000-00006A200000}"/>
    <cellStyle name="Normal 32 4" xfId="8268" xr:uid="{00000000-0005-0000-0000-00006B200000}"/>
    <cellStyle name="Normal 32 5" xfId="8269" xr:uid="{00000000-0005-0000-0000-00006C200000}"/>
    <cellStyle name="Normal 33" xfId="8270" xr:uid="{00000000-0005-0000-0000-00006D200000}"/>
    <cellStyle name="Normal 33 2" xfId="8271" xr:uid="{00000000-0005-0000-0000-00006E200000}"/>
    <cellStyle name="Normal 33 2 2" xfId="8272" xr:uid="{00000000-0005-0000-0000-00006F200000}"/>
    <cellStyle name="Normal 33 2 3" xfId="8273" xr:uid="{00000000-0005-0000-0000-000070200000}"/>
    <cellStyle name="Normal 33 3" xfId="8274" xr:uid="{00000000-0005-0000-0000-000071200000}"/>
    <cellStyle name="Normal 33 3 2" xfId="8275" xr:uid="{00000000-0005-0000-0000-000072200000}"/>
    <cellStyle name="Normal 33 4" xfId="8276" xr:uid="{00000000-0005-0000-0000-000073200000}"/>
    <cellStyle name="Normal 33 5" xfId="8277" xr:uid="{00000000-0005-0000-0000-000074200000}"/>
    <cellStyle name="Normal 34" xfId="8278" xr:uid="{00000000-0005-0000-0000-000075200000}"/>
    <cellStyle name="Normal 34 2" xfId="8279" xr:uid="{00000000-0005-0000-0000-000076200000}"/>
    <cellStyle name="Normal 34 2 2" xfId="8280" xr:uid="{00000000-0005-0000-0000-000077200000}"/>
    <cellStyle name="Normal 34 2 3" xfId="8281" xr:uid="{00000000-0005-0000-0000-000078200000}"/>
    <cellStyle name="Normal 34 3" xfId="8282" xr:uid="{00000000-0005-0000-0000-000079200000}"/>
    <cellStyle name="Normal 34 3 2" xfId="8283" xr:uid="{00000000-0005-0000-0000-00007A200000}"/>
    <cellStyle name="Normal 34 4" xfId="8284" xr:uid="{00000000-0005-0000-0000-00007B200000}"/>
    <cellStyle name="Normal 34 5" xfId="8285" xr:uid="{00000000-0005-0000-0000-00007C200000}"/>
    <cellStyle name="Normal 35" xfId="8286" xr:uid="{00000000-0005-0000-0000-00007D200000}"/>
    <cellStyle name="Normal 35 2" xfId="8287" xr:uid="{00000000-0005-0000-0000-00007E200000}"/>
    <cellStyle name="Normal 35 2 2" xfId="8288" xr:uid="{00000000-0005-0000-0000-00007F200000}"/>
    <cellStyle name="Normal 35 2 3" xfId="8289" xr:uid="{00000000-0005-0000-0000-000080200000}"/>
    <cellStyle name="Normal 35 3" xfId="8290" xr:uid="{00000000-0005-0000-0000-000081200000}"/>
    <cellStyle name="Normal 35 3 2" xfId="8291" xr:uid="{00000000-0005-0000-0000-000082200000}"/>
    <cellStyle name="Normal 35 4" xfId="8292" xr:uid="{00000000-0005-0000-0000-000083200000}"/>
    <cellStyle name="Normal 35 5" xfId="8293" xr:uid="{00000000-0005-0000-0000-000084200000}"/>
    <cellStyle name="Normal 36" xfId="8294" xr:uid="{00000000-0005-0000-0000-000085200000}"/>
    <cellStyle name="Normal 36 2" xfId="8295" xr:uid="{00000000-0005-0000-0000-000086200000}"/>
    <cellStyle name="Normal 36 2 2" xfId="8296" xr:uid="{00000000-0005-0000-0000-000087200000}"/>
    <cellStyle name="Normal 36 2 3" xfId="8297" xr:uid="{00000000-0005-0000-0000-000088200000}"/>
    <cellStyle name="Normal 36 3" xfId="8298" xr:uid="{00000000-0005-0000-0000-000089200000}"/>
    <cellStyle name="Normal 36 3 2" xfId="8299" xr:uid="{00000000-0005-0000-0000-00008A200000}"/>
    <cellStyle name="Normal 36 4" xfId="8300" xr:uid="{00000000-0005-0000-0000-00008B200000}"/>
    <cellStyle name="Normal 36 5" xfId="8301" xr:uid="{00000000-0005-0000-0000-00008C200000}"/>
    <cellStyle name="Normal 37" xfId="8302" xr:uid="{00000000-0005-0000-0000-00008D200000}"/>
    <cellStyle name="Normal 37 2" xfId="8303" xr:uid="{00000000-0005-0000-0000-00008E200000}"/>
    <cellStyle name="Normal 37 2 2" xfId="8304" xr:uid="{00000000-0005-0000-0000-00008F200000}"/>
    <cellStyle name="Normal 37 2 3" xfId="8305" xr:uid="{00000000-0005-0000-0000-000090200000}"/>
    <cellStyle name="Normal 37 3" xfId="8306" xr:uid="{00000000-0005-0000-0000-000091200000}"/>
    <cellStyle name="Normal 37 3 2" xfId="8307" xr:uid="{00000000-0005-0000-0000-000092200000}"/>
    <cellStyle name="Normal 37 4" xfId="8308" xr:uid="{00000000-0005-0000-0000-000093200000}"/>
    <cellStyle name="Normal 37 5" xfId="8309" xr:uid="{00000000-0005-0000-0000-000094200000}"/>
    <cellStyle name="Normal 38" xfId="8310" xr:uid="{00000000-0005-0000-0000-000095200000}"/>
    <cellStyle name="Normal 38 2" xfId="8311" xr:uid="{00000000-0005-0000-0000-000096200000}"/>
    <cellStyle name="Normal 38 2 2" xfId="8312" xr:uid="{00000000-0005-0000-0000-000097200000}"/>
    <cellStyle name="Normal 38 2 3" xfId="8313" xr:uid="{00000000-0005-0000-0000-000098200000}"/>
    <cellStyle name="Normal 38 3" xfId="8314" xr:uid="{00000000-0005-0000-0000-000099200000}"/>
    <cellStyle name="Normal 38 3 2" xfId="8315" xr:uid="{00000000-0005-0000-0000-00009A200000}"/>
    <cellStyle name="Normal 38 4" xfId="8316" xr:uid="{00000000-0005-0000-0000-00009B200000}"/>
    <cellStyle name="Normal 38 5" xfId="8317" xr:uid="{00000000-0005-0000-0000-00009C200000}"/>
    <cellStyle name="Normal 39" xfId="8318" xr:uid="{00000000-0005-0000-0000-00009D200000}"/>
    <cellStyle name="Normal 39 2" xfId="8319" xr:uid="{00000000-0005-0000-0000-00009E200000}"/>
    <cellStyle name="Normal 39 2 2" xfId="8320" xr:uid="{00000000-0005-0000-0000-00009F200000}"/>
    <cellStyle name="Normal 39 2 3" xfId="8321" xr:uid="{00000000-0005-0000-0000-0000A0200000}"/>
    <cellStyle name="Normal 39 3" xfId="8322" xr:uid="{00000000-0005-0000-0000-0000A1200000}"/>
    <cellStyle name="Normal 39 3 2" xfId="8323" xr:uid="{00000000-0005-0000-0000-0000A2200000}"/>
    <cellStyle name="Normal 39 4" xfId="8324" xr:uid="{00000000-0005-0000-0000-0000A3200000}"/>
    <cellStyle name="Normal 39 5" xfId="8325" xr:uid="{00000000-0005-0000-0000-0000A4200000}"/>
    <cellStyle name="Normal 4" xfId="8326" xr:uid="{00000000-0005-0000-0000-0000A5200000}"/>
    <cellStyle name="Normal 4 2" xfId="8327" xr:uid="{00000000-0005-0000-0000-0000A6200000}"/>
    <cellStyle name="Normal 4 2 2" xfId="8328" xr:uid="{00000000-0005-0000-0000-0000A7200000}"/>
    <cellStyle name="Normal 4 2 2 2" xfId="8329" xr:uid="{00000000-0005-0000-0000-0000A8200000}"/>
    <cellStyle name="Normal 4 2 2 3" xfId="8330" xr:uid="{00000000-0005-0000-0000-0000A9200000}"/>
    <cellStyle name="Normal 4 2 3" xfId="8331" xr:uid="{00000000-0005-0000-0000-0000AA200000}"/>
    <cellStyle name="Normal 4 2 3 2" xfId="8332" xr:uid="{00000000-0005-0000-0000-0000AB200000}"/>
    <cellStyle name="Normal 4 2 4" xfId="8333" xr:uid="{00000000-0005-0000-0000-0000AC200000}"/>
    <cellStyle name="Normal 4 2 5" xfId="8334" xr:uid="{00000000-0005-0000-0000-0000AD200000}"/>
    <cellStyle name="Normal 4 2 6" xfId="8335" xr:uid="{00000000-0005-0000-0000-0000AE200000}"/>
    <cellStyle name="Normal 4 3" xfId="8336" xr:uid="{00000000-0005-0000-0000-0000AF200000}"/>
    <cellStyle name="Normal 4 3 2" xfId="8337" xr:uid="{00000000-0005-0000-0000-0000B0200000}"/>
    <cellStyle name="Normal 4 4" xfId="8338" xr:uid="{00000000-0005-0000-0000-0000B1200000}"/>
    <cellStyle name="Normal 4 4 2" xfId="8339" xr:uid="{00000000-0005-0000-0000-0000B2200000}"/>
    <cellStyle name="Normal 4 5" xfId="8340" xr:uid="{00000000-0005-0000-0000-0000B3200000}"/>
    <cellStyle name="Normal 4 5 2" xfId="8341" xr:uid="{00000000-0005-0000-0000-0000B4200000}"/>
    <cellStyle name="Normal 4 6" xfId="8342" xr:uid="{00000000-0005-0000-0000-0000B5200000}"/>
    <cellStyle name="Normal 4 7" xfId="8343" xr:uid="{00000000-0005-0000-0000-0000B6200000}"/>
    <cellStyle name="Normal 4 8" xfId="9534" xr:uid="{00000000-0005-0000-0000-0000B7200000}"/>
    <cellStyle name="Normal 4_ Price Inputs" xfId="8344" xr:uid="{00000000-0005-0000-0000-0000B8200000}"/>
    <cellStyle name="Normal 40" xfId="8345" xr:uid="{00000000-0005-0000-0000-0000B9200000}"/>
    <cellStyle name="Normal 40 2" xfId="8346" xr:uid="{00000000-0005-0000-0000-0000BA200000}"/>
    <cellStyle name="Normal 41" xfId="8347" xr:uid="{00000000-0005-0000-0000-0000BB200000}"/>
    <cellStyle name="Normal 41 2" xfId="8348" xr:uid="{00000000-0005-0000-0000-0000BC200000}"/>
    <cellStyle name="Normal 41 2 2" xfId="8349" xr:uid="{00000000-0005-0000-0000-0000BD200000}"/>
    <cellStyle name="Normal 41 3" xfId="8350" xr:uid="{00000000-0005-0000-0000-0000BE200000}"/>
    <cellStyle name="Normal 41 3 2" xfId="8351" xr:uid="{00000000-0005-0000-0000-0000BF200000}"/>
    <cellStyle name="Normal 41 4" xfId="8352" xr:uid="{00000000-0005-0000-0000-0000C0200000}"/>
    <cellStyle name="Normal 41 4 2" xfId="8353" xr:uid="{00000000-0005-0000-0000-0000C1200000}"/>
    <cellStyle name="Normal 42" xfId="8354" xr:uid="{00000000-0005-0000-0000-0000C2200000}"/>
    <cellStyle name="Normal 42 2" xfId="8355" xr:uid="{00000000-0005-0000-0000-0000C3200000}"/>
    <cellStyle name="Normal 42 2 2" xfId="8356" xr:uid="{00000000-0005-0000-0000-0000C4200000}"/>
    <cellStyle name="Normal 42 2 2 2" xfId="8357" xr:uid="{00000000-0005-0000-0000-0000C5200000}"/>
    <cellStyle name="Normal 42 2 3" xfId="8358" xr:uid="{00000000-0005-0000-0000-0000C6200000}"/>
    <cellStyle name="Normal 42 3" xfId="8359" xr:uid="{00000000-0005-0000-0000-0000C7200000}"/>
    <cellStyle name="Normal 42 3 2" xfId="8360" xr:uid="{00000000-0005-0000-0000-0000C8200000}"/>
    <cellStyle name="Normal 42 4" xfId="8361" xr:uid="{00000000-0005-0000-0000-0000C9200000}"/>
    <cellStyle name="Normal 42 4 2" xfId="8362" xr:uid="{00000000-0005-0000-0000-0000CA200000}"/>
    <cellStyle name="Normal 42 5" xfId="8363" xr:uid="{00000000-0005-0000-0000-0000CB200000}"/>
    <cellStyle name="Normal 42 5 2" xfId="8364" xr:uid="{00000000-0005-0000-0000-0000CC200000}"/>
    <cellStyle name="Normal 43" xfId="8365" xr:uid="{00000000-0005-0000-0000-0000CD200000}"/>
    <cellStyle name="Normal 43 2" xfId="8366" xr:uid="{00000000-0005-0000-0000-0000CE200000}"/>
    <cellStyle name="Normal 43 3" xfId="8367" xr:uid="{00000000-0005-0000-0000-0000CF200000}"/>
    <cellStyle name="Normal 43 3 2" xfId="8368" xr:uid="{00000000-0005-0000-0000-0000D0200000}"/>
    <cellStyle name="Normal 44" xfId="8369" xr:uid="{00000000-0005-0000-0000-0000D1200000}"/>
    <cellStyle name="Normal 44 2" xfId="8370" xr:uid="{00000000-0005-0000-0000-0000D2200000}"/>
    <cellStyle name="Normal 44 2 2" xfId="8371" xr:uid="{00000000-0005-0000-0000-0000D3200000}"/>
    <cellStyle name="Normal 44 2 2 2" xfId="8372" xr:uid="{00000000-0005-0000-0000-0000D4200000}"/>
    <cellStyle name="Normal 44 2 3" xfId="8373" xr:uid="{00000000-0005-0000-0000-0000D5200000}"/>
    <cellStyle name="Normal 44 2 4" xfId="8374" xr:uid="{00000000-0005-0000-0000-0000D6200000}"/>
    <cellStyle name="Normal 44 3" xfId="8375" xr:uid="{00000000-0005-0000-0000-0000D7200000}"/>
    <cellStyle name="Normal 44 3 2" xfId="8376" xr:uid="{00000000-0005-0000-0000-0000D8200000}"/>
    <cellStyle name="Normal 44 3 3" xfId="8377" xr:uid="{00000000-0005-0000-0000-0000D9200000}"/>
    <cellStyle name="Normal 44 4" xfId="8378" xr:uid="{00000000-0005-0000-0000-0000DA200000}"/>
    <cellStyle name="Normal 44 4 2" xfId="8379" xr:uid="{00000000-0005-0000-0000-0000DB200000}"/>
    <cellStyle name="Normal 44 5" xfId="8380" xr:uid="{00000000-0005-0000-0000-0000DC200000}"/>
    <cellStyle name="Normal 44 5 2" xfId="8381" xr:uid="{00000000-0005-0000-0000-0000DD200000}"/>
    <cellStyle name="Normal 44 6" xfId="8382" xr:uid="{00000000-0005-0000-0000-0000DE200000}"/>
    <cellStyle name="Normal 44 7" xfId="8383" xr:uid="{00000000-0005-0000-0000-0000DF200000}"/>
    <cellStyle name="Normal 45" xfId="8384" xr:uid="{00000000-0005-0000-0000-0000E0200000}"/>
    <cellStyle name="Normal 45 2" xfId="8385" xr:uid="{00000000-0005-0000-0000-0000E1200000}"/>
    <cellStyle name="Normal 45 2 2" xfId="8386" xr:uid="{00000000-0005-0000-0000-0000E2200000}"/>
    <cellStyle name="Normal 45 3" xfId="8387" xr:uid="{00000000-0005-0000-0000-0000E3200000}"/>
    <cellStyle name="Normal 45 4" xfId="8388" xr:uid="{00000000-0005-0000-0000-0000E4200000}"/>
    <cellStyle name="Normal 45 5" xfId="8389" xr:uid="{00000000-0005-0000-0000-0000E5200000}"/>
    <cellStyle name="Normal 45 6" xfId="8390" xr:uid="{00000000-0005-0000-0000-0000E6200000}"/>
    <cellStyle name="Normal 46" xfId="8391" xr:uid="{00000000-0005-0000-0000-0000E7200000}"/>
    <cellStyle name="Normal 46 2" xfId="8392" xr:uid="{00000000-0005-0000-0000-0000E8200000}"/>
    <cellStyle name="Normal 46 2 2" xfId="8393" xr:uid="{00000000-0005-0000-0000-0000E9200000}"/>
    <cellStyle name="Normal 46 2 3" xfId="8394" xr:uid="{00000000-0005-0000-0000-0000EA200000}"/>
    <cellStyle name="Normal 46 3" xfId="8395" xr:uid="{00000000-0005-0000-0000-0000EB200000}"/>
    <cellStyle name="Normal 46 4" xfId="8396" xr:uid="{00000000-0005-0000-0000-0000EC200000}"/>
    <cellStyle name="Normal 46 5" xfId="8397" xr:uid="{00000000-0005-0000-0000-0000ED200000}"/>
    <cellStyle name="Normal 46 6" xfId="8398" xr:uid="{00000000-0005-0000-0000-0000EE200000}"/>
    <cellStyle name="Normal 47" xfId="8399" xr:uid="{00000000-0005-0000-0000-0000EF200000}"/>
    <cellStyle name="Normal 47 2" xfId="8400" xr:uid="{00000000-0005-0000-0000-0000F0200000}"/>
    <cellStyle name="Normal 47 2 2" xfId="8401" xr:uid="{00000000-0005-0000-0000-0000F1200000}"/>
    <cellStyle name="Normal 47 3" xfId="8402" xr:uid="{00000000-0005-0000-0000-0000F2200000}"/>
    <cellStyle name="Normal 47 3 2" xfId="8403" xr:uid="{00000000-0005-0000-0000-0000F3200000}"/>
    <cellStyle name="Normal 47 4" xfId="8404" xr:uid="{00000000-0005-0000-0000-0000F4200000}"/>
    <cellStyle name="Normal 47 4 2" xfId="8405" xr:uid="{00000000-0005-0000-0000-0000F5200000}"/>
    <cellStyle name="Normal 47 5" xfId="8406" xr:uid="{00000000-0005-0000-0000-0000F6200000}"/>
    <cellStyle name="Normal 48" xfId="8407" xr:uid="{00000000-0005-0000-0000-0000F7200000}"/>
    <cellStyle name="Normal 48 2" xfId="8408" xr:uid="{00000000-0005-0000-0000-0000F8200000}"/>
    <cellStyle name="Normal 48 2 2" xfId="8409" xr:uid="{00000000-0005-0000-0000-0000F9200000}"/>
    <cellStyle name="Normal 48 3" xfId="8410" xr:uid="{00000000-0005-0000-0000-0000FA200000}"/>
    <cellStyle name="Normal 48 3 2" xfId="8411" xr:uid="{00000000-0005-0000-0000-0000FB200000}"/>
    <cellStyle name="Normal 48 4" xfId="8412" xr:uid="{00000000-0005-0000-0000-0000FC200000}"/>
    <cellStyle name="Normal 48 4 2" xfId="8413" xr:uid="{00000000-0005-0000-0000-0000FD200000}"/>
    <cellStyle name="Normal 49" xfId="8414" xr:uid="{00000000-0005-0000-0000-0000FE200000}"/>
    <cellStyle name="Normal 49 2" xfId="8415" xr:uid="{00000000-0005-0000-0000-0000FF200000}"/>
    <cellStyle name="Normal 49 2 2" xfId="8416" xr:uid="{00000000-0005-0000-0000-000000210000}"/>
    <cellStyle name="Normal 49 3" xfId="8417" xr:uid="{00000000-0005-0000-0000-000001210000}"/>
    <cellStyle name="Normal 49 3 2" xfId="8418" xr:uid="{00000000-0005-0000-0000-000002210000}"/>
    <cellStyle name="Normal 49 4" xfId="8419" xr:uid="{00000000-0005-0000-0000-000003210000}"/>
    <cellStyle name="Normal 49 4 2" xfId="8420" xr:uid="{00000000-0005-0000-0000-000004210000}"/>
    <cellStyle name="Normal 5" xfId="8421" xr:uid="{00000000-0005-0000-0000-000005210000}"/>
    <cellStyle name="Normal 5 2" xfId="8422" xr:uid="{00000000-0005-0000-0000-000006210000}"/>
    <cellStyle name="Normal 5 2 2" xfId="8423" xr:uid="{00000000-0005-0000-0000-000007210000}"/>
    <cellStyle name="Normal 5 2 3" xfId="8424" xr:uid="{00000000-0005-0000-0000-000008210000}"/>
    <cellStyle name="Normal 5 2 4" xfId="9527" xr:uid="{00000000-0005-0000-0000-000009210000}"/>
    <cellStyle name="Normal 5 3" xfId="8425" xr:uid="{00000000-0005-0000-0000-00000A210000}"/>
    <cellStyle name="Normal 5 3 2" xfId="8426" xr:uid="{00000000-0005-0000-0000-00000B210000}"/>
    <cellStyle name="Normal 5 4" xfId="8427" xr:uid="{00000000-0005-0000-0000-00000C210000}"/>
    <cellStyle name="Normal 5 4 2" xfId="8428" xr:uid="{00000000-0005-0000-0000-00000D210000}"/>
    <cellStyle name="Normal 5 5" xfId="8429" xr:uid="{00000000-0005-0000-0000-00000E210000}"/>
    <cellStyle name="Normal 5 5 2" xfId="8430" xr:uid="{00000000-0005-0000-0000-00000F210000}"/>
    <cellStyle name="Normal 5 6" xfId="8431" xr:uid="{00000000-0005-0000-0000-000010210000}"/>
    <cellStyle name="Normal 5 7" xfId="9528" xr:uid="{00000000-0005-0000-0000-000011210000}"/>
    <cellStyle name="Normal 5_2011 CBR Rev Calc by schedule" xfId="8432" xr:uid="{00000000-0005-0000-0000-000012210000}"/>
    <cellStyle name="Normal 50" xfId="8433" xr:uid="{00000000-0005-0000-0000-000013210000}"/>
    <cellStyle name="Normal 50 2" xfId="8434" xr:uid="{00000000-0005-0000-0000-000014210000}"/>
    <cellStyle name="Normal 50 2 2" xfId="8435" xr:uid="{00000000-0005-0000-0000-000015210000}"/>
    <cellStyle name="Normal 50 3" xfId="8436" xr:uid="{00000000-0005-0000-0000-000016210000}"/>
    <cellStyle name="Normal 50 3 2" xfId="8437" xr:uid="{00000000-0005-0000-0000-000017210000}"/>
    <cellStyle name="Normal 50 4" xfId="8438" xr:uid="{00000000-0005-0000-0000-000018210000}"/>
    <cellStyle name="Normal 50 4 2" xfId="8439" xr:uid="{00000000-0005-0000-0000-000019210000}"/>
    <cellStyle name="Normal 51" xfId="8440" xr:uid="{00000000-0005-0000-0000-00001A210000}"/>
    <cellStyle name="Normal 51 2" xfId="8441" xr:uid="{00000000-0005-0000-0000-00001B210000}"/>
    <cellStyle name="Normal 51 2 2" xfId="8442" xr:uid="{00000000-0005-0000-0000-00001C210000}"/>
    <cellStyle name="Normal 51 2 3" xfId="8443" xr:uid="{00000000-0005-0000-0000-00001D210000}"/>
    <cellStyle name="Normal 51 3" xfId="8444" xr:uid="{00000000-0005-0000-0000-00001E210000}"/>
    <cellStyle name="Normal 51 4" xfId="8445" xr:uid="{00000000-0005-0000-0000-00001F210000}"/>
    <cellStyle name="Normal 51 5" xfId="8446" xr:uid="{00000000-0005-0000-0000-000020210000}"/>
    <cellStyle name="Normal 51 6" xfId="8447" xr:uid="{00000000-0005-0000-0000-000021210000}"/>
    <cellStyle name="Normal 52" xfId="8448" xr:uid="{00000000-0005-0000-0000-000022210000}"/>
    <cellStyle name="Normal 53" xfId="8449" xr:uid="{00000000-0005-0000-0000-000023210000}"/>
    <cellStyle name="Normal 53 2" xfId="8450" xr:uid="{00000000-0005-0000-0000-000024210000}"/>
    <cellStyle name="Normal 53 3" xfId="8451" xr:uid="{00000000-0005-0000-0000-000025210000}"/>
    <cellStyle name="Normal 53 3 2" xfId="8452" xr:uid="{00000000-0005-0000-0000-000026210000}"/>
    <cellStyle name="Normal 53 4" xfId="8453" xr:uid="{00000000-0005-0000-0000-000027210000}"/>
    <cellStyle name="Normal 54" xfId="8454" xr:uid="{00000000-0005-0000-0000-000028210000}"/>
    <cellStyle name="Normal 54 2" xfId="8455" xr:uid="{00000000-0005-0000-0000-000029210000}"/>
    <cellStyle name="Normal 54 3" xfId="8456" xr:uid="{00000000-0005-0000-0000-00002A210000}"/>
    <cellStyle name="Normal 54 3 2" xfId="8457" xr:uid="{00000000-0005-0000-0000-00002B210000}"/>
    <cellStyle name="Normal 54 4" xfId="8458" xr:uid="{00000000-0005-0000-0000-00002C210000}"/>
    <cellStyle name="Normal 55" xfId="8459" xr:uid="{00000000-0005-0000-0000-00002D210000}"/>
    <cellStyle name="Normal 55 2" xfId="8460" xr:uid="{00000000-0005-0000-0000-00002E210000}"/>
    <cellStyle name="Normal 55 2 2" xfId="8461" xr:uid="{00000000-0005-0000-0000-00002F210000}"/>
    <cellStyle name="Normal 55 3" xfId="8462" xr:uid="{00000000-0005-0000-0000-000030210000}"/>
    <cellStyle name="Normal 56" xfId="8463" xr:uid="{00000000-0005-0000-0000-000031210000}"/>
    <cellStyle name="Normal 56 2" xfId="8464" xr:uid="{00000000-0005-0000-0000-000032210000}"/>
    <cellStyle name="Normal 56 2 2" xfId="8465" xr:uid="{00000000-0005-0000-0000-000033210000}"/>
    <cellStyle name="Normal 56 3" xfId="8466" xr:uid="{00000000-0005-0000-0000-000034210000}"/>
    <cellStyle name="Normal 57" xfId="8467" xr:uid="{00000000-0005-0000-0000-000035210000}"/>
    <cellStyle name="Normal 57 2" xfId="8468" xr:uid="{00000000-0005-0000-0000-000036210000}"/>
    <cellStyle name="Normal 58" xfId="8469" xr:uid="{00000000-0005-0000-0000-000037210000}"/>
    <cellStyle name="Normal 58 2" xfId="8470" xr:uid="{00000000-0005-0000-0000-000038210000}"/>
    <cellStyle name="Normal 59" xfId="8471" xr:uid="{00000000-0005-0000-0000-000039210000}"/>
    <cellStyle name="Normal 59 2" xfId="8472" xr:uid="{00000000-0005-0000-0000-00003A210000}"/>
    <cellStyle name="Normal 6" xfId="8473" xr:uid="{00000000-0005-0000-0000-00003B210000}"/>
    <cellStyle name="Normal 6 2" xfId="8474" xr:uid="{00000000-0005-0000-0000-00003C210000}"/>
    <cellStyle name="Normal 6 2 2" xfId="8475" xr:uid="{00000000-0005-0000-0000-00003D210000}"/>
    <cellStyle name="Normal 6 2 2 2" xfId="8476" xr:uid="{00000000-0005-0000-0000-00003E210000}"/>
    <cellStyle name="Normal 6 2 3" xfId="8477" xr:uid="{00000000-0005-0000-0000-00003F210000}"/>
    <cellStyle name="Normal 6 2 4" xfId="8478" xr:uid="{00000000-0005-0000-0000-000040210000}"/>
    <cellStyle name="Normal 6 3" xfId="8479" xr:uid="{00000000-0005-0000-0000-000041210000}"/>
    <cellStyle name="Normal 6 3 2" xfId="8480" xr:uid="{00000000-0005-0000-0000-000042210000}"/>
    <cellStyle name="Normal 6 4" xfId="8481" xr:uid="{00000000-0005-0000-0000-000043210000}"/>
    <cellStyle name="Normal 6 5" xfId="8482" xr:uid="{00000000-0005-0000-0000-000044210000}"/>
    <cellStyle name="Normal 6 5 2" xfId="8483" xr:uid="{00000000-0005-0000-0000-000045210000}"/>
    <cellStyle name="Normal 6 6" xfId="8484" xr:uid="{00000000-0005-0000-0000-000046210000}"/>
    <cellStyle name="Normal 6 7" xfId="9519" xr:uid="{00000000-0005-0000-0000-000047210000}"/>
    <cellStyle name="Normal 6_Scenario 1 REC vs PTC Offset" xfId="8485" xr:uid="{00000000-0005-0000-0000-000048210000}"/>
    <cellStyle name="Normal 60" xfId="8486" xr:uid="{00000000-0005-0000-0000-000049210000}"/>
    <cellStyle name="Normal 60 2" xfId="8487" xr:uid="{00000000-0005-0000-0000-00004A210000}"/>
    <cellStyle name="Normal 61" xfId="8488" xr:uid="{00000000-0005-0000-0000-00004B210000}"/>
    <cellStyle name="Normal 61 2" xfId="8489" xr:uid="{00000000-0005-0000-0000-00004C210000}"/>
    <cellStyle name="Normal 62" xfId="8490" xr:uid="{00000000-0005-0000-0000-00004D210000}"/>
    <cellStyle name="Normal 62 2" xfId="8491" xr:uid="{00000000-0005-0000-0000-00004E210000}"/>
    <cellStyle name="Normal 63" xfId="8492" xr:uid="{00000000-0005-0000-0000-00004F210000}"/>
    <cellStyle name="Normal 63 2" xfId="8493" xr:uid="{00000000-0005-0000-0000-000050210000}"/>
    <cellStyle name="Normal 64" xfId="8494" xr:uid="{00000000-0005-0000-0000-000051210000}"/>
    <cellStyle name="Normal 64 2" xfId="8495" xr:uid="{00000000-0005-0000-0000-000052210000}"/>
    <cellStyle name="Normal 65" xfId="8496" xr:uid="{00000000-0005-0000-0000-000053210000}"/>
    <cellStyle name="Normal 65 2" xfId="8497" xr:uid="{00000000-0005-0000-0000-000054210000}"/>
    <cellStyle name="Normal 66" xfId="8498" xr:uid="{00000000-0005-0000-0000-000055210000}"/>
    <cellStyle name="Normal 66 2" xfId="8499" xr:uid="{00000000-0005-0000-0000-000056210000}"/>
    <cellStyle name="Normal 67" xfId="8500" xr:uid="{00000000-0005-0000-0000-000057210000}"/>
    <cellStyle name="Normal 67 2" xfId="8501" xr:uid="{00000000-0005-0000-0000-000058210000}"/>
    <cellStyle name="Normal 68" xfId="8502" xr:uid="{00000000-0005-0000-0000-000059210000}"/>
    <cellStyle name="Normal 68 2" xfId="8503" xr:uid="{00000000-0005-0000-0000-00005A210000}"/>
    <cellStyle name="Normal 69" xfId="8504" xr:uid="{00000000-0005-0000-0000-00005B210000}"/>
    <cellStyle name="Normal 69 2" xfId="8505" xr:uid="{00000000-0005-0000-0000-00005C210000}"/>
    <cellStyle name="Normal 7" xfId="8506" xr:uid="{00000000-0005-0000-0000-00005D210000}"/>
    <cellStyle name="Normal 7 2" xfId="8507" xr:uid="{00000000-0005-0000-0000-00005E210000}"/>
    <cellStyle name="Normal 7 2 2" xfId="8508" xr:uid="{00000000-0005-0000-0000-00005F210000}"/>
    <cellStyle name="Normal 7 2 2 2" xfId="8509" xr:uid="{00000000-0005-0000-0000-000060210000}"/>
    <cellStyle name="Normal 7 2 3" xfId="8510" xr:uid="{00000000-0005-0000-0000-000061210000}"/>
    <cellStyle name="Normal 7 3" xfId="8511" xr:uid="{00000000-0005-0000-0000-000062210000}"/>
    <cellStyle name="Normal 7 4" xfId="8512" xr:uid="{00000000-0005-0000-0000-000063210000}"/>
    <cellStyle name="Normal 7 4 2" xfId="8513" xr:uid="{00000000-0005-0000-0000-000064210000}"/>
    <cellStyle name="Normal 7 5" xfId="8514" xr:uid="{00000000-0005-0000-0000-000065210000}"/>
    <cellStyle name="Normal 70" xfId="8515" xr:uid="{00000000-0005-0000-0000-000066210000}"/>
    <cellStyle name="Normal 70 2" xfId="8516" xr:uid="{00000000-0005-0000-0000-000067210000}"/>
    <cellStyle name="Normal 71" xfId="8517" xr:uid="{00000000-0005-0000-0000-000068210000}"/>
    <cellStyle name="Normal 71 2" xfId="8518" xr:uid="{00000000-0005-0000-0000-000069210000}"/>
    <cellStyle name="Normal 72" xfId="8519" xr:uid="{00000000-0005-0000-0000-00006A210000}"/>
    <cellStyle name="Normal 72 2" xfId="8520" xr:uid="{00000000-0005-0000-0000-00006B210000}"/>
    <cellStyle name="Normal 73" xfId="8521" xr:uid="{00000000-0005-0000-0000-00006C210000}"/>
    <cellStyle name="Normal 73 2" xfId="8522" xr:uid="{00000000-0005-0000-0000-00006D210000}"/>
    <cellStyle name="Normal 74" xfId="8523" xr:uid="{00000000-0005-0000-0000-00006E210000}"/>
    <cellStyle name="Normal 75" xfId="8524" xr:uid="{00000000-0005-0000-0000-00006F210000}"/>
    <cellStyle name="Normal 76" xfId="8525" xr:uid="{00000000-0005-0000-0000-000070210000}"/>
    <cellStyle name="Normal 77" xfId="8526" xr:uid="{00000000-0005-0000-0000-000071210000}"/>
    <cellStyle name="Normal 78" xfId="8527" xr:uid="{00000000-0005-0000-0000-000072210000}"/>
    <cellStyle name="Normal 79" xfId="8528" xr:uid="{00000000-0005-0000-0000-000073210000}"/>
    <cellStyle name="Normal 8" xfId="8529" xr:uid="{00000000-0005-0000-0000-000074210000}"/>
    <cellStyle name="Normal 8 2" xfId="8530" xr:uid="{00000000-0005-0000-0000-000075210000}"/>
    <cellStyle name="Normal 8 2 2" xfId="8531" xr:uid="{00000000-0005-0000-0000-000076210000}"/>
    <cellStyle name="Normal 8 2 2 2" xfId="8532" xr:uid="{00000000-0005-0000-0000-000077210000}"/>
    <cellStyle name="Normal 8 2 3" xfId="8533" xr:uid="{00000000-0005-0000-0000-000078210000}"/>
    <cellStyle name="Normal 8 2 4" xfId="8534" xr:uid="{00000000-0005-0000-0000-000079210000}"/>
    <cellStyle name="Normal 8 3" xfId="8535" xr:uid="{00000000-0005-0000-0000-00007A210000}"/>
    <cellStyle name="Normal 8 4" xfId="8536" xr:uid="{00000000-0005-0000-0000-00007B210000}"/>
    <cellStyle name="Normal 8 4 2" xfId="8537" xr:uid="{00000000-0005-0000-0000-00007C210000}"/>
    <cellStyle name="Normal 8 5" xfId="8538" xr:uid="{00000000-0005-0000-0000-00007D210000}"/>
    <cellStyle name="Normal 8 6" xfId="8539" xr:uid="{00000000-0005-0000-0000-00007E210000}"/>
    <cellStyle name="Normal 8 7" xfId="9526" xr:uid="{00000000-0005-0000-0000-00007F210000}"/>
    <cellStyle name="Normal 80" xfId="8540" xr:uid="{00000000-0005-0000-0000-000080210000}"/>
    <cellStyle name="Normal 81" xfId="8541" xr:uid="{00000000-0005-0000-0000-000081210000}"/>
    <cellStyle name="Normal 82" xfId="8542" xr:uid="{00000000-0005-0000-0000-000082210000}"/>
    <cellStyle name="Normal 83" xfId="8543" xr:uid="{00000000-0005-0000-0000-000083210000}"/>
    <cellStyle name="Normal 84" xfId="8544" xr:uid="{00000000-0005-0000-0000-000084210000}"/>
    <cellStyle name="Normal 85" xfId="8545" xr:uid="{00000000-0005-0000-0000-000085210000}"/>
    <cellStyle name="Normal 86" xfId="8546" xr:uid="{00000000-0005-0000-0000-000086210000}"/>
    <cellStyle name="Normal 87" xfId="8547" xr:uid="{00000000-0005-0000-0000-000087210000}"/>
    <cellStyle name="Normal 88" xfId="8548" xr:uid="{00000000-0005-0000-0000-000088210000}"/>
    <cellStyle name="Normal 89" xfId="8549" xr:uid="{00000000-0005-0000-0000-000089210000}"/>
    <cellStyle name="Normal 9" xfId="8550" xr:uid="{00000000-0005-0000-0000-00008A210000}"/>
    <cellStyle name="Normal 9 2" xfId="8551" xr:uid="{00000000-0005-0000-0000-00008B210000}"/>
    <cellStyle name="Normal 9 2 2" xfId="8552" xr:uid="{00000000-0005-0000-0000-00008C210000}"/>
    <cellStyle name="Normal 9 2 2 2" xfId="8553" xr:uid="{00000000-0005-0000-0000-00008D210000}"/>
    <cellStyle name="Normal 9 2 3" xfId="8554" xr:uid="{00000000-0005-0000-0000-00008E210000}"/>
    <cellStyle name="Normal 9 3" xfId="8555" xr:uid="{00000000-0005-0000-0000-00008F210000}"/>
    <cellStyle name="Normal 9 3 2" xfId="8556" xr:uid="{00000000-0005-0000-0000-000090210000}"/>
    <cellStyle name="Normal 9 4" xfId="8557" xr:uid="{00000000-0005-0000-0000-000091210000}"/>
    <cellStyle name="Normal 90" xfId="8558" xr:uid="{00000000-0005-0000-0000-000092210000}"/>
    <cellStyle name="Normal 91" xfId="8559" xr:uid="{00000000-0005-0000-0000-000093210000}"/>
    <cellStyle name="Normal 92" xfId="8560" xr:uid="{00000000-0005-0000-0000-000094210000}"/>
    <cellStyle name="Normal 93" xfId="8561" xr:uid="{00000000-0005-0000-0000-000095210000}"/>
    <cellStyle name="Normal 94" xfId="8562" xr:uid="{00000000-0005-0000-0000-000096210000}"/>
    <cellStyle name="Normal 95" xfId="8563" xr:uid="{00000000-0005-0000-0000-000097210000}"/>
    <cellStyle name="Normal 96" xfId="8564" xr:uid="{00000000-0005-0000-0000-000098210000}"/>
    <cellStyle name="Normal 96 2" xfId="8565" xr:uid="{00000000-0005-0000-0000-000099210000}"/>
    <cellStyle name="Normal 97" xfId="8566" xr:uid="{00000000-0005-0000-0000-00009A210000}"/>
    <cellStyle name="Normal 98" xfId="8567" xr:uid="{00000000-0005-0000-0000-00009B210000}"/>
    <cellStyle name="Normal 99" xfId="8568" xr:uid="{00000000-0005-0000-0000-00009C210000}"/>
    <cellStyle name="Note 10" xfId="8569" xr:uid="{00000000-0005-0000-0000-00009D210000}"/>
    <cellStyle name="Note 10 2" xfId="8570" xr:uid="{00000000-0005-0000-0000-00009E210000}"/>
    <cellStyle name="Note 10 2 2" xfId="8571" xr:uid="{00000000-0005-0000-0000-00009F210000}"/>
    <cellStyle name="Note 10 3" xfId="8572" xr:uid="{00000000-0005-0000-0000-0000A0210000}"/>
    <cellStyle name="Note 11" xfId="8573" xr:uid="{00000000-0005-0000-0000-0000A1210000}"/>
    <cellStyle name="Note 11 2" xfId="8574" xr:uid="{00000000-0005-0000-0000-0000A2210000}"/>
    <cellStyle name="Note 11 2 2" xfId="8575" xr:uid="{00000000-0005-0000-0000-0000A3210000}"/>
    <cellStyle name="Note 11 3" xfId="8576" xr:uid="{00000000-0005-0000-0000-0000A4210000}"/>
    <cellStyle name="Note 12" xfId="8577" xr:uid="{00000000-0005-0000-0000-0000A5210000}"/>
    <cellStyle name="Note 12 2" xfId="8578" xr:uid="{00000000-0005-0000-0000-0000A6210000}"/>
    <cellStyle name="Note 12 2 2" xfId="8579" xr:uid="{00000000-0005-0000-0000-0000A7210000}"/>
    <cellStyle name="Note 12 3" xfId="8580" xr:uid="{00000000-0005-0000-0000-0000A8210000}"/>
    <cellStyle name="Note 12 3 2" xfId="8581" xr:uid="{00000000-0005-0000-0000-0000A9210000}"/>
    <cellStyle name="Note 12 4" xfId="8582" xr:uid="{00000000-0005-0000-0000-0000AA210000}"/>
    <cellStyle name="Note 13" xfId="8583" xr:uid="{00000000-0005-0000-0000-0000AB210000}"/>
    <cellStyle name="Note 13 2" xfId="8584" xr:uid="{00000000-0005-0000-0000-0000AC210000}"/>
    <cellStyle name="Note 14" xfId="8585" xr:uid="{00000000-0005-0000-0000-0000AD210000}"/>
    <cellStyle name="Note 2" xfId="8586" xr:uid="{00000000-0005-0000-0000-0000AE210000}"/>
    <cellStyle name="Note 2 2" xfId="8587" xr:uid="{00000000-0005-0000-0000-0000AF210000}"/>
    <cellStyle name="Note 2 2 2" xfId="8588" xr:uid="{00000000-0005-0000-0000-0000B0210000}"/>
    <cellStyle name="Note 2 2 3" xfId="8589" xr:uid="{00000000-0005-0000-0000-0000B1210000}"/>
    <cellStyle name="Note 2 2 4" xfId="8590" xr:uid="{00000000-0005-0000-0000-0000B2210000}"/>
    <cellStyle name="Note 2 3" xfId="8591" xr:uid="{00000000-0005-0000-0000-0000B3210000}"/>
    <cellStyle name="Note 2 3 2" xfId="8592" xr:uid="{00000000-0005-0000-0000-0000B4210000}"/>
    <cellStyle name="Note 2 4" xfId="8593" xr:uid="{00000000-0005-0000-0000-0000B5210000}"/>
    <cellStyle name="Note 2 4 2" xfId="8594" xr:uid="{00000000-0005-0000-0000-0000B6210000}"/>
    <cellStyle name="Note 2 5" xfId="8595" xr:uid="{00000000-0005-0000-0000-0000B7210000}"/>
    <cellStyle name="Note 2_AURORA Total New" xfId="8596" xr:uid="{00000000-0005-0000-0000-0000B8210000}"/>
    <cellStyle name="Note 3" xfId="8597" xr:uid="{00000000-0005-0000-0000-0000B9210000}"/>
    <cellStyle name="Note 3 2" xfId="8598" xr:uid="{00000000-0005-0000-0000-0000BA210000}"/>
    <cellStyle name="Note 3 2 2" xfId="8599" xr:uid="{00000000-0005-0000-0000-0000BB210000}"/>
    <cellStyle name="Note 3 3" xfId="8600" xr:uid="{00000000-0005-0000-0000-0000BC210000}"/>
    <cellStyle name="Note 3 4" xfId="8601" xr:uid="{00000000-0005-0000-0000-0000BD210000}"/>
    <cellStyle name="Note 4" xfId="8602" xr:uid="{00000000-0005-0000-0000-0000BE210000}"/>
    <cellStyle name="Note 4 2" xfId="8603" xr:uid="{00000000-0005-0000-0000-0000BF210000}"/>
    <cellStyle name="Note 4 2 2" xfId="8604" xr:uid="{00000000-0005-0000-0000-0000C0210000}"/>
    <cellStyle name="Note 4 3" xfId="8605" xr:uid="{00000000-0005-0000-0000-0000C1210000}"/>
    <cellStyle name="Note 4 4" xfId="8606" xr:uid="{00000000-0005-0000-0000-0000C2210000}"/>
    <cellStyle name="Note 5" xfId="8607" xr:uid="{00000000-0005-0000-0000-0000C3210000}"/>
    <cellStyle name="Note 5 2" xfId="8608" xr:uid="{00000000-0005-0000-0000-0000C4210000}"/>
    <cellStyle name="Note 5 2 2" xfId="8609" xr:uid="{00000000-0005-0000-0000-0000C5210000}"/>
    <cellStyle name="Note 5 3" xfId="8610" xr:uid="{00000000-0005-0000-0000-0000C6210000}"/>
    <cellStyle name="Note 5 4" xfId="8611" xr:uid="{00000000-0005-0000-0000-0000C7210000}"/>
    <cellStyle name="Note 6" xfId="8612" xr:uid="{00000000-0005-0000-0000-0000C8210000}"/>
    <cellStyle name="Note 6 2" xfId="8613" xr:uid="{00000000-0005-0000-0000-0000C9210000}"/>
    <cellStyle name="Note 6 2 2" xfId="8614" xr:uid="{00000000-0005-0000-0000-0000CA210000}"/>
    <cellStyle name="Note 6 3" xfId="8615" xr:uid="{00000000-0005-0000-0000-0000CB210000}"/>
    <cellStyle name="Note 6 4" xfId="8616" xr:uid="{00000000-0005-0000-0000-0000CC210000}"/>
    <cellStyle name="Note 7" xfId="8617" xr:uid="{00000000-0005-0000-0000-0000CD210000}"/>
    <cellStyle name="Note 7 2" xfId="8618" xr:uid="{00000000-0005-0000-0000-0000CE210000}"/>
    <cellStyle name="Note 7 2 2" xfId="8619" xr:uid="{00000000-0005-0000-0000-0000CF210000}"/>
    <cellStyle name="Note 7 3" xfId="8620" xr:uid="{00000000-0005-0000-0000-0000D0210000}"/>
    <cellStyle name="Note 7 4" xfId="8621" xr:uid="{00000000-0005-0000-0000-0000D1210000}"/>
    <cellStyle name="Note 8" xfId="8622" xr:uid="{00000000-0005-0000-0000-0000D2210000}"/>
    <cellStyle name="Note 8 2" xfId="8623" xr:uid="{00000000-0005-0000-0000-0000D3210000}"/>
    <cellStyle name="Note 8 2 2" xfId="8624" xr:uid="{00000000-0005-0000-0000-0000D4210000}"/>
    <cellStyle name="Note 8 3" xfId="8625" xr:uid="{00000000-0005-0000-0000-0000D5210000}"/>
    <cellStyle name="Note 8 4" xfId="8626" xr:uid="{00000000-0005-0000-0000-0000D6210000}"/>
    <cellStyle name="Note 9" xfId="8627" xr:uid="{00000000-0005-0000-0000-0000D7210000}"/>
    <cellStyle name="Note 9 2" xfId="8628" xr:uid="{00000000-0005-0000-0000-0000D8210000}"/>
    <cellStyle name="Note 9 2 2" xfId="8629" xr:uid="{00000000-0005-0000-0000-0000D9210000}"/>
    <cellStyle name="Note 9 3" xfId="8630" xr:uid="{00000000-0005-0000-0000-0000DA210000}"/>
    <cellStyle name="Note 9 4" xfId="8631" xr:uid="{00000000-0005-0000-0000-0000DB210000}"/>
    <cellStyle name="Output 2" xfId="8632" xr:uid="{00000000-0005-0000-0000-0000DC210000}"/>
    <cellStyle name="Output 2 2" xfId="8633" xr:uid="{00000000-0005-0000-0000-0000DD210000}"/>
    <cellStyle name="Output 2 2 2" xfId="8634" xr:uid="{00000000-0005-0000-0000-0000DE210000}"/>
    <cellStyle name="Output 2 2 3" xfId="8635" xr:uid="{00000000-0005-0000-0000-0000DF210000}"/>
    <cellStyle name="Output 2 3" xfId="8636" xr:uid="{00000000-0005-0000-0000-0000E0210000}"/>
    <cellStyle name="Output 2 4" xfId="8637" xr:uid="{00000000-0005-0000-0000-0000E1210000}"/>
    <cellStyle name="Output 3" xfId="8638" xr:uid="{00000000-0005-0000-0000-0000E2210000}"/>
    <cellStyle name="Output 3 2" xfId="8639" xr:uid="{00000000-0005-0000-0000-0000E3210000}"/>
    <cellStyle name="Output 3 3" xfId="8640" xr:uid="{00000000-0005-0000-0000-0000E4210000}"/>
    <cellStyle name="Output 3 4" xfId="8641" xr:uid="{00000000-0005-0000-0000-0000E5210000}"/>
    <cellStyle name="Output 4" xfId="8642" xr:uid="{00000000-0005-0000-0000-0000E6210000}"/>
    <cellStyle name="Output 5" xfId="8643" xr:uid="{00000000-0005-0000-0000-0000E7210000}"/>
    <cellStyle name="Output 6" xfId="8644" xr:uid="{00000000-0005-0000-0000-0000E8210000}"/>
    <cellStyle name="Percen - Style1" xfId="8645" xr:uid="{00000000-0005-0000-0000-0000E9210000}"/>
    <cellStyle name="Percen - Style1 2" xfId="8646" xr:uid="{00000000-0005-0000-0000-0000EA210000}"/>
    <cellStyle name="Percen - Style2" xfId="8647" xr:uid="{00000000-0005-0000-0000-0000EB210000}"/>
    <cellStyle name="Percen - Style2 2" xfId="8648" xr:uid="{00000000-0005-0000-0000-0000EC210000}"/>
    <cellStyle name="Percen - Style2 3" xfId="8649" xr:uid="{00000000-0005-0000-0000-0000ED210000}"/>
    <cellStyle name="Percen - Style3" xfId="8650" xr:uid="{00000000-0005-0000-0000-0000EE210000}"/>
    <cellStyle name="Percen - Style3 2" xfId="8651" xr:uid="{00000000-0005-0000-0000-0000EF210000}"/>
    <cellStyle name="Percen - Style3 2 2" xfId="8652" xr:uid="{00000000-0005-0000-0000-0000F0210000}"/>
    <cellStyle name="Percen - Style3 3" xfId="8653" xr:uid="{00000000-0005-0000-0000-0000F1210000}"/>
    <cellStyle name="Percen - Style3 4" xfId="8654" xr:uid="{00000000-0005-0000-0000-0000F2210000}"/>
    <cellStyle name="Percen - Style3_ACCOUNTS" xfId="8655" xr:uid="{00000000-0005-0000-0000-0000F3210000}"/>
    <cellStyle name="Percent" xfId="3" builtinId="5"/>
    <cellStyle name="Percent (0)" xfId="8656" xr:uid="{00000000-0005-0000-0000-0000F5210000}"/>
    <cellStyle name="Percent [2]" xfId="8657" xr:uid="{00000000-0005-0000-0000-0000F6210000}"/>
    <cellStyle name="Percent [2] 2" xfId="8658" xr:uid="{00000000-0005-0000-0000-0000F7210000}"/>
    <cellStyle name="Percent [2] 2 2" xfId="8659" xr:uid="{00000000-0005-0000-0000-0000F8210000}"/>
    <cellStyle name="Percent [2] 2 2 2" xfId="8660" xr:uid="{00000000-0005-0000-0000-0000F9210000}"/>
    <cellStyle name="Percent [2] 2 3" xfId="8661" xr:uid="{00000000-0005-0000-0000-0000FA210000}"/>
    <cellStyle name="Percent [2] 3" xfId="8662" xr:uid="{00000000-0005-0000-0000-0000FB210000}"/>
    <cellStyle name="Percent [2] 3 2" xfId="8663" xr:uid="{00000000-0005-0000-0000-0000FC210000}"/>
    <cellStyle name="Percent [2] 3 2 2" xfId="8664" xr:uid="{00000000-0005-0000-0000-0000FD210000}"/>
    <cellStyle name="Percent [2] 3 3" xfId="8665" xr:uid="{00000000-0005-0000-0000-0000FE210000}"/>
    <cellStyle name="Percent [2] 3 3 2" xfId="8666" xr:uid="{00000000-0005-0000-0000-0000FF210000}"/>
    <cellStyle name="Percent [2] 3 4" xfId="8667" xr:uid="{00000000-0005-0000-0000-000000220000}"/>
    <cellStyle name="Percent [2] 3 4 2" xfId="8668" xr:uid="{00000000-0005-0000-0000-000001220000}"/>
    <cellStyle name="Percent [2] 4" xfId="8669" xr:uid="{00000000-0005-0000-0000-000002220000}"/>
    <cellStyle name="Percent [2] 4 2" xfId="8670" xr:uid="{00000000-0005-0000-0000-000003220000}"/>
    <cellStyle name="Percent [2] 5" xfId="8671" xr:uid="{00000000-0005-0000-0000-000004220000}"/>
    <cellStyle name="Percent [2] 6" xfId="8672" xr:uid="{00000000-0005-0000-0000-000005220000}"/>
    <cellStyle name="Percent [2] 7" xfId="8673" xr:uid="{00000000-0005-0000-0000-000006220000}"/>
    <cellStyle name="Percent 10" xfId="8674" xr:uid="{00000000-0005-0000-0000-000007220000}"/>
    <cellStyle name="Percent 10 2" xfId="8675" xr:uid="{00000000-0005-0000-0000-000008220000}"/>
    <cellStyle name="Percent 10 3" xfId="8676" xr:uid="{00000000-0005-0000-0000-000009220000}"/>
    <cellStyle name="Percent 10 3 2" xfId="8677" xr:uid="{00000000-0005-0000-0000-00000A220000}"/>
    <cellStyle name="Percent 10 4" xfId="8678" xr:uid="{00000000-0005-0000-0000-00000B220000}"/>
    <cellStyle name="Percent 100" xfId="8679" xr:uid="{00000000-0005-0000-0000-00000C220000}"/>
    <cellStyle name="Percent 101" xfId="8680" xr:uid="{00000000-0005-0000-0000-00000D220000}"/>
    <cellStyle name="Percent 102" xfId="8681" xr:uid="{00000000-0005-0000-0000-00000E220000}"/>
    <cellStyle name="Percent 103" xfId="8682" xr:uid="{00000000-0005-0000-0000-00000F220000}"/>
    <cellStyle name="Percent 104" xfId="8683" xr:uid="{00000000-0005-0000-0000-000010220000}"/>
    <cellStyle name="Percent 105" xfId="8684" xr:uid="{00000000-0005-0000-0000-000011220000}"/>
    <cellStyle name="Percent 106" xfId="8685" xr:uid="{00000000-0005-0000-0000-000012220000}"/>
    <cellStyle name="Percent 107" xfId="8686" xr:uid="{00000000-0005-0000-0000-000013220000}"/>
    <cellStyle name="Percent 108" xfId="8687" xr:uid="{00000000-0005-0000-0000-000014220000}"/>
    <cellStyle name="Percent 109" xfId="8688" xr:uid="{00000000-0005-0000-0000-000015220000}"/>
    <cellStyle name="Percent 11" xfId="8689" xr:uid="{00000000-0005-0000-0000-000016220000}"/>
    <cellStyle name="Percent 11 2" xfId="8690" xr:uid="{00000000-0005-0000-0000-000017220000}"/>
    <cellStyle name="Percent 11 2 2" xfId="8691" xr:uid="{00000000-0005-0000-0000-000018220000}"/>
    <cellStyle name="Percent 11 3" xfId="8692" xr:uid="{00000000-0005-0000-0000-000019220000}"/>
    <cellStyle name="Percent 11 3 2" xfId="8693" xr:uid="{00000000-0005-0000-0000-00001A220000}"/>
    <cellStyle name="Percent 11 4" xfId="8694" xr:uid="{00000000-0005-0000-0000-00001B220000}"/>
    <cellStyle name="Percent 11 4 2" xfId="8695" xr:uid="{00000000-0005-0000-0000-00001C220000}"/>
    <cellStyle name="Percent 11 5" xfId="8696" xr:uid="{00000000-0005-0000-0000-00001D220000}"/>
    <cellStyle name="Percent 110" xfId="8697" xr:uid="{00000000-0005-0000-0000-00001E220000}"/>
    <cellStyle name="Percent 111" xfId="8698" xr:uid="{00000000-0005-0000-0000-00001F220000}"/>
    <cellStyle name="Percent 112" xfId="8699" xr:uid="{00000000-0005-0000-0000-000020220000}"/>
    <cellStyle name="Percent 113" xfId="8700" xr:uid="{00000000-0005-0000-0000-000021220000}"/>
    <cellStyle name="Percent 114" xfId="8701" xr:uid="{00000000-0005-0000-0000-000022220000}"/>
    <cellStyle name="Percent 115" xfId="8702" xr:uid="{00000000-0005-0000-0000-000023220000}"/>
    <cellStyle name="Percent 116" xfId="8703" xr:uid="{00000000-0005-0000-0000-000024220000}"/>
    <cellStyle name="Percent 117" xfId="8704" xr:uid="{00000000-0005-0000-0000-000025220000}"/>
    <cellStyle name="Percent 118" xfId="8705" xr:uid="{00000000-0005-0000-0000-000026220000}"/>
    <cellStyle name="Percent 119" xfId="8706" xr:uid="{00000000-0005-0000-0000-000027220000}"/>
    <cellStyle name="Percent 12" xfId="8707" xr:uid="{00000000-0005-0000-0000-000028220000}"/>
    <cellStyle name="Percent 12 2" xfId="8708" xr:uid="{00000000-0005-0000-0000-000029220000}"/>
    <cellStyle name="Percent 12 2 2" xfId="8709" xr:uid="{00000000-0005-0000-0000-00002A220000}"/>
    <cellStyle name="Percent 12 2 2 2" xfId="8710" xr:uid="{00000000-0005-0000-0000-00002B220000}"/>
    <cellStyle name="Percent 12 2 3" xfId="8711" xr:uid="{00000000-0005-0000-0000-00002C220000}"/>
    <cellStyle name="Percent 12 3" xfId="8712" xr:uid="{00000000-0005-0000-0000-00002D220000}"/>
    <cellStyle name="Percent 12 3 2" xfId="8713" xr:uid="{00000000-0005-0000-0000-00002E220000}"/>
    <cellStyle name="Percent 12 4" xfId="8714" xr:uid="{00000000-0005-0000-0000-00002F220000}"/>
    <cellStyle name="Percent 12 4 2" xfId="8715" xr:uid="{00000000-0005-0000-0000-000030220000}"/>
    <cellStyle name="Percent 12 5" xfId="8716" xr:uid="{00000000-0005-0000-0000-000031220000}"/>
    <cellStyle name="Percent 12 5 2" xfId="8717" xr:uid="{00000000-0005-0000-0000-000032220000}"/>
    <cellStyle name="Percent 120" xfId="8718" xr:uid="{00000000-0005-0000-0000-000033220000}"/>
    <cellStyle name="Percent 121" xfId="9516" xr:uid="{00000000-0005-0000-0000-000034220000}"/>
    <cellStyle name="Percent 122" xfId="9511" xr:uid="{00000000-0005-0000-0000-000035220000}"/>
    <cellStyle name="Percent 123" xfId="9508" xr:uid="{00000000-0005-0000-0000-000036220000}"/>
    <cellStyle name="Percent 124" xfId="9509" xr:uid="{00000000-0005-0000-0000-000037220000}"/>
    <cellStyle name="Percent 125" xfId="9541" xr:uid="{00000000-0005-0000-0000-000038220000}"/>
    <cellStyle name="Percent 13" xfId="8719" xr:uid="{00000000-0005-0000-0000-000039220000}"/>
    <cellStyle name="Percent 13 2" xfId="8720" xr:uid="{00000000-0005-0000-0000-00003A220000}"/>
    <cellStyle name="Percent 13 2 2" xfId="8721" xr:uid="{00000000-0005-0000-0000-00003B220000}"/>
    <cellStyle name="Percent 13 2 3" xfId="8722" xr:uid="{00000000-0005-0000-0000-00003C220000}"/>
    <cellStyle name="Percent 13 3" xfId="8723" xr:uid="{00000000-0005-0000-0000-00003D220000}"/>
    <cellStyle name="Percent 13 3 2" xfId="8724" xr:uid="{00000000-0005-0000-0000-00003E220000}"/>
    <cellStyle name="Percent 13 4" xfId="8725" xr:uid="{00000000-0005-0000-0000-00003F220000}"/>
    <cellStyle name="Percent 13 5" xfId="8726" xr:uid="{00000000-0005-0000-0000-000040220000}"/>
    <cellStyle name="Percent 13 6" xfId="8727" xr:uid="{00000000-0005-0000-0000-000041220000}"/>
    <cellStyle name="Percent 14" xfId="8728" xr:uid="{00000000-0005-0000-0000-000042220000}"/>
    <cellStyle name="Percent 14 2" xfId="8729" xr:uid="{00000000-0005-0000-0000-000043220000}"/>
    <cellStyle name="Percent 14 2 2" xfId="8730" xr:uid="{00000000-0005-0000-0000-000044220000}"/>
    <cellStyle name="Percent 14 3" xfId="8731" xr:uid="{00000000-0005-0000-0000-000045220000}"/>
    <cellStyle name="Percent 14 4" xfId="8732" xr:uid="{00000000-0005-0000-0000-000046220000}"/>
    <cellStyle name="Percent 14 4 2" xfId="8733" xr:uid="{00000000-0005-0000-0000-000047220000}"/>
    <cellStyle name="Percent 14 5" xfId="8734" xr:uid="{00000000-0005-0000-0000-000048220000}"/>
    <cellStyle name="Percent 15" xfId="8735" xr:uid="{00000000-0005-0000-0000-000049220000}"/>
    <cellStyle name="Percent 15 2" xfId="8736" xr:uid="{00000000-0005-0000-0000-00004A220000}"/>
    <cellStyle name="Percent 15 2 2" xfId="8737" xr:uid="{00000000-0005-0000-0000-00004B220000}"/>
    <cellStyle name="Percent 15 2 3" xfId="8738" xr:uid="{00000000-0005-0000-0000-00004C220000}"/>
    <cellStyle name="Percent 15 2 4" xfId="8739" xr:uid="{00000000-0005-0000-0000-00004D220000}"/>
    <cellStyle name="Percent 15 3" xfId="8740" xr:uid="{00000000-0005-0000-0000-00004E220000}"/>
    <cellStyle name="Percent 15 3 2" xfId="8741" xr:uid="{00000000-0005-0000-0000-00004F220000}"/>
    <cellStyle name="Percent 15 4" xfId="8742" xr:uid="{00000000-0005-0000-0000-000050220000}"/>
    <cellStyle name="Percent 15 4 2" xfId="8743" xr:uid="{00000000-0005-0000-0000-000051220000}"/>
    <cellStyle name="Percent 15 5" xfId="8744" xr:uid="{00000000-0005-0000-0000-000052220000}"/>
    <cellStyle name="Percent 15 6" xfId="8745" xr:uid="{00000000-0005-0000-0000-000053220000}"/>
    <cellStyle name="Percent 16" xfId="8746" xr:uid="{00000000-0005-0000-0000-000054220000}"/>
    <cellStyle name="Percent 16 2" xfId="8747" xr:uid="{00000000-0005-0000-0000-000055220000}"/>
    <cellStyle name="Percent 16 2 2" xfId="8748" xr:uid="{00000000-0005-0000-0000-000056220000}"/>
    <cellStyle name="Percent 16 3" xfId="8749" xr:uid="{00000000-0005-0000-0000-000057220000}"/>
    <cellStyle name="Percent 16 3 2" xfId="8750" xr:uid="{00000000-0005-0000-0000-000058220000}"/>
    <cellStyle name="Percent 16 4" xfId="8751" xr:uid="{00000000-0005-0000-0000-000059220000}"/>
    <cellStyle name="Percent 16 4 2" xfId="8752" xr:uid="{00000000-0005-0000-0000-00005A220000}"/>
    <cellStyle name="Percent 17" xfId="8753" xr:uid="{00000000-0005-0000-0000-00005B220000}"/>
    <cellStyle name="Percent 17 2" xfId="8754" xr:uid="{00000000-0005-0000-0000-00005C220000}"/>
    <cellStyle name="Percent 17 2 2" xfId="8755" xr:uid="{00000000-0005-0000-0000-00005D220000}"/>
    <cellStyle name="Percent 17 2 3" xfId="8756" xr:uid="{00000000-0005-0000-0000-00005E220000}"/>
    <cellStyle name="Percent 17 3" xfId="8757" xr:uid="{00000000-0005-0000-0000-00005F220000}"/>
    <cellStyle name="Percent 17 3 2" xfId="8758" xr:uid="{00000000-0005-0000-0000-000060220000}"/>
    <cellStyle name="Percent 17 4" xfId="8759" xr:uid="{00000000-0005-0000-0000-000061220000}"/>
    <cellStyle name="Percent 17 4 2" xfId="8760" xr:uid="{00000000-0005-0000-0000-000062220000}"/>
    <cellStyle name="Percent 18" xfId="8761" xr:uid="{00000000-0005-0000-0000-000063220000}"/>
    <cellStyle name="Percent 18 2" xfId="8762" xr:uid="{00000000-0005-0000-0000-000064220000}"/>
    <cellStyle name="Percent 18 2 2" xfId="8763" xr:uid="{00000000-0005-0000-0000-000065220000}"/>
    <cellStyle name="Percent 18 3" xfId="8764" xr:uid="{00000000-0005-0000-0000-000066220000}"/>
    <cellStyle name="Percent 18 3 2" xfId="8765" xr:uid="{00000000-0005-0000-0000-000067220000}"/>
    <cellStyle name="Percent 18 4" xfId="8766" xr:uid="{00000000-0005-0000-0000-000068220000}"/>
    <cellStyle name="Percent 18 4 2" xfId="8767" xr:uid="{00000000-0005-0000-0000-000069220000}"/>
    <cellStyle name="Percent 18 5" xfId="8768" xr:uid="{00000000-0005-0000-0000-00006A220000}"/>
    <cellStyle name="Percent 19" xfId="8769" xr:uid="{00000000-0005-0000-0000-00006B220000}"/>
    <cellStyle name="Percent 19 2" xfId="8770" xr:uid="{00000000-0005-0000-0000-00006C220000}"/>
    <cellStyle name="Percent 19 2 2" xfId="8771" xr:uid="{00000000-0005-0000-0000-00006D220000}"/>
    <cellStyle name="Percent 19 3" xfId="8772" xr:uid="{00000000-0005-0000-0000-00006E220000}"/>
    <cellStyle name="Percent 19 3 2" xfId="8773" xr:uid="{00000000-0005-0000-0000-00006F220000}"/>
    <cellStyle name="Percent 19 4" xfId="8774" xr:uid="{00000000-0005-0000-0000-000070220000}"/>
    <cellStyle name="Percent 19 4 2" xfId="8775" xr:uid="{00000000-0005-0000-0000-000071220000}"/>
    <cellStyle name="Percent 2" xfId="8776" xr:uid="{00000000-0005-0000-0000-000072220000}"/>
    <cellStyle name="Percent 2 2" xfId="8777" xr:uid="{00000000-0005-0000-0000-000073220000}"/>
    <cellStyle name="Percent 2 2 2" xfId="8778" xr:uid="{00000000-0005-0000-0000-000074220000}"/>
    <cellStyle name="Percent 2 2 2 2" xfId="8779" xr:uid="{00000000-0005-0000-0000-000075220000}"/>
    <cellStyle name="Percent 2 2 3" xfId="8780" xr:uid="{00000000-0005-0000-0000-000076220000}"/>
    <cellStyle name="Percent 2 2 4" xfId="8781" xr:uid="{00000000-0005-0000-0000-000077220000}"/>
    <cellStyle name="Percent 2 2 5" xfId="9525" xr:uid="{00000000-0005-0000-0000-000078220000}"/>
    <cellStyle name="Percent 2 3" xfId="8782" xr:uid="{00000000-0005-0000-0000-000079220000}"/>
    <cellStyle name="Percent 2 3 2" xfId="8783" xr:uid="{00000000-0005-0000-0000-00007A220000}"/>
    <cellStyle name="Percent 2 3 3" xfId="8784" xr:uid="{00000000-0005-0000-0000-00007B220000}"/>
    <cellStyle name="Percent 2 3 4" xfId="8785" xr:uid="{00000000-0005-0000-0000-00007C220000}"/>
    <cellStyle name="Percent 2 4" xfId="8786" xr:uid="{00000000-0005-0000-0000-00007D220000}"/>
    <cellStyle name="Percent 2 4 2" xfId="8787" xr:uid="{00000000-0005-0000-0000-00007E220000}"/>
    <cellStyle name="Percent 2 5" xfId="8788" xr:uid="{00000000-0005-0000-0000-00007F220000}"/>
    <cellStyle name="Percent 2 6" xfId="8789" xr:uid="{00000000-0005-0000-0000-000080220000}"/>
    <cellStyle name="Percent 20" xfId="8790" xr:uid="{00000000-0005-0000-0000-000081220000}"/>
    <cellStyle name="Percent 20 2" xfId="8791" xr:uid="{00000000-0005-0000-0000-000082220000}"/>
    <cellStyle name="Percent 20 2 2" xfId="8792" xr:uid="{00000000-0005-0000-0000-000083220000}"/>
    <cellStyle name="Percent 20 2 3" xfId="8793" xr:uid="{00000000-0005-0000-0000-000084220000}"/>
    <cellStyle name="Percent 20 2 4" xfId="8794" xr:uid="{00000000-0005-0000-0000-000085220000}"/>
    <cellStyle name="Percent 20 3" xfId="8795" xr:uid="{00000000-0005-0000-0000-000086220000}"/>
    <cellStyle name="Percent 20 4" xfId="8796" xr:uid="{00000000-0005-0000-0000-000087220000}"/>
    <cellStyle name="Percent 20 5" xfId="8797" xr:uid="{00000000-0005-0000-0000-000088220000}"/>
    <cellStyle name="Percent 21" xfId="8798" xr:uid="{00000000-0005-0000-0000-000089220000}"/>
    <cellStyle name="Percent 21 2" xfId="8799" xr:uid="{00000000-0005-0000-0000-00008A220000}"/>
    <cellStyle name="Percent 21 3" xfId="8800" xr:uid="{00000000-0005-0000-0000-00008B220000}"/>
    <cellStyle name="Percent 22" xfId="8801" xr:uid="{00000000-0005-0000-0000-00008C220000}"/>
    <cellStyle name="Percent 22 2" xfId="8802" xr:uid="{00000000-0005-0000-0000-00008D220000}"/>
    <cellStyle name="Percent 22 3" xfId="8803" xr:uid="{00000000-0005-0000-0000-00008E220000}"/>
    <cellStyle name="Percent 22 3 2" xfId="8804" xr:uid="{00000000-0005-0000-0000-00008F220000}"/>
    <cellStyle name="Percent 22 4" xfId="8805" xr:uid="{00000000-0005-0000-0000-000090220000}"/>
    <cellStyle name="Percent 23" xfId="8806" xr:uid="{00000000-0005-0000-0000-000091220000}"/>
    <cellStyle name="Percent 23 2" xfId="8807" xr:uid="{00000000-0005-0000-0000-000092220000}"/>
    <cellStyle name="Percent 23 3" xfId="8808" xr:uid="{00000000-0005-0000-0000-000093220000}"/>
    <cellStyle name="Percent 23 3 2" xfId="8809" xr:uid="{00000000-0005-0000-0000-000094220000}"/>
    <cellStyle name="Percent 23 4" xfId="8810" xr:uid="{00000000-0005-0000-0000-000095220000}"/>
    <cellStyle name="Percent 24" xfId="8811" xr:uid="{00000000-0005-0000-0000-000096220000}"/>
    <cellStyle name="Percent 24 2" xfId="8812" xr:uid="{00000000-0005-0000-0000-000097220000}"/>
    <cellStyle name="Percent 24 2 2" xfId="8813" xr:uid="{00000000-0005-0000-0000-000098220000}"/>
    <cellStyle name="Percent 24 3" xfId="8814" xr:uid="{00000000-0005-0000-0000-000099220000}"/>
    <cellStyle name="Percent 24 3 2" xfId="8815" xr:uid="{00000000-0005-0000-0000-00009A220000}"/>
    <cellStyle name="Percent 24 4" xfId="8816" xr:uid="{00000000-0005-0000-0000-00009B220000}"/>
    <cellStyle name="Percent 24 4 2" xfId="8817" xr:uid="{00000000-0005-0000-0000-00009C220000}"/>
    <cellStyle name="Percent 24 5" xfId="8818" xr:uid="{00000000-0005-0000-0000-00009D220000}"/>
    <cellStyle name="Percent 25" xfId="8819" xr:uid="{00000000-0005-0000-0000-00009E220000}"/>
    <cellStyle name="Percent 25 2" xfId="8820" xr:uid="{00000000-0005-0000-0000-00009F220000}"/>
    <cellStyle name="Percent 25 2 2" xfId="8821" xr:uid="{00000000-0005-0000-0000-0000A0220000}"/>
    <cellStyle name="Percent 25 3" xfId="8822" xr:uid="{00000000-0005-0000-0000-0000A1220000}"/>
    <cellStyle name="Percent 26" xfId="8823" xr:uid="{00000000-0005-0000-0000-0000A2220000}"/>
    <cellStyle name="Percent 26 2" xfId="8824" xr:uid="{00000000-0005-0000-0000-0000A3220000}"/>
    <cellStyle name="Percent 27" xfId="8825" xr:uid="{00000000-0005-0000-0000-0000A4220000}"/>
    <cellStyle name="Percent 27 2" xfId="8826" xr:uid="{00000000-0005-0000-0000-0000A5220000}"/>
    <cellStyle name="Percent 28" xfId="8827" xr:uid="{00000000-0005-0000-0000-0000A6220000}"/>
    <cellStyle name="Percent 28 2" xfId="8828" xr:uid="{00000000-0005-0000-0000-0000A7220000}"/>
    <cellStyle name="Percent 29" xfId="8829" xr:uid="{00000000-0005-0000-0000-0000A8220000}"/>
    <cellStyle name="Percent 29 2" xfId="8830" xr:uid="{00000000-0005-0000-0000-0000A9220000}"/>
    <cellStyle name="Percent 3" xfId="8831" xr:uid="{00000000-0005-0000-0000-0000AA220000}"/>
    <cellStyle name="Percent 3 2" xfId="8832" xr:uid="{00000000-0005-0000-0000-0000AB220000}"/>
    <cellStyle name="Percent 3 2 2" xfId="8833" xr:uid="{00000000-0005-0000-0000-0000AC220000}"/>
    <cellStyle name="Percent 3 2 2 2" xfId="8834" xr:uid="{00000000-0005-0000-0000-0000AD220000}"/>
    <cellStyle name="Percent 3 2 3" xfId="8835" xr:uid="{00000000-0005-0000-0000-0000AE220000}"/>
    <cellStyle name="Percent 3 2 4" xfId="9524" xr:uid="{00000000-0005-0000-0000-0000AF220000}"/>
    <cellStyle name="Percent 3 3" xfId="8836" xr:uid="{00000000-0005-0000-0000-0000B0220000}"/>
    <cellStyle name="Percent 3 3 2" xfId="8837" xr:uid="{00000000-0005-0000-0000-0000B1220000}"/>
    <cellStyle name="Percent 3 3 3" xfId="9523" xr:uid="{00000000-0005-0000-0000-0000B2220000}"/>
    <cellStyle name="Percent 3 4" xfId="8838" xr:uid="{00000000-0005-0000-0000-0000B3220000}"/>
    <cellStyle name="Percent 3 5" xfId="8839" xr:uid="{00000000-0005-0000-0000-0000B4220000}"/>
    <cellStyle name="Percent 30" xfId="8840" xr:uid="{00000000-0005-0000-0000-0000B5220000}"/>
    <cellStyle name="Percent 30 2" xfId="8841" xr:uid="{00000000-0005-0000-0000-0000B6220000}"/>
    <cellStyle name="Percent 31" xfId="8842" xr:uid="{00000000-0005-0000-0000-0000B7220000}"/>
    <cellStyle name="Percent 31 2" xfId="8843" xr:uid="{00000000-0005-0000-0000-0000B8220000}"/>
    <cellStyle name="Percent 32" xfId="8844" xr:uid="{00000000-0005-0000-0000-0000B9220000}"/>
    <cellStyle name="Percent 32 2" xfId="8845" xr:uid="{00000000-0005-0000-0000-0000BA220000}"/>
    <cellStyle name="Percent 33" xfId="8846" xr:uid="{00000000-0005-0000-0000-0000BB220000}"/>
    <cellStyle name="Percent 33 2" xfId="8847" xr:uid="{00000000-0005-0000-0000-0000BC220000}"/>
    <cellStyle name="Percent 34" xfId="8848" xr:uid="{00000000-0005-0000-0000-0000BD220000}"/>
    <cellStyle name="Percent 34 2" xfId="8849" xr:uid="{00000000-0005-0000-0000-0000BE220000}"/>
    <cellStyle name="Percent 35" xfId="8850" xr:uid="{00000000-0005-0000-0000-0000BF220000}"/>
    <cellStyle name="Percent 35 2" xfId="8851" xr:uid="{00000000-0005-0000-0000-0000C0220000}"/>
    <cellStyle name="Percent 36" xfId="8852" xr:uid="{00000000-0005-0000-0000-0000C1220000}"/>
    <cellStyle name="Percent 36 2" xfId="8853" xr:uid="{00000000-0005-0000-0000-0000C2220000}"/>
    <cellStyle name="Percent 37" xfId="8854" xr:uid="{00000000-0005-0000-0000-0000C3220000}"/>
    <cellStyle name="Percent 37 2" xfId="8855" xr:uid="{00000000-0005-0000-0000-0000C4220000}"/>
    <cellStyle name="Percent 38" xfId="8856" xr:uid="{00000000-0005-0000-0000-0000C5220000}"/>
    <cellStyle name="Percent 38 2" xfId="8857" xr:uid="{00000000-0005-0000-0000-0000C6220000}"/>
    <cellStyle name="Percent 39" xfId="8858" xr:uid="{00000000-0005-0000-0000-0000C7220000}"/>
    <cellStyle name="Percent 39 2" xfId="8859" xr:uid="{00000000-0005-0000-0000-0000C8220000}"/>
    <cellStyle name="Percent 4" xfId="8860" xr:uid="{00000000-0005-0000-0000-0000C9220000}"/>
    <cellStyle name="Percent 4 2" xfId="8861" xr:uid="{00000000-0005-0000-0000-0000CA220000}"/>
    <cellStyle name="Percent 4 2 2" xfId="8862" xr:uid="{00000000-0005-0000-0000-0000CB220000}"/>
    <cellStyle name="Percent 4 2 3" xfId="8863" xr:uid="{00000000-0005-0000-0000-0000CC220000}"/>
    <cellStyle name="Percent 4 2 3 2" xfId="8864" xr:uid="{00000000-0005-0000-0000-0000CD220000}"/>
    <cellStyle name="Percent 4 2 4" xfId="8865" xr:uid="{00000000-0005-0000-0000-0000CE220000}"/>
    <cellStyle name="Percent 4 2 5" xfId="8866" xr:uid="{00000000-0005-0000-0000-0000CF220000}"/>
    <cellStyle name="Percent 4 3" xfId="8867" xr:uid="{00000000-0005-0000-0000-0000D0220000}"/>
    <cellStyle name="Percent 4 3 2" xfId="8868" xr:uid="{00000000-0005-0000-0000-0000D1220000}"/>
    <cellStyle name="Percent 4 4" xfId="8869" xr:uid="{00000000-0005-0000-0000-0000D2220000}"/>
    <cellStyle name="Percent 4 5" xfId="8870" xr:uid="{00000000-0005-0000-0000-0000D3220000}"/>
    <cellStyle name="Percent 40" xfId="8871" xr:uid="{00000000-0005-0000-0000-0000D4220000}"/>
    <cellStyle name="Percent 40 2" xfId="8872" xr:uid="{00000000-0005-0000-0000-0000D5220000}"/>
    <cellStyle name="Percent 41" xfId="8873" xr:uid="{00000000-0005-0000-0000-0000D6220000}"/>
    <cellStyle name="Percent 41 2" xfId="8874" xr:uid="{00000000-0005-0000-0000-0000D7220000}"/>
    <cellStyle name="Percent 42" xfId="8875" xr:uid="{00000000-0005-0000-0000-0000D8220000}"/>
    <cellStyle name="Percent 42 2" xfId="8876" xr:uid="{00000000-0005-0000-0000-0000D9220000}"/>
    <cellStyle name="Percent 43" xfId="8877" xr:uid="{00000000-0005-0000-0000-0000DA220000}"/>
    <cellStyle name="Percent 43 2" xfId="8878" xr:uid="{00000000-0005-0000-0000-0000DB220000}"/>
    <cellStyle name="Percent 44" xfId="8879" xr:uid="{00000000-0005-0000-0000-0000DC220000}"/>
    <cellStyle name="Percent 44 2" xfId="8880" xr:uid="{00000000-0005-0000-0000-0000DD220000}"/>
    <cellStyle name="Percent 45" xfId="8881" xr:uid="{00000000-0005-0000-0000-0000DE220000}"/>
    <cellStyle name="Percent 45 2" xfId="8882" xr:uid="{00000000-0005-0000-0000-0000DF220000}"/>
    <cellStyle name="Percent 46" xfId="8883" xr:uid="{00000000-0005-0000-0000-0000E0220000}"/>
    <cellStyle name="Percent 47" xfId="8884" xr:uid="{00000000-0005-0000-0000-0000E1220000}"/>
    <cellStyle name="Percent 48" xfId="8885" xr:uid="{00000000-0005-0000-0000-0000E2220000}"/>
    <cellStyle name="Percent 49" xfId="8886" xr:uid="{00000000-0005-0000-0000-0000E3220000}"/>
    <cellStyle name="Percent 5" xfId="8887" xr:uid="{00000000-0005-0000-0000-0000E4220000}"/>
    <cellStyle name="Percent 5 2" xfId="8888" xr:uid="{00000000-0005-0000-0000-0000E5220000}"/>
    <cellStyle name="Percent 5 2 2" xfId="8889" xr:uid="{00000000-0005-0000-0000-0000E6220000}"/>
    <cellStyle name="Percent 5 3" xfId="8890" xr:uid="{00000000-0005-0000-0000-0000E7220000}"/>
    <cellStyle name="Percent 5 4" xfId="8891" xr:uid="{00000000-0005-0000-0000-0000E8220000}"/>
    <cellStyle name="Percent 5 5" xfId="9522" xr:uid="{00000000-0005-0000-0000-0000E9220000}"/>
    <cellStyle name="Percent 50" xfId="8892" xr:uid="{00000000-0005-0000-0000-0000EA220000}"/>
    <cellStyle name="Percent 51" xfId="8893" xr:uid="{00000000-0005-0000-0000-0000EB220000}"/>
    <cellStyle name="Percent 52" xfId="8894" xr:uid="{00000000-0005-0000-0000-0000EC220000}"/>
    <cellStyle name="Percent 53" xfId="8895" xr:uid="{00000000-0005-0000-0000-0000ED220000}"/>
    <cellStyle name="Percent 54" xfId="8896" xr:uid="{00000000-0005-0000-0000-0000EE220000}"/>
    <cellStyle name="Percent 55" xfId="8897" xr:uid="{00000000-0005-0000-0000-0000EF220000}"/>
    <cellStyle name="Percent 56" xfId="8898" xr:uid="{00000000-0005-0000-0000-0000F0220000}"/>
    <cellStyle name="Percent 57" xfId="8899" xr:uid="{00000000-0005-0000-0000-0000F1220000}"/>
    <cellStyle name="Percent 58" xfId="8900" xr:uid="{00000000-0005-0000-0000-0000F2220000}"/>
    <cellStyle name="Percent 59" xfId="8901" xr:uid="{00000000-0005-0000-0000-0000F3220000}"/>
    <cellStyle name="Percent 6" xfId="8902" xr:uid="{00000000-0005-0000-0000-0000F4220000}"/>
    <cellStyle name="Percent 6 2" xfId="8903" xr:uid="{00000000-0005-0000-0000-0000F5220000}"/>
    <cellStyle name="Percent 6 2 2" xfId="8904" xr:uid="{00000000-0005-0000-0000-0000F6220000}"/>
    <cellStyle name="Percent 6 2 2 2" xfId="8905" xr:uid="{00000000-0005-0000-0000-0000F7220000}"/>
    <cellStyle name="Percent 6 2 3" xfId="8906" xr:uid="{00000000-0005-0000-0000-0000F8220000}"/>
    <cellStyle name="Percent 6 3" xfId="8907" xr:uid="{00000000-0005-0000-0000-0000F9220000}"/>
    <cellStyle name="Percent 6 3 2" xfId="8908" xr:uid="{00000000-0005-0000-0000-0000FA220000}"/>
    <cellStyle name="Percent 6 4" xfId="8909" xr:uid="{00000000-0005-0000-0000-0000FB220000}"/>
    <cellStyle name="Percent 6 5" xfId="8910" xr:uid="{00000000-0005-0000-0000-0000FC220000}"/>
    <cellStyle name="Percent 60" xfId="8911" xr:uid="{00000000-0005-0000-0000-0000FD220000}"/>
    <cellStyle name="Percent 61" xfId="8912" xr:uid="{00000000-0005-0000-0000-0000FE220000}"/>
    <cellStyle name="Percent 62" xfId="8913" xr:uid="{00000000-0005-0000-0000-0000FF220000}"/>
    <cellStyle name="Percent 63" xfId="8914" xr:uid="{00000000-0005-0000-0000-000000230000}"/>
    <cellStyle name="Percent 64" xfId="8915" xr:uid="{00000000-0005-0000-0000-000001230000}"/>
    <cellStyle name="Percent 65" xfId="8916" xr:uid="{00000000-0005-0000-0000-000002230000}"/>
    <cellStyle name="Percent 66" xfId="8917" xr:uid="{00000000-0005-0000-0000-000003230000}"/>
    <cellStyle name="Percent 67" xfId="8918" xr:uid="{00000000-0005-0000-0000-000004230000}"/>
    <cellStyle name="Percent 68" xfId="8919" xr:uid="{00000000-0005-0000-0000-000005230000}"/>
    <cellStyle name="Percent 69" xfId="8920" xr:uid="{00000000-0005-0000-0000-000006230000}"/>
    <cellStyle name="Percent 7" xfId="8921" xr:uid="{00000000-0005-0000-0000-000007230000}"/>
    <cellStyle name="Percent 7 2" xfId="8922" xr:uid="{00000000-0005-0000-0000-000008230000}"/>
    <cellStyle name="Percent 7 2 2" xfId="8923" xr:uid="{00000000-0005-0000-0000-000009230000}"/>
    <cellStyle name="Percent 7 2 3" xfId="8924" xr:uid="{00000000-0005-0000-0000-00000A230000}"/>
    <cellStyle name="Percent 7 3" xfId="8925" xr:uid="{00000000-0005-0000-0000-00000B230000}"/>
    <cellStyle name="Percent 7 3 2" xfId="8926" xr:uid="{00000000-0005-0000-0000-00000C230000}"/>
    <cellStyle name="Percent 7 3 3" xfId="8927" xr:uid="{00000000-0005-0000-0000-00000D230000}"/>
    <cellStyle name="Percent 7 3 4" xfId="8928" xr:uid="{00000000-0005-0000-0000-00000E230000}"/>
    <cellStyle name="Percent 7 4" xfId="8929" xr:uid="{00000000-0005-0000-0000-00000F230000}"/>
    <cellStyle name="Percent 7 4 2" xfId="8930" xr:uid="{00000000-0005-0000-0000-000010230000}"/>
    <cellStyle name="Percent 7 5" xfId="8931" xr:uid="{00000000-0005-0000-0000-000011230000}"/>
    <cellStyle name="Percent 7 5 2" xfId="8932" xr:uid="{00000000-0005-0000-0000-000012230000}"/>
    <cellStyle name="Percent 7 6" xfId="8933" xr:uid="{00000000-0005-0000-0000-000013230000}"/>
    <cellStyle name="Percent 7 7" xfId="8934" xr:uid="{00000000-0005-0000-0000-000014230000}"/>
    <cellStyle name="Percent 7 8" xfId="8935" xr:uid="{00000000-0005-0000-0000-000015230000}"/>
    <cellStyle name="Percent 7 9" xfId="8936" xr:uid="{00000000-0005-0000-0000-000016230000}"/>
    <cellStyle name="Percent 70" xfId="8937" xr:uid="{00000000-0005-0000-0000-000017230000}"/>
    <cellStyle name="Percent 71" xfId="8938" xr:uid="{00000000-0005-0000-0000-000018230000}"/>
    <cellStyle name="Percent 72" xfId="8939" xr:uid="{00000000-0005-0000-0000-000019230000}"/>
    <cellStyle name="Percent 73" xfId="8940" xr:uid="{00000000-0005-0000-0000-00001A230000}"/>
    <cellStyle name="Percent 74" xfId="8941" xr:uid="{00000000-0005-0000-0000-00001B230000}"/>
    <cellStyle name="Percent 75" xfId="8942" xr:uid="{00000000-0005-0000-0000-00001C230000}"/>
    <cellStyle name="Percent 76" xfId="8943" xr:uid="{00000000-0005-0000-0000-00001D230000}"/>
    <cellStyle name="Percent 77" xfId="8944" xr:uid="{00000000-0005-0000-0000-00001E230000}"/>
    <cellStyle name="Percent 78" xfId="8945" xr:uid="{00000000-0005-0000-0000-00001F230000}"/>
    <cellStyle name="Percent 79" xfId="8946" xr:uid="{00000000-0005-0000-0000-000020230000}"/>
    <cellStyle name="Percent 8" xfId="8947" xr:uid="{00000000-0005-0000-0000-000021230000}"/>
    <cellStyle name="Percent 8 2" xfId="8948" xr:uid="{00000000-0005-0000-0000-000022230000}"/>
    <cellStyle name="Percent 8 2 2" xfId="8949" xr:uid="{00000000-0005-0000-0000-000023230000}"/>
    <cellStyle name="Percent 8 3" xfId="8950" xr:uid="{00000000-0005-0000-0000-000024230000}"/>
    <cellStyle name="Percent 80" xfId="8951" xr:uid="{00000000-0005-0000-0000-000025230000}"/>
    <cellStyle name="Percent 81" xfId="8952" xr:uid="{00000000-0005-0000-0000-000026230000}"/>
    <cellStyle name="Percent 82" xfId="8953" xr:uid="{00000000-0005-0000-0000-000027230000}"/>
    <cellStyle name="Percent 83" xfId="8954" xr:uid="{00000000-0005-0000-0000-000028230000}"/>
    <cellStyle name="Percent 84" xfId="8955" xr:uid="{00000000-0005-0000-0000-000029230000}"/>
    <cellStyle name="Percent 85" xfId="8956" xr:uid="{00000000-0005-0000-0000-00002A230000}"/>
    <cellStyle name="Percent 86" xfId="8957" xr:uid="{00000000-0005-0000-0000-00002B230000}"/>
    <cellStyle name="Percent 87" xfId="8958" xr:uid="{00000000-0005-0000-0000-00002C230000}"/>
    <cellStyle name="Percent 88" xfId="8959" xr:uid="{00000000-0005-0000-0000-00002D230000}"/>
    <cellStyle name="Percent 89" xfId="8960" xr:uid="{00000000-0005-0000-0000-00002E230000}"/>
    <cellStyle name="Percent 9" xfId="8961" xr:uid="{00000000-0005-0000-0000-00002F230000}"/>
    <cellStyle name="Percent 9 2" xfId="8962" xr:uid="{00000000-0005-0000-0000-000030230000}"/>
    <cellStyle name="Percent 9 2 2" xfId="8963" xr:uid="{00000000-0005-0000-0000-000031230000}"/>
    <cellStyle name="Percent 9 2 3" xfId="8964" xr:uid="{00000000-0005-0000-0000-000032230000}"/>
    <cellStyle name="Percent 9 3" xfId="8965" xr:uid="{00000000-0005-0000-0000-000033230000}"/>
    <cellStyle name="Percent 9 4" xfId="8966" xr:uid="{00000000-0005-0000-0000-000034230000}"/>
    <cellStyle name="Percent 90" xfId="8967" xr:uid="{00000000-0005-0000-0000-000035230000}"/>
    <cellStyle name="Percent 91" xfId="8968" xr:uid="{00000000-0005-0000-0000-000036230000}"/>
    <cellStyle name="Percent 92" xfId="8969" xr:uid="{00000000-0005-0000-0000-000037230000}"/>
    <cellStyle name="Percent 93" xfId="8970" xr:uid="{00000000-0005-0000-0000-000038230000}"/>
    <cellStyle name="Percent 94" xfId="8971" xr:uid="{00000000-0005-0000-0000-000039230000}"/>
    <cellStyle name="Percent 95" xfId="8972" xr:uid="{00000000-0005-0000-0000-00003A230000}"/>
    <cellStyle name="Percent 96" xfId="8973" xr:uid="{00000000-0005-0000-0000-00003B230000}"/>
    <cellStyle name="Percent 97" xfId="8974" xr:uid="{00000000-0005-0000-0000-00003C230000}"/>
    <cellStyle name="Percent 98" xfId="8975" xr:uid="{00000000-0005-0000-0000-00003D230000}"/>
    <cellStyle name="Percent 99" xfId="8976" xr:uid="{00000000-0005-0000-0000-00003E230000}"/>
    <cellStyle name="Processing" xfId="8977" xr:uid="{00000000-0005-0000-0000-00003F230000}"/>
    <cellStyle name="Processing 2" xfId="8978" xr:uid="{00000000-0005-0000-0000-000040230000}"/>
    <cellStyle name="Processing 2 2" xfId="8979" xr:uid="{00000000-0005-0000-0000-000041230000}"/>
    <cellStyle name="Processing 3" xfId="8980" xr:uid="{00000000-0005-0000-0000-000042230000}"/>
    <cellStyle name="Processing 4" xfId="8981" xr:uid="{00000000-0005-0000-0000-000043230000}"/>
    <cellStyle name="Processing_AURORA Total New" xfId="8982" xr:uid="{00000000-0005-0000-0000-000044230000}"/>
    <cellStyle name="PS_Comma" xfId="9521" xr:uid="{00000000-0005-0000-0000-000045230000}"/>
    <cellStyle name="PSChar" xfId="8983" xr:uid="{00000000-0005-0000-0000-000046230000}"/>
    <cellStyle name="PSChar 2" xfId="8984" xr:uid="{00000000-0005-0000-0000-000047230000}"/>
    <cellStyle name="PSChar 2 2" xfId="8985" xr:uid="{00000000-0005-0000-0000-000048230000}"/>
    <cellStyle name="PSChar 3" xfId="8986" xr:uid="{00000000-0005-0000-0000-000049230000}"/>
    <cellStyle name="PSChar 4" xfId="8987" xr:uid="{00000000-0005-0000-0000-00004A230000}"/>
    <cellStyle name="PSDate" xfId="8988" xr:uid="{00000000-0005-0000-0000-00004B230000}"/>
    <cellStyle name="PSDate 2" xfId="8989" xr:uid="{00000000-0005-0000-0000-00004C230000}"/>
    <cellStyle name="PSDate 2 2" xfId="8990" xr:uid="{00000000-0005-0000-0000-00004D230000}"/>
    <cellStyle name="PSDate 3" xfId="8991" xr:uid="{00000000-0005-0000-0000-00004E230000}"/>
    <cellStyle name="PSDate 4" xfId="8992" xr:uid="{00000000-0005-0000-0000-00004F230000}"/>
    <cellStyle name="PSDec" xfId="8993" xr:uid="{00000000-0005-0000-0000-000050230000}"/>
    <cellStyle name="PSDec 2" xfId="8994" xr:uid="{00000000-0005-0000-0000-000051230000}"/>
    <cellStyle name="PSDec 2 2" xfId="8995" xr:uid="{00000000-0005-0000-0000-000052230000}"/>
    <cellStyle name="PSDec 3" xfId="8996" xr:uid="{00000000-0005-0000-0000-000053230000}"/>
    <cellStyle name="PSDec 4" xfId="8997" xr:uid="{00000000-0005-0000-0000-000054230000}"/>
    <cellStyle name="PSHeading" xfId="8998" xr:uid="{00000000-0005-0000-0000-000055230000}"/>
    <cellStyle name="PSHeading 2" xfId="8999" xr:uid="{00000000-0005-0000-0000-000056230000}"/>
    <cellStyle name="PSHeading 2 2" xfId="9000" xr:uid="{00000000-0005-0000-0000-000057230000}"/>
    <cellStyle name="PSHeading 3" xfId="9001" xr:uid="{00000000-0005-0000-0000-000058230000}"/>
    <cellStyle name="PSHeading 4" xfId="9002" xr:uid="{00000000-0005-0000-0000-000059230000}"/>
    <cellStyle name="PSInt" xfId="9003" xr:uid="{00000000-0005-0000-0000-00005A230000}"/>
    <cellStyle name="PSInt 2" xfId="9004" xr:uid="{00000000-0005-0000-0000-00005B230000}"/>
    <cellStyle name="PSInt 2 2" xfId="9005" xr:uid="{00000000-0005-0000-0000-00005C230000}"/>
    <cellStyle name="PSInt 3" xfId="9006" xr:uid="{00000000-0005-0000-0000-00005D230000}"/>
    <cellStyle name="PSInt 4" xfId="9007" xr:uid="{00000000-0005-0000-0000-00005E230000}"/>
    <cellStyle name="PSSpacer" xfId="9008" xr:uid="{00000000-0005-0000-0000-00005F230000}"/>
    <cellStyle name="PSSpacer 2" xfId="9009" xr:uid="{00000000-0005-0000-0000-000060230000}"/>
    <cellStyle name="PSSpacer 2 2" xfId="9010" xr:uid="{00000000-0005-0000-0000-000061230000}"/>
    <cellStyle name="PSSpacer 3" xfId="9011" xr:uid="{00000000-0005-0000-0000-000062230000}"/>
    <cellStyle name="PSSpacer 4" xfId="9012" xr:uid="{00000000-0005-0000-0000-000063230000}"/>
    <cellStyle name="purple - Style8" xfId="9013" xr:uid="{00000000-0005-0000-0000-000064230000}"/>
    <cellStyle name="purple - Style8 2" xfId="9014" xr:uid="{00000000-0005-0000-0000-000065230000}"/>
    <cellStyle name="purple - Style8 2 2" xfId="9015" xr:uid="{00000000-0005-0000-0000-000066230000}"/>
    <cellStyle name="purple - Style8 3" xfId="9016" xr:uid="{00000000-0005-0000-0000-000067230000}"/>
    <cellStyle name="purple - Style8_ACCOUNTS" xfId="9017" xr:uid="{00000000-0005-0000-0000-000068230000}"/>
    <cellStyle name="RED" xfId="9018" xr:uid="{00000000-0005-0000-0000-000069230000}"/>
    <cellStyle name="Red - Style7" xfId="9019" xr:uid="{00000000-0005-0000-0000-00006A230000}"/>
    <cellStyle name="Red - Style7 2" xfId="9020" xr:uid="{00000000-0005-0000-0000-00006B230000}"/>
    <cellStyle name="Red - Style7 2 2" xfId="9021" xr:uid="{00000000-0005-0000-0000-00006C230000}"/>
    <cellStyle name="Red - Style7 3" xfId="9022" xr:uid="{00000000-0005-0000-0000-00006D230000}"/>
    <cellStyle name="Red - Style7_ACCOUNTS" xfId="9023" xr:uid="{00000000-0005-0000-0000-00006E230000}"/>
    <cellStyle name="RED 10" xfId="9024" xr:uid="{00000000-0005-0000-0000-00006F230000}"/>
    <cellStyle name="RED 11" xfId="9025" xr:uid="{00000000-0005-0000-0000-000070230000}"/>
    <cellStyle name="RED 12" xfId="9026" xr:uid="{00000000-0005-0000-0000-000071230000}"/>
    <cellStyle name="RED 13" xfId="9027" xr:uid="{00000000-0005-0000-0000-000072230000}"/>
    <cellStyle name="RED 14" xfId="9028" xr:uid="{00000000-0005-0000-0000-000073230000}"/>
    <cellStyle name="RED 15" xfId="9029" xr:uid="{00000000-0005-0000-0000-000074230000}"/>
    <cellStyle name="RED 16" xfId="9030" xr:uid="{00000000-0005-0000-0000-000075230000}"/>
    <cellStyle name="RED 17" xfId="9031" xr:uid="{00000000-0005-0000-0000-000076230000}"/>
    <cellStyle name="RED 18" xfId="9032" xr:uid="{00000000-0005-0000-0000-000077230000}"/>
    <cellStyle name="RED 19" xfId="9033" xr:uid="{00000000-0005-0000-0000-000078230000}"/>
    <cellStyle name="RED 2" xfId="9034" xr:uid="{00000000-0005-0000-0000-000079230000}"/>
    <cellStyle name="RED 2 2" xfId="9035" xr:uid="{00000000-0005-0000-0000-00007A230000}"/>
    <cellStyle name="RED 20" xfId="9036" xr:uid="{00000000-0005-0000-0000-00007B230000}"/>
    <cellStyle name="RED 21" xfId="9037" xr:uid="{00000000-0005-0000-0000-00007C230000}"/>
    <cellStyle name="RED 22" xfId="9038" xr:uid="{00000000-0005-0000-0000-00007D230000}"/>
    <cellStyle name="RED 23" xfId="9039" xr:uid="{00000000-0005-0000-0000-00007E230000}"/>
    <cellStyle name="RED 24" xfId="9040" xr:uid="{00000000-0005-0000-0000-00007F230000}"/>
    <cellStyle name="RED 3" xfId="9041" xr:uid="{00000000-0005-0000-0000-000080230000}"/>
    <cellStyle name="RED 4" xfId="9042" xr:uid="{00000000-0005-0000-0000-000081230000}"/>
    <cellStyle name="RED 5" xfId="9043" xr:uid="{00000000-0005-0000-0000-000082230000}"/>
    <cellStyle name="RED 6" xfId="9044" xr:uid="{00000000-0005-0000-0000-000083230000}"/>
    <cellStyle name="RED 7" xfId="9045" xr:uid="{00000000-0005-0000-0000-000084230000}"/>
    <cellStyle name="RED 8" xfId="9046" xr:uid="{00000000-0005-0000-0000-000085230000}"/>
    <cellStyle name="RED 9" xfId="9047" xr:uid="{00000000-0005-0000-0000-000086230000}"/>
    <cellStyle name="RED_04 07E Wild Horse Wind Expansion (C) (2)" xfId="9048" xr:uid="{00000000-0005-0000-0000-000087230000}"/>
    <cellStyle name="Report" xfId="9049" xr:uid="{00000000-0005-0000-0000-000088230000}"/>
    <cellStyle name="Report - Style5" xfId="9050" xr:uid="{00000000-0005-0000-0000-000089230000}"/>
    <cellStyle name="Report - Style6" xfId="9051" xr:uid="{00000000-0005-0000-0000-00008A230000}"/>
    <cellStyle name="Report - Style7" xfId="9052" xr:uid="{00000000-0005-0000-0000-00008B230000}"/>
    <cellStyle name="Report - Style8" xfId="9053" xr:uid="{00000000-0005-0000-0000-00008C230000}"/>
    <cellStyle name="Report 2" xfId="9054" xr:uid="{00000000-0005-0000-0000-00008D230000}"/>
    <cellStyle name="Report 2 2" xfId="9055" xr:uid="{00000000-0005-0000-0000-00008E230000}"/>
    <cellStyle name="Report 3" xfId="9056" xr:uid="{00000000-0005-0000-0000-00008F230000}"/>
    <cellStyle name="Report 4" xfId="9057" xr:uid="{00000000-0005-0000-0000-000090230000}"/>
    <cellStyle name="Report 5" xfId="9058" xr:uid="{00000000-0005-0000-0000-000091230000}"/>
    <cellStyle name="Report 6" xfId="9059" xr:uid="{00000000-0005-0000-0000-000092230000}"/>
    <cellStyle name="Report Bar" xfId="9060" xr:uid="{00000000-0005-0000-0000-000093230000}"/>
    <cellStyle name="Report Bar 2" xfId="9061" xr:uid="{00000000-0005-0000-0000-000094230000}"/>
    <cellStyle name="Report Bar 2 2" xfId="9062" xr:uid="{00000000-0005-0000-0000-000095230000}"/>
    <cellStyle name="Report Bar 3" xfId="9063" xr:uid="{00000000-0005-0000-0000-000096230000}"/>
    <cellStyle name="Report Bar 4" xfId="9064" xr:uid="{00000000-0005-0000-0000-000097230000}"/>
    <cellStyle name="Report Bar 5" xfId="9065" xr:uid="{00000000-0005-0000-0000-000098230000}"/>
    <cellStyle name="Report Bar_AURORA Total New" xfId="9066" xr:uid="{00000000-0005-0000-0000-000099230000}"/>
    <cellStyle name="Report Heading" xfId="9067" xr:uid="{00000000-0005-0000-0000-00009A230000}"/>
    <cellStyle name="Report Heading 2" xfId="9068" xr:uid="{00000000-0005-0000-0000-00009B230000}"/>
    <cellStyle name="Report Heading 3" xfId="9069" xr:uid="{00000000-0005-0000-0000-00009C230000}"/>
    <cellStyle name="Report Heading 3 2" xfId="9505" xr:uid="{00000000-0005-0000-0000-00009D230000}"/>
    <cellStyle name="Report Heading_Electric Rev Req Model (2009 GRC) Rebuttal" xfId="9070" xr:uid="{00000000-0005-0000-0000-00009E230000}"/>
    <cellStyle name="Report Percent" xfId="9071" xr:uid="{00000000-0005-0000-0000-00009F230000}"/>
    <cellStyle name="Report Percent 2" xfId="9072" xr:uid="{00000000-0005-0000-0000-0000A0230000}"/>
    <cellStyle name="Report Percent 2 2" xfId="9073" xr:uid="{00000000-0005-0000-0000-0000A1230000}"/>
    <cellStyle name="Report Percent 2 2 2" xfId="9074" xr:uid="{00000000-0005-0000-0000-0000A2230000}"/>
    <cellStyle name="Report Percent 2 3" xfId="9075" xr:uid="{00000000-0005-0000-0000-0000A3230000}"/>
    <cellStyle name="Report Percent 3" xfId="9076" xr:uid="{00000000-0005-0000-0000-0000A4230000}"/>
    <cellStyle name="Report Percent 3 2" xfId="9077" xr:uid="{00000000-0005-0000-0000-0000A5230000}"/>
    <cellStyle name="Report Percent 3 2 2" xfId="9078" xr:uid="{00000000-0005-0000-0000-0000A6230000}"/>
    <cellStyle name="Report Percent 3 3" xfId="9079" xr:uid="{00000000-0005-0000-0000-0000A7230000}"/>
    <cellStyle name="Report Percent 3 3 2" xfId="9080" xr:uid="{00000000-0005-0000-0000-0000A8230000}"/>
    <cellStyle name="Report Percent 3 4" xfId="9081" xr:uid="{00000000-0005-0000-0000-0000A9230000}"/>
    <cellStyle name="Report Percent 3 4 2" xfId="9082" xr:uid="{00000000-0005-0000-0000-0000AA230000}"/>
    <cellStyle name="Report Percent 4" xfId="9083" xr:uid="{00000000-0005-0000-0000-0000AB230000}"/>
    <cellStyle name="Report Percent 4 2" xfId="9084" xr:uid="{00000000-0005-0000-0000-0000AC230000}"/>
    <cellStyle name="Report Percent 5" xfId="9085" xr:uid="{00000000-0005-0000-0000-0000AD230000}"/>
    <cellStyle name="Report Percent 6" xfId="9086" xr:uid="{00000000-0005-0000-0000-0000AE230000}"/>
    <cellStyle name="Report Percent 7" xfId="9087" xr:uid="{00000000-0005-0000-0000-0000AF230000}"/>
    <cellStyle name="Report Percent_ACCOUNTS" xfId="9088" xr:uid="{00000000-0005-0000-0000-0000B0230000}"/>
    <cellStyle name="Report Unit Cost" xfId="9089" xr:uid="{00000000-0005-0000-0000-0000B1230000}"/>
    <cellStyle name="Report Unit Cost 2" xfId="9090" xr:uid="{00000000-0005-0000-0000-0000B2230000}"/>
    <cellStyle name="Report Unit Cost 2 2" xfId="9091" xr:uid="{00000000-0005-0000-0000-0000B3230000}"/>
    <cellStyle name="Report Unit Cost 2 2 2" xfId="9092" xr:uid="{00000000-0005-0000-0000-0000B4230000}"/>
    <cellStyle name="Report Unit Cost 2 3" xfId="9093" xr:uid="{00000000-0005-0000-0000-0000B5230000}"/>
    <cellStyle name="Report Unit Cost 3" xfId="9094" xr:uid="{00000000-0005-0000-0000-0000B6230000}"/>
    <cellStyle name="Report Unit Cost 3 2" xfId="9095" xr:uid="{00000000-0005-0000-0000-0000B7230000}"/>
    <cellStyle name="Report Unit Cost 3 2 2" xfId="9096" xr:uid="{00000000-0005-0000-0000-0000B8230000}"/>
    <cellStyle name="Report Unit Cost 3 3" xfId="9097" xr:uid="{00000000-0005-0000-0000-0000B9230000}"/>
    <cellStyle name="Report Unit Cost 3 3 2" xfId="9098" xr:uid="{00000000-0005-0000-0000-0000BA230000}"/>
    <cellStyle name="Report Unit Cost 3 4" xfId="9099" xr:uid="{00000000-0005-0000-0000-0000BB230000}"/>
    <cellStyle name="Report Unit Cost 3 4 2" xfId="9100" xr:uid="{00000000-0005-0000-0000-0000BC230000}"/>
    <cellStyle name="Report Unit Cost 4" xfId="9101" xr:uid="{00000000-0005-0000-0000-0000BD230000}"/>
    <cellStyle name="Report Unit Cost 4 2" xfId="9102" xr:uid="{00000000-0005-0000-0000-0000BE230000}"/>
    <cellStyle name="Report Unit Cost 5" xfId="9103" xr:uid="{00000000-0005-0000-0000-0000BF230000}"/>
    <cellStyle name="Report Unit Cost 6" xfId="9104" xr:uid="{00000000-0005-0000-0000-0000C0230000}"/>
    <cellStyle name="Report Unit Cost 7" xfId="9105" xr:uid="{00000000-0005-0000-0000-0000C1230000}"/>
    <cellStyle name="Report Unit Cost_ACCOUNTS" xfId="9106" xr:uid="{00000000-0005-0000-0000-0000C2230000}"/>
    <cellStyle name="Report_Adj Bench DR 3 for Initial Briefs (Electric)" xfId="9107" xr:uid="{00000000-0005-0000-0000-0000C3230000}"/>
    <cellStyle name="Reports" xfId="9108" xr:uid="{00000000-0005-0000-0000-0000C4230000}"/>
    <cellStyle name="Reports 2" xfId="9109" xr:uid="{00000000-0005-0000-0000-0000C5230000}"/>
    <cellStyle name="Reports 3" xfId="9110" xr:uid="{00000000-0005-0000-0000-0000C6230000}"/>
    <cellStyle name="Reports Total" xfId="9111" xr:uid="{00000000-0005-0000-0000-0000C7230000}"/>
    <cellStyle name="Reports Total 2" xfId="9112" xr:uid="{00000000-0005-0000-0000-0000C8230000}"/>
    <cellStyle name="Reports Total 2 2" xfId="9113" xr:uid="{00000000-0005-0000-0000-0000C9230000}"/>
    <cellStyle name="Reports Total 3" xfId="9114" xr:uid="{00000000-0005-0000-0000-0000CA230000}"/>
    <cellStyle name="Reports Total 4" xfId="9115" xr:uid="{00000000-0005-0000-0000-0000CB230000}"/>
    <cellStyle name="Reports Total 5" xfId="9116" xr:uid="{00000000-0005-0000-0000-0000CC230000}"/>
    <cellStyle name="Reports Total_AURORA Total New" xfId="9117" xr:uid="{00000000-0005-0000-0000-0000CD230000}"/>
    <cellStyle name="Reports Unit Cost Total" xfId="9118" xr:uid="{00000000-0005-0000-0000-0000CE230000}"/>
    <cellStyle name="Reports Unit Cost Total 2" xfId="9119" xr:uid="{00000000-0005-0000-0000-0000CF230000}"/>
    <cellStyle name="Reports Unit Cost Total 3" xfId="9120" xr:uid="{00000000-0005-0000-0000-0000D0230000}"/>
    <cellStyle name="Reports_14.21G &amp; 16.28E Incentive Pay" xfId="9121" xr:uid="{00000000-0005-0000-0000-0000D1230000}"/>
    <cellStyle name="RevList" xfId="9122" xr:uid="{00000000-0005-0000-0000-0000D2230000}"/>
    <cellStyle name="RevList 2" xfId="9123" xr:uid="{00000000-0005-0000-0000-0000D3230000}"/>
    <cellStyle name="round100" xfId="9124" xr:uid="{00000000-0005-0000-0000-0000D4230000}"/>
    <cellStyle name="round100 2" xfId="9125" xr:uid="{00000000-0005-0000-0000-0000D5230000}"/>
    <cellStyle name="round100 2 2" xfId="9126" xr:uid="{00000000-0005-0000-0000-0000D6230000}"/>
    <cellStyle name="round100 2 2 2" xfId="9127" xr:uid="{00000000-0005-0000-0000-0000D7230000}"/>
    <cellStyle name="round100 2 3" xfId="9128" xr:uid="{00000000-0005-0000-0000-0000D8230000}"/>
    <cellStyle name="round100 3" xfId="9129" xr:uid="{00000000-0005-0000-0000-0000D9230000}"/>
    <cellStyle name="round100 3 2" xfId="9130" xr:uid="{00000000-0005-0000-0000-0000DA230000}"/>
    <cellStyle name="round100 3 2 2" xfId="9131" xr:uid="{00000000-0005-0000-0000-0000DB230000}"/>
    <cellStyle name="round100 3 3" xfId="9132" xr:uid="{00000000-0005-0000-0000-0000DC230000}"/>
    <cellStyle name="round100 3 3 2" xfId="9133" xr:uid="{00000000-0005-0000-0000-0000DD230000}"/>
    <cellStyle name="round100 3 4" xfId="9134" xr:uid="{00000000-0005-0000-0000-0000DE230000}"/>
    <cellStyle name="round100 3 4 2" xfId="9135" xr:uid="{00000000-0005-0000-0000-0000DF230000}"/>
    <cellStyle name="round100 4" xfId="9136" xr:uid="{00000000-0005-0000-0000-0000E0230000}"/>
    <cellStyle name="round100 4 2" xfId="9137" xr:uid="{00000000-0005-0000-0000-0000E1230000}"/>
    <cellStyle name="round100 5" xfId="9138" xr:uid="{00000000-0005-0000-0000-0000E2230000}"/>
    <cellStyle name="round100 6" xfId="9139" xr:uid="{00000000-0005-0000-0000-0000E3230000}"/>
    <cellStyle name="round100 7" xfId="9140" xr:uid="{00000000-0005-0000-0000-0000E4230000}"/>
    <cellStyle name="SAPBEXaggData" xfId="9141" xr:uid="{00000000-0005-0000-0000-0000E5230000}"/>
    <cellStyle name="SAPBEXaggData 2" xfId="9142" xr:uid="{00000000-0005-0000-0000-0000E6230000}"/>
    <cellStyle name="SAPBEXaggData 3" xfId="9143" xr:uid="{00000000-0005-0000-0000-0000E7230000}"/>
    <cellStyle name="SAPBEXaggDataEmph" xfId="9144" xr:uid="{00000000-0005-0000-0000-0000E8230000}"/>
    <cellStyle name="SAPBEXaggDataEmph 2" xfId="9145" xr:uid="{00000000-0005-0000-0000-0000E9230000}"/>
    <cellStyle name="SAPBEXaggDataEmph 3" xfId="9146" xr:uid="{00000000-0005-0000-0000-0000EA230000}"/>
    <cellStyle name="SAPBEXaggItem" xfId="9147" xr:uid="{00000000-0005-0000-0000-0000EB230000}"/>
    <cellStyle name="SAPBEXaggItem 2" xfId="9148" xr:uid="{00000000-0005-0000-0000-0000EC230000}"/>
    <cellStyle name="SAPBEXaggItem 3" xfId="9149" xr:uid="{00000000-0005-0000-0000-0000ED230000}"/>
    <cellStyle name="SAPBEXaggItemX" xfId="9150" xr:uid="{00000000-0005-0000-0000-0000EE230000}"/>
    <cellStyle name="SAPBEXaggItemX 2" xfId="9151" xr:uid="{00000000-0005-0000-0000-0000EF230000}"/>
    <cellStyle name="SAPBEXaggItemX 3" xfId="9152" xr:uid="{00000000-0005-0000-0000-0000F0230000}"/>
    <cellStyle name="SAPBEXchaText" xfId="9153" xr:uid="{00000000-0005-0000-0000-0000F1230000}"/>
    <cellStyle name="SAPBEXchaText 2" xfId="9154" xr:uid="{00000000-0005-0000-0000-0000F2230000}"/>
    <cellStyle name="SAPBEXchaText 2 2" xfId="9155" xr:uid="{00000000-0005-0000-0000-0000F3230000}"/>
    <cellStyle name="SAPBEXchaText 2 2 2" xfId="9156" xr:uid="{00000000-0005-0000-0000-0000F4230000}"/>
    <cellStyle name="SAPBEXchaText 2 3" xfId="9157" xr:uid="{00000000-0005-0000-0000-0000F5230000}"/>
    <cellStyle name="SAPBEXchaText 3" xfId="9158" xr:uid="{00000000-0005-0000-0000-0000F6230000}"/>
    <cellStyle name="SAPBEXchaText 3 2" xfId="9159" xr:uid="{00000000-0005-0000-0000-0000F7230000}"/>
    <cellStyle name="SAPBEXchaText 3 2 2" xfId="9160" xr:uid="{00000000-0005-0000-0000-0000F8230000}"/>
    <cellStyle name="SAPBEXchaText 3 3" xfId="9161" xr:uid="{00000000-0005-0000-0000-0000F9230000}"/>
    <cellStyle name="SAPBEXchaText 3 3 2" xfId="9162" xr:uid="{00000000-0005-0000-0000-0000FA230000}"/>
    <cellStyle name="SAPBEXchaText 3 4" xfId="9163" xr:uid="{00000000-0005-0000-0000-0000FB230000}"/>
    <cellStyle name="SAPBEXchaText 3 4 2" xfId="9164" xr:uid="{00000000-0005-0000-0000-0000FC230000}"/>
    <cellStyle name="SAPBEXchaText 4" xfId="9165" xr:uid="{00000000-0005-0000-0000-0000FD230000}"/>
    <cellStyle name="SAPBEXchaText 4 2" xfId="9166" xr:uid="{00000000-0005-0000-0000-0000FE230000}"/>
    <cellStyle name="SAPBEXchaText 5" xfId="9167" xr:uid="{00000000-0005-0000-0000-0000FF230000}"/>
    <cellStyle name="SAPBEXchaText 6" xfId="9168" xr:uid="{00000000-0005-0000-0000-000000240000}"/>
    <cellStyle name="SAPBEXchaText 7" xfId="9169" xr:uid="{00000000-0005-0000-0000-000001240000}"/>
    <cellStyle name="SAPBEXchaText 8" xfId="9170" xr:uid="{00000000-0005-0000-0000-000002240000}"/>
    <cellStyle name="SAPBEXchaText 9" xfId="9171" xr:uid="{00000000-0005-0000-0000-000003240000}"/>
    <cellStyle name="SAPBEXexcBad7" xfId="9172" xr:uid="{00000000-0005-0000-0000-000004240000}"/>
    <cellStyle name="SAPBEXexcBad7 2" xfId="9173" xr:uid="{00000000-0005-0000-0000-000005240000}"/>
    <cellStyle name="SAPBEXexcBad7 3" xfId="9174" xr:uid="{00000000-0005-0000-0000-000006240000}"/>
    <cellStyle name="SAPBEXexcBad8" xfId="9175" xr:uid="{00000000-0005-0000-0000-000007240000}"/>
    <cellStyle name="SAPBEXexcBad8 2" xfId="9176" xr:uid="{00000000-0005-0000-0000-000008240000}"/>
    <cellStyle name="SAPBEXexcBad8 3" xfId="9177" xr:uid="{00000000-0005-0000-0000-000009240000}"/>
    <cellStyle name="SAPBEXexcBad9" xfId="9178" xr:uid="{00000000-0005-0000-0000-00000A240000}"/>
    <cellStyle name="SAPBEXexcBad9 2" xfId="9179" xr:uid="{00000000-0005-0000-0000-00000B240000}"/>
    <cellStyle name="SAPBEXexcBad9 3" xfId="9180" xr:uid="{00000000-0005-0000-0000-00000C240000}"/>
    <cellStyle name="SAPBEXexcCritical4" xfId="9181" xr:uid="{00000000-0005-0000-0000-00000D240000}"/>
    <cellStyle name="SAPBEXexcCritical4 2" xfId="9182" xr:uid="{00000000-0005-0000-0000-00000E240000}"/>
    <cellStyle name="SAPBEXexcCritical4 3" xfId="9183" xr:uid="{00000000-0005-0000-0000-00000F240000}"/>
    <cellStyle name="SAPBEXexcCritical5" xfId="9184" xr:uid="{00000000-0005-0000-0000-000010240000}"/>
    <cellStyle name="SAPBEXexcCritical5 2" xfId="9185" xr:uid="{00000000-0005-0000-0000-000011240000}"/>
    <cellStyle name="SAPBEXexcCritical5 3" xfId="9186" xr:uid="{00000000-0005-0000-0000-000012240000}"/>
    <cellStyle name="SAPBEXexcCritical6" xfId="9187" xr:uid="{00000000-0005-0000-0000-000013240000}"/>
    <cellStyle name="SAPBEXexcCritical6 2" xfId="9188" xr:uid="{00000000-0005-0000-0000-000014240000}"/>
    <cellStyle name="SAPBEXexcCritical6 3" xfId="9189" xr:uid="{00000000-0005-0000-0000-000015240000}"/>
    <cellStyle name="SAPBEXexcGood1" xfId="9190" xr:uid="{00000000-0005-0000-0000-000016240000}"/>
    <cellStyle name="SAPBEXexcGood1 2" xfId="9191" xr:uid="{00000000-0005-0000-0000-000017240000}"/>
    <cellStyle name="SAPBEXexcGood1 3" xfId="9192" xr:uid="{00000000-0005-0000-0000-000018240000}"/>
    <cellStyle name="SAPBEXexcGood2" xfId="9193" xr:uid="{00000000-0005-0000-0000-000019240000}"/>
    <cellStyle name="SAPBEXexcGood2 2" xfId="9194" xr:uid="{00000000-0005-0000-0000-00001A240000}"/>
    <cellStyle name="SAPBEXexcGood2 3" xfId="9195" xr:uid="{00000000-0005-0000-0000-00001B240000}"/>
    <cellStyle name="SAPBEXexcGood3" xfId="9196" xr:uid="{00000000-0005-0000-0000-00001C240000}"/>
    <cellStyle name="SAPBEXexcGood3 2" xfId="9197" xr:uid="{00000000-0005-0000-0000-00001D240000}"/>
    <cellStyle name="SAPBEXexcGood3 3" xfId="9198" xr:uid="{00000000-0005-0000-0000-00001E240000}"/>
    <cellStyle name="SAPBEXfilterDrill" xfId="9199" xr:uid="{00000000-0005-0000-0000-00001F240000}"/>
    <cellStyle name="SAPBEXfilterDrill 2" xfId="9200" xr:uid="{00000000-0005-0000-0000-000020240000}"/>
    <cellStyle name="SAPBEXfilterDrill 3" xfId="9201" xr:uid="{00000000-0005-0000-0000-000021240000}"/>
    <cellStyle name="SAPBEXfilterDrill 4" xfId="9202" xr:uid="{00000000-0005-0000-0000-000022240000}"/>
    <cellStyle name="SAPBEXfilterItem" xfId="9203" xr:uid="{00000000-0005-0000-0000-000023240000}"/>
    <cellStyle name="SAPBEXfilterItem 2" xfId="9204" xr:uid="{00000000-0005-0000-0000-000024240000}"/>
    <cellStyle name="SAPBEXfilterItem 3" xfId="9205" xr:uid="{00000000-0005-0000-0000-000025240000}"/>
    <cellStyle name="SAPBEXfilterText" xfId="9206" xr:uid="{00000000-0005-0000-0000-000026240000}"/>
    <cellStyle name="SAPBEXfilterText 2" xfId="9207" xr:uid="{00000000-0005-0000-0000-000027240000}"/>
    <cellStyle name="SAPBEXfilterText 3" xfId="9208" xr:uid="{00000000-0005-0000-0000-000028240000}"/>
    <cellStyle name="SAPBEXformats" xfId="9209" xr:uid="{00000000-0005-0000-0000-000029240000}"/>
    <cellStyle name="SAPBEXformats 2" xfId="9210" xr:uid="{00000000-0005-0000-0000-00002A240000}"/>
    <cellStyle name="SAPBEXformats 2 2" xfId="9211" xr:uid="{00000000-0005-0000-0000-00002B240000}"/>
    <cellStyle name="SAPBEXformats 3" xfId="9212" xr:uid="{00000000-0005-0000-0000-00002C240000}"/>
    <cellStyle name="SAPBEXformats 4" xfId="9213" xr:uid="{00000000-0005-0000-0000-00002D240000}"/>
    <cellStyle name="SAPBEXheaderItem" xfId="9214" xr:uid="{00000000-0005-0000-0000-00002E240000}"/>
    <cellStyle name="SAPBEXheaderItem 2" xfId="9215" xr:uid="{00000000-0005-0000-0000-00002F240000}"/>
    <cellStyle name="SAPBEXheaderItem 3" xfId="9216" xr:uid="{00000000-0005-0000-0000-000030240000}"/>
    <cellStyle name="SAPBEXheaderItem 4" xfId="9217" xr:uid="{00000000-0005-0000-0000-000031240000}"/>
    <cellStyle name="SAPBEXheaderText" xfId="9218" xr:uid="{00000000-0005-0000-0000-000032240000}"/>
    <cellStyle name="SAPBEXheaderText 2" xfId="9219" xr:uid="{00000000-0005-0000-0000-000033240000}"/>
    <cellStyle name="SAPBEXheaderText 3" xfId="9220" xr:uid="{00000000-0005-0000-0000-000034240000}"/>
    <cellStyle name="SAPBEXheaderText 4" xfId="9221" xr:uid="{00000000-0005-0000-0000-000035240000}"/>
    <cellStyle name="SAPBEXHLevel0" xfId="9222" xr:uid="{00000000-0005-0000-0000-000036240000}"/>
    <cellStyle name="SAPBEXHLevel0 2" xfId="9223" xr:uid="{00000000-0005-0000-0000-000037240000}"/>
    <cellStyle name="SAPBEXHLevel0 2 2" xfId="9224" xr:uid="{00000000-0005-0000-0000-000038240000}"/>
    <cellStyle name="SAPBEXHLevel0 3" xfId="9225" xr:uid="{00000000-0005-0000-0000-000039240000}"/>
    <cellStyle name="SAPBEXHLevel0 4" xfId="9226" xr:uid="{00000000-0005-0000-0000-00003A240000}"/>
    <cellStyle name="SAPBEXHLevel0X" xfId="9227" xr:uid="{00000000-0005-0000-0000-00003B240000}"/>
    <cellStyle name="SAPBEXHLevel0X 2" xfId="9228" xr:uid="{00000000-0005-0000-0000-00003C240000}"/>
    <cellStyle name="SAPBEXHLevel0X 2 2" xfId="9229" xr:uid="{00000000-0005-0000-0000-00003D240000}"/>
    <cellStyle name="SAPBEXHLevel0X 2 2 2" xfId="9230" xr:uid="{00000000-0005-0000-0000-00003E240000}"/>
    <cellStyle name="SAPBEXHLevel0X 2 3" xfId="9231" xr:uid="{00000000-0005-0000-0000-00003F240000}"/>
    <cellStyle name="SAPBEXHLevel0X 3" xfId="9232" xr:uid="{00000000-0005-0000-0000-000040240000}"/>
    <cellStyle name="SAPBEXHLevel0X 3 2" xfId="9233" xr:uid="{00000000-0005-0000-0000-000041240000}"/>
    <cellStyle name="SAPBEXHLevel0X 3 2 2" xfId="9234" xr:uid="{00000000-0005-0000-0000-000042240000}"/>
    <cellStyle name="SAPBEXHLevel0X 3 3" xfId="9235" xr:uid="{00000000-0005-0000-0000-000043240000}"/>
    <cellStyle name="SAPBEXHLevel0X 3 3 2" xfId="9236" xr:uid="{00000000-0005-0000-0000-000044240000}"/>
    <cellStyle name="SAPBEXHLevel0X 3 4" xfId="9237" xr:uid="{00000000-0005-0000-0000-000045240000}"/>
    <cellStyle name="SAPBEXHLevel0X 3 4 2" xfId="9238" xr:uid="{00000000-0005-0000-0000-000046240000}"/>
    <cellStyle name="SAPBEXHLevel0X 4" xfId="9239" xr:uid="{00000000-0005-0000-0000-000047240000}"/>
    <cellStyle name="SAPBEXHLevel0X 4 2" xfId="9240" xr:uid="{00000000-0005-0000-0000-000048240000}"/>
    <cellStyle name="SAPBEXHLevel0X 5" xfId="9241" xr:uid="{00000000-0005-0000-0000-000049240000}"/>
    <cellStyle name="SAPBEXHLevel0X 6" xfId="9242" xr:uid="{00000000-0005-0000-0000-00004A240000}"/>
    <cellStyle name="SAPBEXHLevel0X 7" xfId="9243" xr:uid="{00000000-0005-0000-0000-00004B240000}"/>
    <cellStyle name="SAPBEXHLevel0X 8" xfId="9244" xr:uid="{00000000-0005-0000-0000-00004C240000}"/>
    <cellStyle name="SAPBEXHLevel1" xfId="9245" xr:uid="{00000000-0005-0000-0000-00004D240000}"/>
    <cellStyle name="SAPBEXHLevel1 2" xfId="9246" xr:uid="{00000000-0005-0000-0000-00004E240000}"/>
    <cellStyle name="SAPBEXHLevel1 2 2" xfId="9247" xr:uid="{00000000-0005-0000-0000-00004F240000}"/>
    <cellStyle name="SAPBEXHLevel1 3" xfId="9248" xr:uid="{00000000-0005-0000-0000-000050240000}"/>
    <cellStyle name="SAPBEXHLevel1 4" xfId="9249" xr:uid="{00000000-0005-0000-0000-000051240000}"/>
    <cellStyle name="SAPBEXHLevel1X" xfId="9250" xr:uid="{00000000-0005-0000-0000-000052240000}"/>
    <cellStyle name="SAPBEXHLevel1X 2" xfId="9251" xr:uid="{00000000-0005-0000-0000-000053240000}"/>
    <cellStyle name="SAPBEXHLevel1X 2 2" xfId="9252" xr:uid="{00000000-0005-0000-0000-000054240000}"/>
    <cellStyle name="SAPBEXHLevel1X 3" xfId="9253" xr:uid="{00000000-0005-0000-0000-000055240000}"/>
    <cellStyle name="SAPBEXHLevel1X 4" xfId="9254" xr:uid="{00000000-0005-0000-0000-000056240000}"/>
    <cellStyle name="SAPBEXHLevel2" xfId="9255" xr:uid="{00000000-0005-0000-0000-000057240000}"/>
    <cellStyle name="SAPBEXHLevel2 2" xfId="9256" xr:uid="{00000000-0005-0000-0000-000058240000}"/>
    <cellStyle name="SAPBEXHLevel2 2 2" xfId="9257" xr:uid="{00000000-0005-0000-0000-000059240000}"/>
    <cellStyle name="SAPBEXHLevel2 3" xfId="9258" xr:uid="{00000000-0005-0000-0000-00005A240000}"/>
    <cellStyle name="SAPBEXHLevel2 4" xfId="9259" xr:uid="{00000000-0005-0000-0000-00005B240000}"/>
    <cellStyle name="SAPBEXHLevel2X" xfId="9260" xr:uid="{00000000-0005-0000-0000-00005C240000}"/>
    <cellStyle name="SAPBEXHLevel2X 2" xfId="9261" xr:uid="{00000000-0005-0000-0000-00005D240000}"/>
    <cellStyle name="SAPBEXHLevel2X 2 2" xfId="9262" xr:uid="{00000000-0005-0000-0000-00005E240000}"/>
    <cellStyle name="SAPBEXHLevel2X 3" xfId="9263" xr:uid="{00000000-0005-0000-0000-00005F240000}"/>
    <cellStyle name="SAPBEXHLevel2X 4" xfId="9264" xr:uid="{00000000-0005-0000-0000-000060240000}"/>
    <cellStyle name="SAPBEXHLevel3" xfId="9265" xr:uid="{00000000-0005-0000-0000-000061240000}"/>
    <cellStyle name="SAPBEXHLevel3 2" xfId="9266" xr:uid="{00000000-0005-0000-0000-000062240000}"/>
    <cellStyle name="SAPBEXHLevel3 2 2" xfId="9267" xr:uid="{00000000-0005-0000-0000-000063240000}"/>
    <cellStyle name="SAPBEXHLevel3 3" xfId="9268" xr:uid="{00000000-0005-0000-0000-000064240000}"/>
    <cellStyle name="SAPBEXHLevel3 4" xfId="9269" xr:uid="{00000000-0005-0000-0000-000065240000}"/>
    <cellStyle name="SAPBEXHLevel3X" xfId="9270" xr:uid="{00000000-0005-0000-0000-000066240000}"/>
    <cellStyle name="SAPBEXHLevel3X 2" xfId="9271" xr:uid="{00000000-0005-0000-0000-000067240000}"/>
    <cellStyle name="SAPBEXHLevel3X 2 2" xfId="9272" xr:uid="{00000000-0005-0000-0000-000068240000}"/>
    <cellStyle name="SAPBEXHLevel3X 3" xfId="9273" xr:uid="{00000000-0005-0000-0000-000069240000}"/>
    <cellStyle name="SAPBEXHLevel3X 4" xfId="9274" xr:uid="{00000000-0005-0000-0000-00006A240000}"/>
    <cellStyle name="SAPBEXinputData" xfId="9275" xr:uid="{00000000-0005-0000-0000-00006B240000}"/>
    <cellStyle name="SAPBEXinputData 2" xfId="9276" xr:uid="{00000000-0005-0000-0000-00006C240000}"/>
    <cellStyle name="SAPBEXinputData 2 2" xfId="9277" xr:uid="{00000000-0005-0000-0000-00006D240000}"/>
    <cellStyle name="SAPBEXinputData 3" xfId="9278" xr:uid="{00000000-0005-0000-0000-00006E240000}"/>
    <cellStyle name="SAPBEXItemHeader" xfId="9279" xr:uid="{00000000-0005-0000-0000-00006F240000}"/>
    <cellStyle name="SAPBEXresData" xfId="9280" xr:uid="{00000000-0005-0000-0000-000070240000}"/>
    <cellStyle name="SAPBEXresData 2" xfId="9281" xr:uid="{00000000-0005-0000-0000-000071240000}"/>
    <cellStyle name="SAPBEXresData 3" xfId="9282" xr:uid="{00000000-0005-0000-0000-000072240000}"/>
    <cellStyle name="SAPBEXresDataEmph" xfId="9283" xr:uid="{00000000-0005-0000-0000-000073240000}"/>
    <cellStyle name="SAPBEXresDataEmph 2" xfId="9284" xr:uid="{00000000-0005-0000-0000-000074240000}"/>
    <cellStyle name="SAPBEXresDataEmph 3" xfId="9285" xr:uid="{00000000-0005-0000-0000-000075240000}"/>
    <cellStyle name="SAPBEXresItem" xfId="9286" xr:uid="{00000000-0005-0000-0000-000076240000}"/>
    <cellStyle name="SAPBEXresItem 2" xfId="9287" xr:uid="{00000000-0005-0000-0000-000077240000}"/>
    <cellStyle name="SAPBEXresItem 3" xfId="9288" xr:uid="{00000000-0005-0000-0000-000078240000}"/>
    <cellStyle name="SAPBEXresItemX" xfId="9289" xr:uid="{00000000-0005-0000-0000-000079240000}"/>
    <cellStyle name="SAPBEXresItemX 2" xfId="9290" xr:uid="{00000000-0005-0000-0000-00007A240000}"/>
    <cellStyle name="SAPBEXresItemX 3" xfId="9291" xr:uid="{00000000-0005-0000-0000-00007B240000}"/>
    <cellStyle name="SAPBEXstdData" xfId="9292" xr:uid="{00000000-0005-0000-0000-00007C240000}"/>
    <cellStyle name="SAPBEXstdData 2" xfId="9293" xr:uid="{00000000-0005-0000-0000-00007D240000}"/>
    <cellStyle name="SAPBEXstdData 3" xfId="9294" xr:uid="{00000000-0005-0000-0000-00007E240000}"/>
    <cellStyle name="SAPBEXstdData 4" xfId="9295" xr:uid="{00000000-0005-0000-0000-00007F240000}"/>
    <cellStyle name="SAPBEXstdDataEmph" xfId="9296" xr:uid="{00000000-0005-0000-0000-000080240000}"/>
    <cellStyle name="SAPBEXstdDataEmph 2" xfId="9297" xr:uid="{00000000-0005-0000-0000-000081240000}"/>
    <cellStyle name="SAPBEXstdDataEmph 3" xfId="9298" xr:uid="{00000000-0005-0000-0000-000082240000}"/>
    <cellStyle name="SAPBEXstdItem" xfId="9299" xr:uid="{00000000-0005-0000-0000-000083240000}"/>
    <cellStyle name="SAPBEXstdItem 2" xfId="9300" xr:uid="{00000000-0005-0000-0000-000084240000}"/>
    <cellStyle name="SAPBEXstdItem 2 2" xfId="9301" xr:uid="{00000000-0005-0000-0000-000085240000}"/>
    <cellStyle name="SAPBEXstdItem 2 2 2" xfId="9302" xr:uid="{00000000-0005-0000-0000-000086240000}"/>
    <cellStyle name="SAPBEXstdItem 2 3" xfId="9303" xr:uid="{00000000-0005-0000-0000-000087240000}"/>
    <cellStyle name="SAPBEXstdItem 3" xfId="9304" xr:uid="{00000000-0005-0000-0000-000088240000}"/>
    <cellStyle name="SAPBEXstdItem 3 2" xfId="9305" xr:uid="{00000000-0005-0000-0000-000089240000}"/>
    <cellStyle name="SAPBEXstdItem 3 2 2" xfId="9306" xr:uid="{00000000-0005-0000-0000-00008A240000}"/>
    <cellStyle name="SAPBEXstdItem 3 3" xfId="9307" xr:uid="{00000000-0005-0000-0000-00008B240000}"/>
    <cellStyle name="SAPBEXstdItem 3 3 2" xfId="9308" xr:uid="{00000000-0005-0000-0000-00008C240000}"/>
    <cellStyle name="SAPBEXstdItem 3 4" xfId="9309" xr:uid="{00000000-0005-0000-0000-00008D240000}"/>
    <cellStyle name="SAPBEXstdItem 3 4 2" xfId="9310" xr:uid="{00000000-0005-0000-0000-00008E240000}"/>
    <cellStyle name="SAPBEXstdItem 4" xfId="9311" xr:uid="{00000000-0005-0000-0000-00008F240000}"/>
    <cellStyle name="SAPBEXstdItem 4 2" xfId="9312" xr:uid="{00000000-0005-0000-0000-000090240000}"/>
    <cellStyle name="SAPBEXstdItem 5" xfId="9313" xr:uid="{00000000-0005-0000-0000-000091240000}"/>
    <cellStyle name="SAPBEXstdItem 6" xfId="9314" xr:uid="{00000000-0005-0000-0000-000092240000}"/>
    <cellStyle name="SAPBEXstdItem 7" xfId="9315" xr:uid="{00000000-0005-0000-0000-000093240000}"/>
    <cellStyle name="SAPBEXstdItem 8" xfId="9316" xr:uid="{00000000-0005-0000-0000-000094240000}"/>
    <cellStyle name="SAPBEXstdItemX" xfId="9317" xr:uid="{00000000-0005-0000-0000-000095240000}"/>
    <cellStyle name="SAPBEXstdItemX 2" xfId="9318" xr:uid="{00000000-0005-0000-0000-000096240000}"/>
    <cellStyle name="SAPBEXstdItemX 2 2" xfId="9319" xr:uid="{00000000-0005-0000-0000-000097240000}"/>
    <cellStyle name="SAPBEXstdItemX 2 2 2" xfId="9320" xr:uid="{00000000-0005-0000-0000-000098240000}"/>
    <cellStyle name="SAPBEXstdItemX 2 3" xfId="9321" xr:uid="{00000000-0005-0000-0000-000099240000}"/>
    <cellStyle name="SAPBEXstdItemX 3" xfId="9322" xr:uid="{00000000-0005-0000-0000-00009A240000}"/>
    <cellStyle name="SAPBEXstdItemX 3 2" xfId="9323" xr:uid="{00000000-0005-0000-0000-00009B240000}"/>
    <cellStyle name="SAPBEXstdItemX 3 2 2" xfId="9324" xr:uid="{00000000-0005-0000-0000-00009C240000}"/>
    <cellStyle name="SAPBEXstdItemX 3 3" xfId="9325" xr:uid="{00000000-0005-0000-0000-00009D240000}"/>
    <cellStyle name="SAPBEXstdItemX 3 3 2" xfId="9326" xr:uid="{00000000-0005-0000-0000-00009E240000}"/>
    <cellStyle name="SAPBEXstdItemX 3 4" xfId="9327" xr:uid="{00000000-0005-0000-0000-00009F240000}"/>
    <cellStyle name="SAPBEXstdItemX 3 4 2" xfId="9328" xr:uid="{00000000-0005-0000-0000-0000A0240000}"/>
    <cellStyle name="SAPBEXstdItemX 4" xfId="9329" xr:uid="{00000000-0005-0000-0000-0000A1240000}"/>
    <cellStyle name="SAPBEXstdItemX 4 2" xfId="9330" xr:uid="{00000000-0005-0000-0000-0000A2240000}"/>
    <cellStyle name="SAPBEXstdItemX 5" xfId="9331" xr:uid="{00000000-0005-0000-0000-0000A3240000}"/>
    <cellStyle name="SAPBEXstdItemX 6" xfId="9332" xr:uid="{00000000-0005-0000-0000-0000A4240000}"/>
    <cellStyle name="SAPBEXstdItemX 7" xfId="9333" xr:uid="{00000000-0005-0000-0000-0000A5240000}"/>
    <cellStyle name="SAPBEXstdItemX 8" xfId="9334" xr:uid="{00000000-0005-0000-0000-0000A6240000}"/>
    <cellStyle name="SAPBEXtitle" xfId="9335" xr:uid="{00000000-0005-0000-0000-0000A7240000}"/>
    <cellStyle name="SAPBEXtitle 2" xfId="9336" xr:uid="{00000000-0005-0000-0000-0000A8240000}"/>
    <cellStyle name="SAPBEXtitle 3" xfId="9337" xr:uid="{00000000-0005-0000-0000-0000A9240000}"/>
    <cellStyle name="SAPBEXunassignedItem" xfId="9338" xr:uid="{00000000-0005-0000-0000-0000AA240000}"/>
    <cellStyle name="SAPBEXundefined" xfId="9339" xr:uid="{00000000-0005-0000-0000-0000AB240000}"/>
    <cellStyle name="SAPBEXundefined 2" xfId="9340" xr:uid="{00000000-0005-0000-0000-0000AC240000}"/>
    <cellStyle name="SAPBEXundefined 3" xfId="9341" xr:uid="{00000000-0005-0000-0000-0000AD240000}"/>
    <cellStyle name="shade" xfId="9342" xr:uid="{00000000-0005-0000-0000-0000AE240000}"/>
    <cellStyle name="shade 2" xfId="9343" xr:uid="{00000000-0005-0000-0000-0000AF240000}"/>
    <cellStyle name="shade 2 2" xfId="9344" xr:uid="{00000000-0005-0000-0000-0000B0240000}"/>
    <cellStyle name="shade 2 2 2" xfId="9345" xr:uid="{00000000-0005-0000-0000-0000B1240000}"/>
    <cellStyle name="shade 2 3" xfId="9346" xr:uid="{00000000-0005-0000-0000-0000B2240000}"/>
    <cellStyle name="shade 3" xfId="9347" xr:uid="{00000000-0005-0000-0000-0000B3240000}"/>
    <cellStyle name="shade 3 2" xfId="9348" xr:uid="{00000000-0005-0000-0000-0000B4240000}"/>
    <cellStyle name="shade 3 2 2" xfId="9349" xr:uid="{00000000-0005-0000-0000-0000B5240000}"/>
    <cellStyle name="shade 3 3" xfId="9350" xr:uid="{00000000-0005-0000-0000-0000B6240000}"/>
    <cellStyle name="shade 3 3 2" xfId="9351" xr:uid="{00000000-0005-0000-0000-0000B7240000}"/>
    <cellStyle name="shade 3 4" xfId="9352" xr:uid="{00000000-0005-0000-0000-0000B8240000}"/>
    <cellStyle name="shade 3 4 2" xfId="9353" xr:uid="{00000000-0005-0000-0000-0000B9240000}"/>
    <cellStyle name="shade 4" xfId="9354" xr:uid="{00000000-0005-0000-0000-0000BA240000}"/>
    <cellStyle name="shade 4 2" xfId="9355" xr:uid="{00000000-0005-0000-0000-0000BB240000}"/>
    <cellStyle name="shade 5" xfId="9356" xr:uid="{00000000-0005-0000-0000-0000BC240000}"/>
    <cellStyle name="shade 6" xfId="9357" xr:uid="{00000000-0005-0000-0000-0000BD240000}"/>
    <cellStyle name="shade 7" xfId="9358" xr:uid="{00000000-0005-0000-0000-0000BE240000}"/>
    <cellStyle name="shade_ACCOUNTS" xfId="9359" xr:uid="{00000000-0005-0000-0000-0000BF240000}"/>
    <cellStyle name="Sheet Title" xfId="9360" xr:uid="{00000000-0005-0000-0000-0000C0240000}"/>
    <cellStyle name="StmtTtl1" xfId="9361" xr:uid="{00000000-0005-0000-0000-0000C1240000}"/>
    <cellStyle name="StmtTtl1 2" xfId="9362" xr:uid="{00000000-0005-0000-0000-0000C2240000}"/>
    <cellStyle name="StmtTtl1 2 2" xfId="9363" xr:uid="{00000000-0005-0000-0000-0000C3240000}"/>
    <cellStyle name="StmtTtl1 2 3" xfId="9364" xr:uid="{00000000-0005-0000-0000-0000C4240000}"/>
    <cellStyle name="StmtTtl1 2 4" xfId="9365" xr:uid="{00000000-0005-0000-0000-0000C5240000}"/>
    <cellStyle name="StmtTtl1 3" xfId="9366" xr:uid="{00000000-0005-0000-0000-0000C6240000}"/>
    <cellStyle name="StmtTtl1 3 2" xfId="9367" xr:uid="{00000000-0005-0000-0000-0000C7240000}"/>
    <cellStyle name="StmtTtl1 3 3" xfId="9368" xr:uid="{00000000-0005-0000-0000-0000C8240000}"/>
    <cellStyle name="StmtTtl1 3 4" xfId="9369" xr:uid="{00000000-0005-0000-0000-0000C9240000}"/>
    <cellStyle name="StmtTtl1 4" xfId="9370" xr:uid="{00000000-0005-0000-0000-0000CA240000}"/>
    <cellStyle name="StmtTtl1 4 2" xfId="9371" xr:uid="{00000000-0005-0000-0000-0000CB240000}"/>
    <cellStyle name="StmtTtl1 4 3" xfId="9372" xr:uid="{00000000-0005-0000-0000-0000CC240000}"/>
    <cellStyle name="StmtTtl1 4 4" xfId="9373" xr:uid="{00000000-0005-0000-0000-0000CD240000}"/>
    <cellStyle name="StmtTtl1 5" xfId="9374" xr:uid="{00000000-0005-0000-0000-0000CE240000}"/>
    <cellStyle name="StmtTtl1 5 2" xfId="9375" xr:uid="{00000000-0005-0000-0000-0000CF240000}"/>
    <cellStyle name="StmtTtl1 6" xfId="9376" xr:uid="{00000000-0005-0000-0000-0000D0240000}"/>
    <cellStyle name="StmtTtl1 6 2" xfId="9377" xr:uid="{00000000-0005-0000-0000-0000D1240000}"/>
    <cellStyle name="StmtTtl1 7" xfId="9378" xr:uid="{00000000-0005-0000-0000-0000D2240000}"/>
    <cellStyle name="StmtTtl1 8" xfId="9379" xr:uid="{00000000-0005-0000-0000-0000D3240000}"/>
    <cellStyle name="StmtTtl1_(C) WHE Proforma with ITC cash grant 10 Yr Amort_for deferral_102809" xfId="9380" xr:uid="{00000000-0005-0000-0000-0000D4240000}"/>
    <cellStyle name="StmtTtl2" xfId="9381" xr:uid="{00000000-0005-0000-0000-0000D5240000}"/>
    <cellStyle name="StmtTtl2 2" xfId="9382" xr:uid="{00000000-0005-0000-0000-0000D6240000}"/>
    <cellStyle name="StmtTtl2 2 2" xfId="9383" xr:uid="{00000000-0005-0000-0000-0000D7240000}"/>
    <cellStyle name="StmtTtl2 3" xfId="9384" xr:uid="{00000000-0005-0000-0000-0000D8240000}"/>
    <cellStyle name="StmtTtl2 3 2" xfId="9385" xr:uid="{00000000-0005-0000-0000-0000D9240000}"/>
    <cellStyle name="StmtTtl2 4" xfId="9386" xr:uid="{00000000-0005-0000-0000-0000DA240000}"/>
    <cellStyle name="StmtTtl2 5" xfId="9387" xr:uid="{00000000-0005-0000-0000-0000DB240000}"/>
    <cellStyle name="StmtTtl2 6" xfId="9388" xr:uid="{00000000-0005-0000-0000-0000DC240000}"/>
    <cellStyle name="StmtTtl2 7" xfId="9389" xr:uid="{00000000-0005-0000-0000-0000DD240000}"/>
    <cellStyle name="StmtTtl2 8" xfId="9390" xr:uid="{00000000-0005-0000-0000-0000DE240000}"/>
    <cellStyle name="StmtTtl2 9" xfId="9391" xr:uid="{00000000-0005-0000-0000-0000DF240000}"/>
    <cellStyle name="StmtTtl2_4.32E Depreciation Study Robs file" xfId="9392" xr:uid="{00000000-0005-0000-0000-0000E0240000}"/>
    <cellStyle name="STYL1 - Style1" xfId="9393" xr:uid="{00000000-0005-0000-0000-0000E1240000}"/>
    <cellStyle name="STYL1 - Style1 2" xfId="9394" xr:uid="{00000000-0005-0000-0000-0000E2240000}"/>
    <cellStyle name="Style 1" xfId="9395" xr:uid="{00000000-0005-0000-0000-0000E3240000}"/>
    <cellStyle name="Style 1 10" xfId="9396" xr:uid="{00000000-0005-0000-0000-0000E4240000}"/>
    <cellStyle name="Style 1 11" xfId="9397" xr:uid="{00000000-0005-0000-0000-0000E5240000}"/>
    <cellStyle name="Style 1 2" xfId="9398" xr:uid="{00000000-0005-0000-0000-0000E6240000}"/>
    <cellStyle name="Style 1 2 2" xfId="9399" xr:uid="{00000000-0005-0000-0000-0000E7240000}"/>
    <cellStyle name="Style 1 2 2 2" xfId="9400" xr:uid="{00000000-0005-0000-0000-0000E8240000}"/>
    <cellStyle name="Style 1 2 3" xfId="9401" xr:uid="{00000000-0005-0000-0000-0000E9240000}"/>
    <cellStyle name="Style 1 2 4" xfId="9402" xr:uid="{00000000-0005-0000-0000-0000EA240000}"/>
    <cellStyle name="Style 1 2 5" xfId="9403" xr:uid="{00000000-0005-0000-0000-0000EB240000}"/>
    <cellStyle name="Style 1 2 6" xfId="9404" xr:uid="{00000000-0005-0000-0000-0000EC240000}"/>
    <cellStyle name="Style 1 2_Chelan PUD Power Costs (8-10)" xfId="9405" xr:uid="{00000000-0005-0000-0000-0000ED240000}"/>
    <cellStyle name="Style 1 3" xfId="9406" xr:uid="{00000000-0005-0000-0000-0000EE240000}"/>
    <cellStyle name="Style 1 3 2" xfId="9407" xr:uid="{00000000-0005-0000-0000-0000EF240000}"/>
    <cellStyle name="Style 1 3 2 2" xfId="9408" xr:uid="{00000000-0005-0000-0000-0000F0240000}"/>
    <cellStyle name="Style 1 3 2 3" xfId="9409" xr:uid="{00000000-0005-0000-0000-0000F1240000}"/>
    <cellStyle name="Style 1 3 3" xfId="9410" xr:uid="{00000000-0005-0000-0000-0000F2240000}"/>
    <cellStyle name="Style 1 3 3 2" xfId="9411" xr:uid="{00000000-0005-0000-0000-0000F3240000}"/>
    <cellStyle name="Style 1 3 4" xfId="9412" xr:uid="{00000000-0005-0000-0000-0000F4240000}"/>
    <cellStyle name="Style 1 3 5" xfId="9413" xr:uid="{00000000-0005-0000-0000-0000F5240000}"/>
    <cellStyle name="Style 1 4" xfId="9414" xr:uid="{00000000-0005-0000-0000-0000F6240000}"/>
    <cellStyle name="Style 1 4 2" xfId="9415" xr:uid="{00000000-0005-0000-0000-0000F7240000}"/>
    <cellStyle name="Style 1 4 2 2" xfId="9416" xr:uid="{00000000-0005-0000-0000-0000F8240000}"/>
    <cellStyle name="Style 1 4 3" xfId="9417" xr:uid="{00000000-0005-0000-0000-0000F9240000}"/>
    <cellStyle name="Style 1 4 4" xfId="9418" xr:uid="{00000000-0005-0000-0000-0000FA240000}"/>
    <cellStyle name="Style 1 5" xfId="9419" xr:uid="{00000000-0005-0000-0000-0000FB240000}"/>
    <cellStyle name="Style 1 5 2" xfId="9420" xr:uid="{00000000-0005-0000-0000-0000FC240000}"/>
    <cellStyle name="Style 1 5 2 2" xfId="9421" xr:uid="{00000000-0005-0000-0000-0000FD240000}"/>
    <cellStyle name="Style 1 5 3" xfId="9422" xr:uid="{00000000-0005-0000-0000-0000FE240000}"/>
    <cellStyle name="Style 1 5 4" xfId="9423" xr:uid="{00000000-0005-0000-0000-0000FF240000}"/>
    <cellStyle name="Style 1 6" xfId="9424" xr:uid="{00000000-0005-0000-0000-000000250000}"/>
    <cellStyle name="Style 1 6 2" xfId="9425" xr:uid="{00000000-0005-0000-0000-000001250000}"/>
    <cellStyle name="Style 1 6 2 2" xfId="9426" xr:uid="{00000000-0005-0000-0000-000002250000}"/>
    <cellStyle name="Style 1 6 2 3" xfId="9427" xr:uid="{00000000-0005-0000-0000-000003250000}"/>
    <cellStyle name="Style 1 6 3" xfId="9428" xr:uid="{00000000-0005-0000-0000-000004250000}"/>
    <cellStyle name="Style 1 6 3 2" xfId="9429" xr:uid="{00000000-0005-0000-0000-000005250000}"/>
    <cellStyle name="Style 1 6 4" xfId="9430" xr:uid="{00000000-0005-0000-0000-000006250000}"/>
    <cellStyle name="Style 1 6 4 2" xfId="9431" xr:uid="{00000000-0005-0000-0000-000007250000}"/>
    <cellStyle name="Style 1 6 5" xfId="9432" xr:uid="{00000000-0005-0000-0000-000008250000}"/>
    <cellStyle name="Style 1 6 5 2" xfId="9433" xr:uid="{00000000-0005-0000-0000-000009250000}"/>
    <cellStyle name="Style 1 6 6" xfId="9434" xr:uid="{00000000-0005-0000-0000-00000A250000}"/>
    <cellStyle name="Style 1 7" xfId="9435" xr:uid="{00000000-0005-0000-0000-00000B250000}"/>
    <cellStyle name="Style 1 8" xfId="9436" xr:uid="{00000000-0005-0000-0000-00000C250000}"/>
    <cellStyle name="Style 1 9" xfId="9437" xr:uid="{00000000-0005-0000-0000-00000D250000}"/>
    <cellStyle name="Style 1_ Price Inputs" xfId="9438" xr:uid="{00000000-0005-0000-0000-00000E250000}"/>
    <cellStyle name="STYLE1" xfId="9439" xr:uid="{00000000-0005-0000-0000-00000F250000}"/>
    <cellStyle name="STYLE2" xfId="9440" xr:uid="{00000000-0005-0000-0000-000010250000}"/>
    <cellStyle name="STYLE3" xfId="9441" xr:uid="{00000000-0005-0000-0000-000011250000}"/>
    <cellStyle name="sub-tl - Style3" xfId="9442" xr:uid="{00000000-0005-0000-0000-000012250000}"/>
    <cellStyle name="subtot - Style5" xfId="9443" xr:uid="{00000000-0005-0000-0000-000013250000}"/>
    <cellStyle name="Subtotal" xfId="9444" xr:uid="{00000000-0005-0000-0000-000014250000}"/>
    <cellStyle name="Sub-total" xfId="9445" xr:uid="{00000000-0005-0000-0000-000015250000}"/>
    <cellStyle name="Subtotal 2" xfId="9446" xr:uid="{00000000-0005-0000-0000-000016250000}"/>
    <cellStyle name="Sub-total 2" xfId="9447" xr:uid="{00000000-0005-0000-0000-000017250000}"/>
    <cellStyle name="Subtotal 3" xfId="9448" xr:uid="{00000000-0005-0000-0000-000018250000}"/>
    <cellStyle name="Sub-total 3" xfId="9449" xr:uid="{00000000-0005-0000-0000-000019250000}"/>
    <cellStyle name="taples Plaza" xfId="9450" xr:uid="{00000000-0005-0000-0000-00001A250000}"/>
    <cellStyle name="Test" xfId="9451" xr:uid="{00000000-0005-0000-0000-00001B250000}"/>
    <cellStyle name="Tickmark" xfId="9452" xr:uid="{00000000-0005-0000-0000-00001C250000}"/>
    <cellStyle name="Title 2" xfId="9453" xr:uid="{00000000-0005-0000-0000-00001D250000}"/>
    <cellStyle name="Title 2 2" xfId="9454" xr:uid="{00000000-0005-0000-0000-00001E250000}"/>
    <cellStyle name="Title 2 2 2" xfId="9455" xr:uid="{00000000-0005-0000-0000-00001F250000}"/>
    <cellStyle name="Title 2 3" xfId="9456" xr:uid="{00000000-0005-0000-0000-000020250000}"/>
    <cellStyle name="Title 3" xfId="9457" xr:uid="{00000000-0005-0000-0000-000021250000}"/>
    <cellStyle name="Title 3 2" xfId="9458" xr:uid="{00000000-0005-0000-0000-000022250000}"/>
    <cellStyle name="Title 3 3" xfId="9459" xr:uid="{00000000-0005-0000-0000-000023250000}"/>
    <cellStyle name="Title 3 4" xfId="9460" xr:uid="{00000000-0005-0000-0000-000024250000}"/>
    <cellStyle name="Title 4" xfId="9461" xr:uid="{00000000-0005-0000-0000-000025250000}"/>
    <cellStyle name="Title 5" xfId="9462" xr:uid="{00000000-0005-0000-0000-000026250000}"/>
    <cellStyle name="Title 6" xfId="9463" xr:uid="{00000000-0005-0000-0000-000027250000}"/>
    <cellStyle name="Title: - Style3" xfId="9464" xr:uid="{00000000-0005-0000-0000-000028250000}"/>
    <cellStyle name="Title: - Style4" xfId="9465" xr:uid="{00000000-0005-0000-0000-000029250000}"/>
    <cellStyle name="Title: Major" xfId="9466" xr:uid="{00000000-0005-0000-0000-00002A250000}"/>
    <cellStyle name="Title: Major 2" xfId="9467" xr:uid="{00000000-0005-0000-0000-00002B250000}"/>
    <cellStyle name="Title: Major 3" xfId="9468" xr:uid="{00000000-0005-0000-0000-00002C250000}"/>
    <cellStyle name="Title: Minor" xfId="9469" xr:uid="{00000000-0005-0000-0000-00002D250000}"/>
    <cellStyle name="Title: Minor 2" xfId="9470" xr:uid="{00000000-0005-0000-0000-00002E250000}"/>
    <cellStyle name="Title: Minor 3" xfId="9471" xr:uid="{00000000-0005-0000-0000-00002F250000}"/>
    <cellStyle name="Title: Minor_Electric Rev Req Model (2009 GRC) Rebuttal" xfId="9472" xr:uid="{00000000-0005-0000-0000-000030250000}"/>
    <cellStyle name="Title: Worksheet" xfId="9473" xr:uid="{00000000-0005-0000-0000-000031250000}"/>
    <cellStyle name="Title: Worksheet 2" xfId="9474" xr:uid="{00000000-0005-0000-0000-000032250000}"/>
    <cellStyle name="Total 2" xfId="9475" xr:uid="{00000000-0005-0000-0000-000033250000}"/>
    <cellStyle name="Total 2 2" xfId="9476" xr:uid="{00000000-0005-0000-0000-000034250000}"/>
    <cellStyle name="Total 2 2 2" xfId="9477" xr:uid="{00000000-0005-0000-0000-000035250000}"/>
    <cellStyle name="Total 2 2 3" xfId="9478" xr:uid="{00000000-0005-0000-0000-000036250000}"/>
    <cellStyle name="Total 2 3" xfId="9479" xr:uid="{00000000-0005-0000-0000-000037250000}"/>
    <cellStyle name="Total 2 3 2" xfId="9480" xr:uid="{00000000-0005-0000-0000-000038250000}"/>
    <cellStyle name="Total 2 3 3" xfId="9481" xr:uid="{00000000-0005-0000-0000-000039250000}"/>
    <cellStyle name="Total 2 3 4" xfId="9482" xr:uid="{00000000-0005-0000-0000-00003A250000}"/>
    <cellStyle name="Total 2 4" xfId="9483" xr:uid="{00000000-0005-0000-0000-00003B250000}"/>
    <cellStyle name="Total 3" xfId="9484" xr:uid="{00000000-0005-0000-0000-00003C250000}"/>
    <cellStyle name="Total 3 2" xfId="9485" xr:uid="{00000000-0005-0000-0000-00003D250000}"/>
    <cellStyle name="Total 3 3" xfId="9486" xr:uid="{00000000-0005-0000-0000-00003E250000}"/>
    <cellStyle name="Total 3 4" xfId="9487" xr:uid="{00000000-0005-0000-0000-00003F250000}"/>
    <cellStyle name="Total 4" xfId="9488" xr:uid="{00000000-0005-0000-0000-000040250000}"/>
    <cellStyle name="Total 4 2" xfId="9489" xr:uid="{00000000-0005-0000-0000-000041250000}"/>
    <cellStyle name="Total 5" xfId="9490" xr:uid="{00000000-0005-0000-0000-000042250000}"/>
    <cellStyle name="Total 6" xfId="9491" xr:uid="{00000000-0005-0000-0000-000043250000}"/>
    <cellStyle name="Total 9" xfId="9492" xr:uid="{00000000-0005-0000-0000-000044250000}"/>
    <cellStyle name="Total 9 2" xfId="9493" xr:uid="{00000000-0005-0000-0000-000045250000}"/>
    <cellStyle name="Total4 - Style4" xfId="9494" xr:uid="{00000000-0005-0000-0000-000046250000}"/>
    <cellStyle name="Total4 - Style4 2" xfId="9495" xr:uid="{00000000-0005-0000-0000-000047250000}"/>
    <cellStyle name="Total4 - Style4 2 2" xfId="9496" xr:uid="{00000000-0005-0000-0000-000048250000}"/>
    <cellStyle name="Total4 - Style4 3" xfId="9497" xr:uid="{00000000-0005-0000-0000-000049250000}"/>
    <cellStyle name="Total4 - Style4_ACCOUNTS" xfId="9498" xr:uid="{00000000-0005-0000-0000-00004A250000}"/>
    <cellStyle name="Warning Text 2" xfId="9499" xr:uid="{00000000-0005-0000-0000-00004B250000}"/>
    <cellStyle name="Warning Text 2 2" xfId="9500" xr:uid="{00000000-0005-0000-0000-00004C250000}"/>
    <cellStyle name="Warning Text 2 2 2" xfId="9501" xr:uid="{00000000-0005-0000-0000-00004D250000}"/>
    <cellStyle name="Warning Text 2 3" xfId="9502" xr:uid="{00000000-0005-0000-0000-00004E250000}"/>
    <cellStyle name="Warning Text 3" xfId="9503" xr:uid="{00000000-0005-0000-0000-00004F250000}"/>
    <cellStyle name="Warning Text 4" xfId="9504" xr:uid="{00000000-0005-0000-0000-000050250000}"/>
    <cellStyle name="WM_STANDARD" xfId="9518" xr:uid="{00000000-0005-0000-0000-000051250000}"/>
    <cellStyle name="WMI_Standard" xfId="9517" xr:uid="{00000000-0005-0000-0000-000052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9"/>
  <sheetViews>
    <sheetView topLeftCell="U1" workbookViewId="0">
      <selection activeCell="AU60" sqref="AU60"/>
    </sheetView>
  </sheetViews>
  <sheetFormatPr defaultRowHeight="14.4"/>
  <cols>
    <col min="1" max="1" width="5.33203125" customWidth="1"/>
    <col min="3" max="3" width="22.5546875" customWidth="1"/>
    <col min="4" max="4" width="17.33203125" customWidth="1"/>
    <col min="5" max="5" width="17.6640625" customWidth="1"/>
    <col min="6" max="6" width="16.88671875" customWidth="1"/>
    <col min="7" max="7" width="17.6640625" customWidth="1"/>
    <col min="8" max="8" width="16.33203125" customWidth="1"/>
    <col min="9" max="10" width="17.33203125" customWidth="1"/>
    <col min="11" max="11" width="16.5546875" customWidth="1"/>
    <col min="12" max="12" width="3.33203125" style="247" customWidth="1"/>
    <col min="13" max="13" width="6" customWidth="1"/>
    <col min="14" max="14" width="38" customWidth="1"/>
    <col min="15" max="15" width="19.33203125" customWidth="1"/>
    <col min="16" max="16" width="16.88671875" bestFit="1" customWidth="1"/>
    <col min="17" max="17" width="16.33203125" customWidth="1"/>
    <col min="18" max="18" width="3.33203125" style="247" customWidth="1"/>
    <col min="19" max="19" width="5.6640625" customWidth="1"/>
    <col min="20" max="20" width="26.33203125" customWidth="1"/>
    <col min="21" max="21" width="16.88671875" customWidth="1"/>
    <col min="22" max="22" width="12.5546875" customWidth="1"/>
    <col min="23" max="23" width="12.6640625" customWidth="1"/>
    <col min="24" max="24" width="12.5546875" customWidth="1"/>
    <col min="25" max="25" width="12.33203125" customWidth="1"/>
    <col min="26" max="27" width="12.5546875" customWidth="1"/>
    <col min="28" max="28" width="12.33203125" customWidth="1"/>
    <col min="29" max="29" width="12.6640625" customWidth="1"/>
    <col min="30" max="30" width="12.5546875" customWidth="1"/>
    <col min="31" max="31" width="12.33203125" customWidth="1"/>
    <col min="32" max="32" width="12.109375" customWidth="1"/>
    <col min="33" max="33" width="12.33203125" customWidth="1"/>
    <col min="34" max="34" width="13.88671875" customWidth="1"/>
    <col min="35" max="35" width="3.6640625" style="247" customWidth="1"/>
    <col min="36" max="36" width="2.44140625" customWidth="1"/>
    <col min="37" max="37" width="22.6640625" customWidth="1"/>
    <col min="39" max="50" width="12.5546875" bestFit="1" customWidth="1"/>
    <col min="51" max="51" width="14.33203125" bestFit="1" customWidth="1"/>
    <col min="52" max="52" width="4.5546875" style="247" customWidth="1"/>
    <col min="54" max="54" width="3" customWidth="1"/>
    <col min="55" max="55" width="30.6640625" customWidth="1"/>
    <col min="56" max="56" width="3.33203125" customWidth="1"/>
  </cols>
  <sheetData>
    <row r="1" spans="1:57" ht="17.399999999999999">
      <c r="A1" s="385" t="s">
        <v>20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M1" s="2"/>
      <c r="N1" s="2"/>
      <c r="O1" s="2"/>
      <c r="P1" s="2"/>
      <c r="Q1" s="2"/>
      <c r="S1" s="391" t="s">
        <v>20</v>
      </c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J1" s="151" t="s">
        <v>305</v>
      </c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BA1" s="123" t="s">
        <v>155</v>
      </c>
      <c r="BB1" s="237"/>
      <c r="BC1" s="237"/>
      <c r="BD1" s="237"/>
      <c r="BE1" s="240"/>
    </row>
    <row r="2" spans="1:57" ht="17.399999999999999">
      <c r="A2" s="385" t="s">
        <v>52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M2" s="385" t="s">
        <v>20</v>
      </c>
      <c r="N2" s="385"/>
      <c r="O2" s="385"/>
      <c r="P2" s="385"/>
      <c r="Q2" s="385"/>
      <c r="S2" s="391" t="str">
        <f>M3</f>
        <v xml:space="preserve"> Electric Decoupling Mechanism</v>
      </c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J2" s="151" t="s">
        <v>80</v>
      </c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BA2" s="389" t="s">
        <v>156</v>
      </c>
      <c r="BB2" s="389"/>
      <c r="BC2" s="389"/>
      <c r="BD2" s="389"/>
      <c r="BE2" s="389"/>
    </row>
    <row r="3" spans="1:57" ht="17.399999999999999">
      <c r="A3" s="386" t="s">
        <v>76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M3" s="385" t="s">
        <v>52</v>
      </c>
      <c r="N3" s="385"/>
      <c r="O3" s="385"/>
      <c r="P3" s="385"/>
      <c r="Q3" s="385"/>
      <c r="S3" s="392" t="s">
        <v>75</v>
      </c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J3" s="151" t="s">
        <v>306</v>
      </c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BA3" s="389" t="s">
        <v>157</v>
      </c>
      <c r="BB3" s="389"/>
      <c r="BC3" s="389"/>
      <c r="BD3" s="389"/>
      <c r="BE3" s="389"/>
    </row>
    <row r="4" spans="1:57" ht="15.6">
      <c r="A4" s="7"/>
      <c r="B4" s="8"/>
      <c r="C4" s="8"/>
      <c r="D4" s="8"/>
      <c r="E4" s="8"/>
      <c r="F4" s="8"/>
      <c r="G4" s="8"/>
      <c r="H4" s="8"/>
      <c r="I4" s="8"/>
      <c r="J4" s="8"/>
      <c r="K4" s="8"/>
      <c r="M4" s="386" t="s">
        <v>73</v>
      </c>
      <c r="N4" s="386"/>
      <c r="O4" s="386"/>
      <c r="P4" s="386"/>
      <c r="Q4" s="386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J4" s="151" t="s">
        <v>81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BA4" s="390" t="s">
        <v>308</v>
      </c>
      <c r="BB4" s="390"/>
      <c r="BC4" s="390"/>
      <c r="BD4" s="390"/>
      <c r="BE4" s="390"/>
    </row>
    <row r="5" spans="1:57" ht="26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M5" s="24"/>
      <c r="N5" s="24"/>
      <c r="O5" s="24"/>
      <c r="P5" s="24"/>
      <c r="Q5" s="24"/>
      <c r="S5" s="251" t="s">
        <v>17</v>
      </c>
      <c r="T5" s="252"/>
      <c r="U5" s="253" t="s">
        <v>16</v>
      </c>
      <c r="V5" s="254" t="s">
        <v>35</v>
      </c>
      <c r="W5" s="254" t="s">
        <v>36</v>
      </c>
      <c r="X5" s="254" t="s">
        <v>37</v>
      </c>
      <c r="Y5" s="254" t="s">
        <v>38</v>
      </c>
      <c r="Z5" s="254" t="s">
        <v>39</v>
      </c>
      <c r="AA5" s="254" t="s">
        <v>40</v>
      </c>
      <c r="AB5" s="254" t="s">
        <v>41</v>
      </c>
      <c r="AC5" s="254" t="s">
        <v>42</v>
      </c>
      <c r="AD5" s="254" t="s">
        <v>43</v>
      </c>
      <c r="AE5" s="254" t="s">
        <v>44</v>
      </c>
      <c r="AF5" s="254" t="s">
        <v>45</v>
      </c>
      <c r="AG5" s="254" t="s">
        <v>46</v>
      </c>
      <c r="AH5" s="251" t="s">
        <v>28</v>
      </c>
      <c r="AJ5" s="151"/>
      <c r="AK5" s="151"/>
      <c r="AL5" s="151"/>
      <c r="AM5" s="151" t="s">
        <v>293</v>
      </c>
      <c r="AN5" s="151" t="s">
        <v>294</v>
      </c>
      <c r="AO5" s="151" t="s">
        <v>82</v>
      </c>
      <c r="AP5" s="151" t="s">
        <v>83</v>
      </c>
      <c r="AQ5" s="151" t="s">
        <v>39</v>
      </c>
      <c r="AR5" s="151" t="s">
        <v>295</v>
      </c>
      <c r="AS5" s="151" t="s">
        <v>296</v>
      </c>
      <c r="AT5" s="151" t="s">
        <v>297</v>
      </c>
      <c r="AU5" s="151" t="s">
        <v>298</v>
      </c>
      <c r="AV5" s="151" t="s">
        <v>299</v>
      </c>
      <c r="AW5" s="151" t="s">
        <v>300</v>
      </c>
      <c r="AX5" s="151" t="s">
        <v>301</v>
      </c>
      <c r="AY5" s="151" t="s">
        <v>66</v>
      </c>
      <c r="BA5" s="126"/>
      <c r="BB5" s="126"/>
      <c r="BC5" s="126"/>
      <c r="BD5" s="126"/>
      <c r="BE5" s="127"/>
    </row>
    <row r="6" spans="1:57" ht="15.6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02" t="s">
        <v>25</v>
      </c>
      <c r="K6" s="9" t="s">
        <v>27</v>
      </c>
      <c r="M6" s="387" t="s">
        <v>17</v>
      </c>
      <c r="N6" s="24"/>
      <c r="O6" s="24"/>
      <c r="P6" s="387" t="s">
        <v>19</v>
      </c>
      <c r="Q6" s="387" t="s">
        <v>18</v>
      </c>
      <c r="S6" s="20"/>
      <c r="T6" s="21" t="s">
        <v>14</v>
      </c>
      <c r="U6" s="21" t="s">
        <v>13</v>
      </c>
      <c r="V6" s="21" t="s">
        <v>12</v>
      </c>
      <c r="W6" s="21" t="s">
        <v>11</v>
      </c>
      <c r="X6" s="21" t="s">
        <v>10</v>
      </c>
      <c r="Y6" s="21" t="s">
        <v>9</v>
      </c>
      <c r="Z6" s="21" t="s">
        <v>8</v>
      </c>
      <c r="AA6" s="21" t="s">
        <v>7</v>
      </c>
      <c r="AB6" s="21" t="s">
        <v>6</v>
      </c>
      <c r="AC6" s="21" t="s">
        <v>5</v>
      </c>
      <c r="AD6" s="21" t="s">
        <v>4</v>
      </c>
      <c r="AE6" s="21" t="s">
        <v>3</v>
      </c>
      <c r="AF6" s="21" t="s">
        <v>2</v>
      </c>
      <c r="AG6" s="21" t="s">
        <v>1</v>
      </c>
      <c r="AH6" s="21" t="s">
        <v>0</v>
      </c>
      <c r="AJ6" s="151" t="s">
        <v>84</v>
      </c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BA6" s="237" t="s">
        <v>158</v>
      </c>
      <c r="BB6" s="237"/>
      <c r="BC6" s="237"/>
      <c r="BD6" s="237"/>
      <c r="BE6" s="129"/>
    </row>
    <row r="7" spans="1:57" ht="17.399999999999999" customHeight="1">
      <c r="A7" s="7"/>
      <c r="B7" s="8"/>
      <c r="C7" s="8"/>
      <c r="D7" s="8"/>
      <c r="E7" s="238" t="s">
        <v>28</v>
      </c>
      <c r="F7" s="238" t="s">
        <v>288</v>
      </c>
      <c r="G7" s="238" t="s">
        <v>29</v>
      </c>
      <c r="H7" s="238" t="s">
        <v>30</v>
      </c>
      <c r="I7" s="238" t="s">
        <v>32</v>
      </c>
      <c r="J7" s="103" t="s">
        <v>31</v>
      </c>
      <c r="K7" s="238" t="s">
        <v>33</v>
      </c>
      <c r="M7" s="388"/>
      <c r="N7" s="249"/>
      <c r="O7" s="248" t="s">
        <v>16</v>
      </c>
      <c r="P7" s="388"/>
      <c r="Q7" s="388"/>
      <c r="S7" s="21">
        <v>1</v>
      </c>
      <c r="T7" s="32" t="s">
        <v>47</v>
      </c>
      <c r="U7" s="21"/>
      <c r="V7" s="20"/>
      <c r="W7" s="20"/>
      <c r="X7" s="20"/>
      <c r="Y7" s="20"/>
      <c r="Z7" s="22"/>
      <c r="AA7" s="22"/>
      <c r="AB7" s="20"/>
      <c r="AC7" s="20"/>
      <c r="AD7" s="20"/>
      <c r="AE7" s="20"/>
      <c r="AF7" s="20"/>
      <c r="AG7" s="20"/>
      <c r="AH7" s="33"/>
      <c r="AJ7" s="151"/>
      <c r="AK7" s="151" t="s">
        <v>302</v>
      </c>
      <c r="AL7" s="151"/>
      <c r="AM7" s="50">
        <v>289886480</v>
      </c>
      <c r="AN7" s="50">
        <v>265521283</v>
      </c>
      <c r="AO7" s="50">
        <v>243798239</v>
      </c>
      <c r="AP7" s="50">
        <v>186717371</v>
      </c>
      <c r="AQ7" s="50">
        <v>166632949</v>
      </c>
      <c r="AR7" s="50">
        <v>143928993</v>
      </c>
      <c r="AS7" s="50">
        <v>156298537</v>
      </c>
      <c r="AT7" s="50">
        <v>190162484</v>
      </c>
      <c r="AU7" s="50">
        <v>183763954</v>
      </c>
      <c r="AV7" s="50">
        <v>172515690</v>
      </c>
      <c r="AW7" s="50">
        <v>182389214</v>
      </c>
      <c r="AX7" s="50">
        <v>262077988</v>
      </c>
      <c r="AY7" s="50">
        <f t="shared" ref="AY7:AY12" si="0">SUM(AM7:AX7)</f>
        <v>2443693182</v>
      </c>
      <c r="BA7" s="255" t="s">
        <v>159</v>
      </c>
      <c r="BB7" s="237"/>
      <c r="BC7" s="255" t="s">
        <v>160</v>
      </c>
      <c r="BD7" s="131"/>
      <c r="BE7" s="256" t="s">
        <v>161</v>
      </c>
    </row>
    <row r="8" spans="1:57" ht="15.6">
      <c r="A8" s="7"/>
      <c r="B8" s="8"/>
      <c r="C8" s="8"/>
      <c r="D8" s="8"/>
      <c r="E8" s="8"/>
      <c r="F8" s="8"/>
      <c r="G8" s="8"/>
      <c r="H8" s="8"/>
      <c r="I8" s="8"/>
      <c r="J8" s="104"/>
      <c r="K8" s="105"/>
      <c r="M8" s="24"/>
      <c r="N8" s="25" t="s">
        <v>14</v>
      </c>
      <c r="O8" s="25" t="s">
        <v>13</v>
      </c>
      <c r="P8" s="25" t="s">
        <v>12</v>
      </c>
      <c r="Q8" s="25" t="s">
        <v>11</v>
      </c>
      <c r="S8" s="21">
        <f>S7+1</f>
        <v>2</v>
      </c>
      <c r="T8" s="34" t="s">
        <v>19</v>
      </c>
      <c r="U8" s="21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33"/>
      <c r="AJ8" s="151"/>
      <c r="AK8" s="151" t="s">
        <v>85</v>
      </c>
      <c r="AL8" s="151"/>
      <c r="AM8" s="50">
        <v>59897515</v>
      </c>
      <c r="AN8" s="50">
        <v>57189947</v>
      </c>
      <c r="AO8" s="50">
        <v>53416031</v>
      </c>
      <c r="AP8" s="50">
        <v>45515376</v>
      </c>
      <c r="AQ8" s="50">
        <v>44349209</v>
      </c>
      <c r="AR8" s="50">
        <v>40552190</v>
      </c>
      <c r="AS8" s="50">
        <v>43982858</v>
      </c>
      <c r="AT8" s="50">
        <v>50216491</v>
      </c>
      <c r="AU8" s="50">
        <v>52391286</v>
      </c>
      <c r="AV8" s="50">
        <v>48027262</v>
      </c>
      <c r="AW8" s="50">
        <v>44565871</v>
      </c>
      <c r="AX8" s="50">
        <v>56546224</v>
      </c>
      <c r="AY8" s="50">
        <f t="shared" si="0"/>
        <v>596650260</v>
      </c>
      <c r="BA8" s="126"/>
      <c r="BB8" s="126"/>
      <c r="BC8" s="126"/>
      <c r="BD8" s="126"/>
      <c r="BE8" s="127"/>
    </row>
    <row r="9" spans="1:57" ht="16.2">
      <c r="A9" s="7">
        <v>1</v>
      </c>
      <c r="B9" s="8" t="s">
        <v>289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06">
        <v>65194000</v>
      </c>
      <c r="K9" s="107">
        <v>7020000</v>
      </c>
      <c r="M9" s="25"/>
      <c r="N9" s="26"/>
      <c r="O9" s="25"/>
      <c r="P9" s="25"/>
      <c r="Q9" s="25"/>
      <c r="S9" s="21">
        <f>S8+1</f>
        <v>3</v>
      </c>
      <c r="T9" s="23" t="s">
        <v>48</v>
      </c>
      <c r="U9" s="21" t="s">
        <v>77</v>
      </c>
      <c r="V9" s="45">
        <f>AM50</f>
        <v>284675925</v>
      </c>
      <c r="W9" s="45">
        <f t="shared" ref="W9:AG9" si="1">AN50</f>
        <v>232597855</v>
      </c>
      <c r="X9" s="45">
        <f t="shared" si="1"/>
        <v>228752581</v>
      </c>
      <c r="Y9" s="45">
        <f t="shared" si="1"/>
        <v>172322869</v>
      </c>
      <c r="Z9" s="45">
        <f t="shared" si="1"/>
        <v>166632549</v>
      </c>
      <c r="AA9" s="45">
        <f t="shared" si="1"/>
        <v>148170954</v>
      </c>
      <c r="AB9" s="45">
        <f t="shared" si="1"/>
        <v>153360033</v>
      </c>
      <c r="AC9" s="45">
        <f t="shared" si="1"/>
        <v>181322317</v>
      </c>
      <c r="AD9" s="45">
        <f t="shared" si="1"/>
        <v>146560541</v>
      </c>
      <c r="AE9" s="45">
        <f t="shared" si="1"/>
        <v>174054557</v>
      </c>
      <c r="AF9" s="45">
        <f t="shared" si="1"/>
        <v>212665464</v>
      </c>
      <c r="AG9" s="45">
        <f t="shared" si="1"/>
        <v>277362386</v>
      </c>
      <c r="AH9" s="35">
        <f>SUM(V9:AG9)</f>
        <v>2378478031</v>
      </c>
      <c r="AJ9" s="151"/>
      <c r="AK9" s="151" t="s">
        <v>86</v>
      </c>
      <c r="AL9" s="151"/>
      <c r="AM9" s="50">
        <v>124987510</v>
      </c>
      <c r="AN9" s="50">
        <v>121599193</v>
      </c>
      <c r="AO9" s="50">
        <v>116342928</v>
      </c>
      <c r="AP9" s="50">
        <v>108793173</v>
      </c>
      <c r="AQ9" s="50">
        <v>113179392</v>
      </c>
      <c r="AR9" s="50">
        <v>112320632</v>
      </c>
      <c r="AS9" s="50">
        <v>115086097</v>
      </c>
      <c r="AT9" s="50">
        <v>125217488</v>
      </c>
      <c r="AU9" s="50">
        <v>132529218</v>
      </c>
      <c r="AV9" s="50">
        <v>122102098</v>
      </c>
      <c r="AW9" s="50">
        <v>110516653</v>
      </c>
      <c r="AX9" s="50">
        <v>126020571</v>
      </c>
      <c r="AY9" s="50">
        <f t="shared" si="0"/>
        <v>1428694953</v>
      </c>
      <c r="BA9" s="133">
        <v>1</v>
      </c>
      <c r="BB9" s="126"/>
      <c r="BC9" s="134" t="s">
        <v>69</v>
      </c>
      <c r="BD9" s="126"/>
      <c r="BE9" s="135">
        <v>1</v>
      </c>
    </row>
    <row r="10" spans="1:57" ht="15.6">
      <c r="A10" s="7">
        <v>2</v>
      </c>
      <c r="B10" s="8" t="s">
        <v>143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06">
        <v>-1056000</v>
      </c>
      <c r="K10" s="107">
        <v>-112000</v>
      </c>
      <c r="M10" s="25">
        <v>1</v>
      </c>
      <c r="N10" s="24" t="s">
        <v>67</v>
      </c>
      <c r="O10" s="25" t="s">
        <v>151</v>
      </c>
      <c r="P10" s="27">
        <f>F23</f>
        <v>151404606.01129001</v>
      </c>
      <c r="Q10" s="27">
        <f>SUM(G23:I23)</f>
        <v>155123079.99809</v>
      </c>
      <c r="S10" s="21">
        <f>S9+1</f>
        <v>4</v>
      </c>
      <c r="T10" s="20" t="s">
        <v>49</v>
      </c>
      <c r="U10" s="36" t="s">
        <v>53</v>
      </c>
      <c r="V10" s="37">
        <f>V9/$AH9</f>
        <v>0.11968827178122463</v>
      </c>
      <c r="W10" s="37">
        <f t="shared" ref="W10:AG10" si="2">W9/$AH9</f>
        <v>9.7792727941324431E-2</v>
      </c>
      <c r="X10" s="37">
        <f t="shared" si="2"/>
        <v>9.6176032748061149E-2</v>
      </c>
      <c r="Y10" s="37">
        <f t="shared" si="2"/>
        <v>7.2450897907831047E-2</v>
      </c>
      <c r="Z10" s="37">
        <f t="shared" si="2"/>
        <v>7.0058477239725234E-2</v>
      </c>
      <c r="AA10" s="37">
        <f t="shared" si="2"/>
        <v>6.2296540926091069E-2</v>
      </c>
      <c r="AB10" s="37">
        <f t="shared" si="2"/>
        <v>6.4478221367267274E-2</v>
      </c>
      <c r="AC10" s="37">
        <f t="shared" si="2"/>
        <v>7.6234598191249808E-2</v>
      </c>
      <c r="AD10" s="37">
        <f t="shared" si="2"/>
        <v>6.1619463829304548E-2</v>
      </c>
      <c r="AE10" s="37">
        <f t="shared" si="2"/>
        <v>7.3178963493230595E-2</v>
      </c>
      <c r="AF10" s="37">
        <f t="shared" si="2"/>
        <v>8.9412414673675833E-2</v>
      </c>
      <c r="AG10" s="37">
        <f t="shared" si="2"/>
        <v>0.1166133899010144</v>
      </c>
      <c r="AH10" s="37">
        <f>SUM(V10:AG10)</f>
        <v>1</v>
      </c>
      <c r="AJ10" s="151"/>
      <c r="AK10" s="151" t="s">
        <v>303</v>
      </c>
      <c r="AL10" s="151"/>
      <c r="AM10" s="50">
        <v>91489298</v>
      </c>
      <c r="AN10" s="50">
        <v>94615706</v>
      </c>
      <c r="AO10" s="50">
        <v>86450358</v>
      </c>
      <c r="AP10" s="50">
        <v>94974601</v>
      </c>
      <c r="AQ10" s="50">
        <v>91311649</v>
      </c>
      <c r="AR10" s="50">
        <v>91684982</v>
      </c>
      <c r="AS10" s="50">
        <v>87883840</v>
      </c>
      <c r="AT10" s="50">
        <v>94835244</v>
      </c>
      <c r="AU10" s="50">
        <v>98265527</v>
      </c>
      <c r="AV10" s="50">
        <v>90540039</v>
      </c>
      <c r="AW10" s="50">
        <v>89392627</v>
      </c>
      <c r="AX10" s="50">
        <v>90598623</v>
      </c>
      <c r="AY10" s="50">
        <f t="shared" si="0"/>
        <v>1102042494</v>
      </c>
      <c r="BA10" s="133"/>
      <c r="BB10" s="126"/>
      <c r="BC10" s="126"/>
      <c r="BD10" s="126"/>
      <c r="BE10" s="135"/>
    </row>
    <row r="11" spans="1:57" ht="15.6">
      <c r="A11" s="7">
        <v>3</v>
      </c>
      <c r="B11" s="8" t="s">
        <v>290</v>
      </c>
      <c r="C11" s="8"/>
      <c r="D11" s="8"/>
      <c r="E11" s="10">
        <f>SUM(F11:K11)</f>
        <v>491872000</v>
      </c>
      <c r="F11" s="10">
        <f t="shared" ref="F11:K11" si="3">F9+F10</f>
        <v>211363000</v>
      </c>
      <c r="G11" s="10">
        <f t="shared" si="3"/>
        <v>70145000</v>
      </c>
      <c r="H11" s="10">
        <f t="shared" si="3"/>
        <v>128034000</v>
      </c>
      <c r="I11" s="10">
        <f t="shared" si="3"/>
        <v>11284000</v>
      </c>
      <c r="J11" s="108">
        <f>J9+J10</f>
        <v>64138000</v>
      </c>
      <c r="K11" s="109">
        <f t="shared" si="3"/>
        <v>6908000</v>
      </c>
      <c r="M11" s="25"/>
      <c r="N11" s="24"/>
      <c r="O11" s="24"/>
      <c r="P11" s="24"/>
      <c r="Q11" s="24"/>
      <c r="S11" s="21"/>
      <c r="T11" s="20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J11" s="151"/>
      <c r="AK11" s="151" t="s">
        <v>304</v>
      </c>
      <c r="AL11" s="151"/>
      <c r="AM11" s="50">
        <v>4672648</v>
      </c>
      <c r="AN11" s="50">
        <v>4692329</v>
      </c>
      <c r="AO11" s="50">
        <v>4018427</v>
      </c>
      <c r="AP11" s="50">
        <v>5516677</v>
      </c>
      <c r="AQ11" s="50">
        <v>10758607</v>
      </c>
      <c r="AR11" s="50">
        <v>19067966</v>
      </c>
      <c r="AS11" s="50">
        <v>22113559</v>
      </c>
      <c r="AT11" s="50">
        <v>23803945</v>
      </c>
      <c r="AU11" s="50">
        <v>22699934</v>
      </c>
      <c r="AV11" s="50">
        <v>10534589</v>
      </c>
      <c r="AW11" s="50">
        <v>4961688</v>
      </c>
      <c r="AX11" s="50">
        <v>4285935</v>
      </c>
      <c r="AY11" s="50">
        <f t="shared" si="0"/>
        <v>137126304</v>
      </c>
      <c r="BA11" s="133"/>
      <c r="BB11" s="126"/>
      <c r="BC11" s="136" t="s">
        <v>162</v>
      </c>
      <c r="BD11" s="137"/>
      <c r="BE11" s="135"/>
    </row>
    <row r="12" spans="1:57" ht="15.6">
      <c r="A12" s="7"/>
      <c r="B12" s="8"/>
      <c r="C12" s="8"/>
      <c r="D12" s="8"/>
      <c r="E12" s="10"/>
      <c r="F12" s="10"/>
      <c r="G12" s="10"/>
      <c r="H12" s="10"/>
      <c r="I12" s="10"/>
      <c r="J12" s="108"/>
      <c r="K12" s="109"/>
      <c r="M12" s="25">
        <v>2</v>
      </c>
      <c r="N12" s="24" t="s">
        <v>79</v>
      </c>
      <c r="O12" s="25" t="s">
        <v>56</v>
      </c>
      <c r="P12" s="28">
        <f>F19/12</f>
        <v>205172.25</v>
      </c>
      <c r="Q12" s="28">
        <f>SUM(G19:I19)/12</f>
        <v>34823.166666666664</v>
      </c>
      <c r="S12" s="21">
        <v>5</v>
      </c>
      <c r="T12" s="34" t="s">
        <v>50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J12" s="151"/>
      <c r="AK12" s="151" t="s">
        <v>87</v>
      </c>
      <c r="AL12" s="151"/>
      <c r="AM12" s="50">
        <v>2098291</v>
      </c>
      <c r="AN12" s="50">
        <v>2097748</v>
      </c>
      <c r="AO12" s="50">
        <v>2097084</v>
      </c>
      <c r="AP12" s="50">
        <v>2092917</v>
      </c>
      <c r="AQ12" s="50">
        <v>2080667</v>
      </c>
      <c r="AR12" s="50">
        <v>2071670</v>
      </c>
      <c r="AS12" s="50">
        <v>2091912</v>
      </c>
      <c r="AT12" s="50">
        <v>2091315</v>
      </c>
      <c r="AU12" s="50">
        <v>2086444</v>
      </c>
      <c r="AV12" s="50">
        <v>2114106</v>
      </c>
      <c r="AW12" s="50">
        <v>2103410</v>
      </c>
      <c r="AX12" s="50">
        <v>2102201</v>
      </c>
      <c r="AY12" s="50">
        <f t="shared" si="0"/>
        <v>25127765</v>
      </c>
      <c r="BA12" s="133">
        <v>2</v>
      </c>
      <c r="BB12" s="126"/>
      <c r="BC12" s="137" t="s">
        <v>163</v>
      </c>
      <c r="BD12" s="137"/>
      <c r="BE12" s="137">
        <v>5.3530000000000001E-3</v>
      </c>
    </row>
    <row r="13" spans="1:57" ht="15.6">
      <c r="A13" s="7">
        <v>4</v>
      </c>
      <c r="B13" s="8" t="s">
        <v>291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10">
        <v>1105372136</v>
      </c>
      <c r="K13" s="111">
        <v>25127765</v>
      </c>
      <c r="M13" s="25"/>
      <c r="N13" s="24"/>
      <c r="O13" s="24"/>
      <c r="P13" s="28"/>
      <c r="Q13" s="28"/>
      <c r="S13" s="21">
        <v>6</v>
      </c>
      <c r="T13" s="23" t="s">
        <v>48</v>
      </c>
      <c r="U13" s="21" t="s">
        <v>77</v>
      </c>
      <c r="V13" s="45">
        <f>AM53</f>
        <v>174546983</v>
      </c>
      <c r="W13" s="45">
        <f t="shared" ref="W13:AG13" si="4">AN53</f>
        <v>177500854</v>
      </c>
      <c r="X13" s="45">
        <f t="shared" si="4"/>
        <v>166289029</v>
      </c>
      <c r="Y13" s="45">
        <f t="shared" si="4"/>
        <v>165417455</v>
      </c>
      <c r="Z13" s="45">
        <f t="shared" si="4"/>
        <v>178108889</v>
      </c>
      <c r="AA13" s="45">
        <f t="shared" si="4"/>
        <v>185503197</v>
      </c>
      <c r="AB13" s="45">
        <f t="shared" si="4"/>
        <v>200737081</v>
      </c>
      <c r="AC13" s="45">
        <f t="shared" si="4"/>
        <v>187588012</v>
      </c>
      <c r="AD13" s="45">
        <f t="shared" si="4"/>
        <v>179420897</v>
      </c>
      <c r="AE13" s="45">
        <f t="shared" si="4"/>
        <v>183203251</v>
      </c>
      <c r="AF13" s="45">
        <f t="shared" si="4"/>
        <v>168530619</v>
      </c>
      <c r="AG13" s="45">
        <f t="shared" si="4"/>
        <v>178010284</v>
      </c>
      <c r="AH13" s="35">
        <f>SUM(V13:AG13)</f>
        <v>2144856551</v>
      </c>
      <c r="AJ13" s="151" t="s">
        <v>88</v>
      </c>
      <c r="AK13" s="151"/>
      <c r="AL13" s="151"/>
      <c r="AM13" s="51">
        <f>SUM(AM7:AM12)</f>
        <v>573031742</v>
      </c>
      <c r="AN13" s="51">
        <f t="shared" ref="AN13:AY13" si="5">SUM(AN7:AN12)</f>
        <v>545716206</v>
      </c>
      <c r="AO13" s="51">
        <f t="shared" si="5"/>
        <v>506123067</v>
      </c>
      <c r="AP13" s="51">
        <f t="shared" si="5"/>
        <v>443610115</v>
      </c>
      <c r="AQ13" s="51">
        <f t="shared" si="5"/>
        <v>428312473</v>
      </c>
      <c r="AR13" s="51">
        <f t="shared" si="5"/>
        <v>409626433</v>
      </c>
      <c r="AS13" s="51">
        <f t="shared" si="5"/>
        <v>427456803</v>
      </c>
      <c r="AT13" s="51">
        <f t="shared" si="5"/>
        <v>486326967</v>
      </c>
      <c r="AU13" s="51">
        <f t="shared" si="5"/>
        <v>491736363</v>
      </c>
      <c r="AV13" s="51">
        <f t="shared" si="5"/>
        <v>445833784</v>
      </c>
      <c r="AW13" s="51">
        <f t="shared" si="5"/>
        <v>433929463</v>
      </c>
      <c r="AX13" s="51">
        <f t="shared" si="5"/>
        <v>541631542</v>
      </c>
      <c r="AY13" s="51">
        <f t="shared" si="5"/>
        <v>5733334958</v>
      </c>
      <c r="BA13" s="133"/>
      <c r="BB13" s="126"/>
      <c r="BC13" s="137"/>
      <c r="BD13" s="137"/>
      <c r="BE13" s="137"/>
    </row>
    <row r="14" spans="1:57" ht="15.6">
      <c r="A14" s="7">
        <v>5</v>
      </c>
      <c r="B14" s="8" t="s">
        <v>144</v>
      </c>
      <c r="C14" s="8"/>
      <c r="D14" s="13"/>
      <c r="E14" s="13">
        <f t="shared" ref="E14:K14" si="6">$E$27</f>
        <v>1.6410000000000001E-2</v>
      </c>
      <c r="F14" s="13">
        <f t="shared" si="6"/>
        <v>1.6410000000000001E-2</v>
      </c>
      <c r="G14" s="13">
        <f t="shared" si="6"/>
        <v>1.6410000000000001E-2</v>
      </c>
      <c r="H14" s="13">
        <f t="shared" si="6"/>
        <v>1.6410000000000001E-2</v>
      </c>
      <c r="I14" s="13">
        <f t="shared" si="6"/>
        <v>1.6410000000000001E-2</v>
      </c>
      <c r="J14" s="112">
        <f t="shared" si="6"/>
        <v>1.6410000000000001E-2</v>
      </c>
      <c r="K14" s="113">
        <f t="shared" si="6"/>
        <v>1.6410000000000001E-2</v>
      </c>
      <c r="M14" s="25">
        <v>3</v>
      </c>
      <c r="N14" s="24" t="s">
        <v>68</v>
      </c>
      <c r="O14" s="25" t="str">
        <f>"("&amp;M10&amp;") / ("&amp;M12&amp;")"</f>
        <v>(1) / (2)</v>
      </c>
      <c r="P14" s="29">
        <f>ROUND(P10/P12,2)</f>
        <v>737.94</v>
      </c>
      <c r="Q14" s="29">
        <f>ROUND(Q10/Q12,2)</f>
        <v>4454.59</v>
      </c>
      <c r="S14" s="21">
        <v>7</v>
      </c>
      <c r="T14" s="20" t="s">
        <v>49</v>
      </c>
      <c r="U14" s="36" t="s">
        <v>53</v>
      </c>
      <c r="V14" s="40">
        <f>V13/$AH13</f>
        <v>8.1379327171609991E-2</v>
      </c>
      <c r="W14" s="40">
        <f t="shared" ref="W14:AG14" si="7">W13/$AH13</f>
        <v>8.2756515309727122E-2</v>
      </c>
      <c r="X14" s="40">
        <f t="shared" si="7"/>
        <v>7.7529207686393195E-2</v>
      </c>
      <c r="Y14" s="40">
        <f t="shared" si="7"/>
        <v>7.7122852305846354E-2</v>
      </c>
      <c r="Z14" s="40">
        <f t="shared" si="7"/>
        <v>8.3040000468544151E-2</v>
      </c>
      <c r="AA14" s="40">
        <f t="shared" si="7"/>
        <v>8.6487460857702828E-2</v>
      </c>
      <c r="AB14" s="40">
        <f t="shared" si="7"/>
        <v>9.3589979668528431E-2</v>
      </c>
      <c r="AC14" s="40">
        <f t="shared" si="7"/>
        <v>8.7459467586557496E-2</v>
      </c>
      <c r="AD14" s="40">
        <f t="shared" si="7"/>
        <v>8.3651700117822941E-2</v>
      </c>
      <c r="AE14" s="40">
        <f t="shared" si="7"/>
        <v>8.5415153248633274E-2</v>
      </c>
      <c r="AF14" s="40">
        <f t="shared" si="7"/>
        <v>7.8574307881534411E-2</v>
      </c>
      <c r="AG14" s="40">
        <f t="shared" si="7"/>
        <v>8.299402769709982E-2</v>
      </c>
      <c r="AH14" s="40">
        <f>SUM(V14:AG14)</f>
        <v>1</v>
      </c>
      <c r="AJ14" s="151"/>
      <c r="AK14" s="151"/>
      <c r="AL14" s="151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BA14" s="133">
        <v>3</v>
      </c>
      <c r="BB14" s="126"/>
      <c r="BC14" s="137" t="s">
        <v>164</v>
      </c>
      <c r="BD14" s="137"/>
      <c r="BE14" s="137">
        <v>2E-3</v>
      </c>
    </row>
    <row r="15" spans="1:57" ht="15.6">
      <c r="A15" s="7">
        <v>6</v>
      </c>
      <c r="B15" s="8" t="s">
        <v>58</v>
      </c>
      <c r="C15" s="8"/>
      <c r="D15" s="13"/>
      <c r="E15" s="10">
        <f>SUM(F15:K15)</f>
        <v>92779423.866030008</v>
      </c>
      <c r="F15" s="10">
        <f t="shared" ref="F15:K15" si="8">F14*F13</f>
        <v>39030824.488710001</v>
      </c>
      <c r="G15" s="10">
        <f t="shared" si="8"/>
        <v>9655664.2827599999</v>
      </c>
      <c r="H15" s="10">
        <f t="shared" si="8"/>
        <v>23289535.927110001</v>
      </c>
      <c r="I15" s="10">
        <f t="shared" si="8"/>
        <v>2251895.7920400002</v>
      </c>
      <c r="J15" s="108">
        <f t="shared" si="8"/>
        <v>18139156.751760002</v>
      </c>
      <c r="K15" s="109">
        <f t="shared" si="8"/>
        <v>412346.62365000002</v>
      </c>
      <c r="M15" s="25"/>
      <c r="N15" s="24"/>
      <c r="O15" s="24"/>
      <c r="P15" s="30"/>
      <c r="Q15" s="30"/>
      <c r="S15" s="21"/>
      <c r="T15" s="20"/>
      <c r="U15" s="41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J15" s="151" t="s">
        <v>89</v>
      </c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BA15" s="133"/>
      <c r="BB15" s="126"/>
      <c r="BC15" s="137"/>
      <c r="BD15" s="137"/>
      <c r="BE15" s="137"/>
    </row>
    <row r="16" spans="1:57" ht="15.6">
      <c r="A16" s="7"/>
      <c r="B16" s="8"/>
      <c r="C16" s="8"/>
      <c r="D16" s="8"/>
      <c r="E16" s="10"/>
      <c r="F16" s="10"/>
      <c r="G16" s="10"/>
      <c r="H16" s="10"/>
      <c r="I16" s="10"/>
      <c r="J16" s="108"/>
      <c r="K16" s="109"/>
      <c r="M16" s="25"/>
      <c r="N16" s="31" t="s">
        <v>51</v>
      </c>
      <c r="O16" s="24"/>
      <c r="P16" s="24"/>
      <c r="Q16" s="24"/>
      <c r="S16" s="21"/>
      <c r="T16" s="34"/>
      <c r="U16" s="21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3"/>
      <c r="AJ16" s="151"/>
      <c r="AK16" s="151" t="s">
        <v>302</v>
      </c>
      <c r="AL16" s="151"/>
      <c r="AM16" s="50">
        <v>-8629013</v>
      </c>
      <c r="AN16" s="50">
        <v>-13249697</v>
      </c>
      <c r="AO16" s="50">
        <v>-15167724</v>
      </c>
      <c r="AP16" s="50">
        <v>-15020391</v>
      </c>
      <c r="AQ16" s="50">
        <v>-8320850</v>
      </c>
      <c r="AR16" s="50">
        <v>-6289455</v>
      </c>
      <c r="AS16" s="50">
        <v>32359748</v>
      </c>
      <c r="AT16" s="50">
        <v>7875571</v>
      </c>
      <c r="AU16" s="50">
        <v>-35572443</v>
      </c>
      <c r="AV16" s="50">
        <v>5552393</v>
      </c>
      <c r="AW16" s="50">
        <v>31259449</v>
      </c>
      <c r="AX16" s="50">
        <v>21876369</v>
      </c>
      <c r="AY16" s="50">
        <f t="shared" ref="AY16:AY21" si="9">SUM(AM16:AX16)</f>
        <v>-3326043</v>
      </c>
      <c r="BA16" s="133">
        <v>4</v>
      </c>
      <c r="BB16" s="126"/>
      <c r="BC16" s="137" t="s">
        <v>165</v>
      </c>
      <c r="BD16" s="137"/>
      <c r="BE16" s="137">
        <v>3.8526999999999999E-2</v>
      </c>
    </row>
    <row r="17" spans="1:57" ht="15.6">
      <c r="A17" s="7">
        <v>7</v>
      </c>
      <c r="B17" s="8" t="s">
        <v>61</v>
      </c>
      <c r="C17" s="8"/>
      <c r="D17" s="8"/>
      <c r="E17" s="10">
        <f>SUM(F17:K17)</f>
        <v>346598079.50938004</v>
      </c>
      <c r="F17" s="14">
        <f>F11-F15</f>
        <v>172332175.51129001</v>
      </c>
      <c r="G17" s="14">
        <f>G11-G15</f>
        <v>60489335.717239998</v>
      </c>
      <c r="H17" s="14">
        <f>H11-H15</f>
        <v>104744464.07289</v>
      </c>
      <c r="I17" s="14">
        <f>I11-I15</f>
        <v>9032104.2079600003</v>
      </c>
      <c r="J17" s="104"/>
      <c r="K17" s="105"/>
      <c r="M17" s="2"/>
      <c r="N17" s="2"/>
      <c r="O17" s="2"/>
      <c r="P17" s="2"/>
      <c r="Q17" s="2"/>
      <c r="S17" s="21"/>
      <c r="T17" s="23"/>
      <c r="U17" s="21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35"/>
      <c r="AJ17" s="151"/>
      <c r="AK17" s="151" t="s">
        <v>85</v>
      </c>
      <c r="AL17" s="151"/>
      <c r="AM17" s="50">
        <v>-3303565</v>
      </c>
      <c r="AN17" s="50">
        <v>-1535906</v>
      </c>
      <c r="AO17" s="50">
        <v>-2730463</v>
      </c>
      <c r="AP17" s="50">
        <v>-359642</v>
      </c>
      <c r="AQ17" s="50">
        <v>330134</v>
      </c>
      <c r="AR17" s="50">
        <v>-8117</v>
      </c>
      <c r="AS17" s="50">
        <v>8770260</v>
      </c>
      <c r="AT17" s="50">
        <v>-66022</v>
      </c>
      <c r="AU17" s="50">
        <v>-7064268</v>
      </c>
      <c r="AV17" s="50">
        <v>1915402</v>
      </c>
      <c r="AW17" s="50">
        <v>3710756</v>
      </c>
      <c r="AX17" s="50">
        <v>571774</v>
      </c>
      <c r="AY17" s="50">
        <f t="shared" si="9"/>
        <v>230343</v>
      </c>
      <c r="BA17" s="133"/>
      <c r="BB17" s="126"/>
      <c r="BC17" s="137"/>
      <c r="BD17" s="137"/>
      <c r="BE17" s="137"/>
    </row>
    <row r="18" spans="1:57" ht="15.6">
      <c r="A18" s="7"/>
      <c r="B18" s="8"/>
      <c r="C18" s="8"/>
      <c r="D18" s="8"/>
      <c r="E18" s="8"/>
      <c r="F18" s="8"/>
      <c r="G18" s="8"/>
      <c r="H18" s="8"/>
      <c r="I18" s="8"/>
      <c r="J18" s="104"/>
      <c r="K18" s="105"/>
      <c r="M18" s="2"/>
      <c r="N18" s="52" t="s">
        <v>69</v>
      </c>
      <c r="O18" s="2"/>
      <c r="P18" s="2"/>
      <c r="Q18" s="2"/>
      <c r="S18" s="21"/>
      <c r="T18" s="20"/>
      <c r="U18" s="36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J18" s="151"/>
      <c r="AK18" s="151" t="s">
        <v>86</v>
      </c>
      <c r="AL18" s="151"/>
      <c r="AM18" s="50">
        <v>-12112408</v>
      </c>
      <c r="AN18" s="50">
        <v>-1842619</v>
      </c>
      <c r="AO18" s="50">
        <v>-4416151</v>
      </c>
      <c r="AP18" s="50">
        <v>5108117</v>
      </c>
      <c r="AQ18" s="50">
        <v>5506971</v>
      </c>
      <c r="AR18" s="50">
        <v>6019940</v>
      </c>
      <c r="AS18" s="50">
        <v>19264215</v>
      </c>
      <c r="AT18" s="50">
        <v>-5195728</v>
      </c>
      <c r="AU18" s="50">
        <v>-16717293</v>
      </c>
      <c r="AV18" s="50">
        <v>5029228</v>
      </c>
      <c r="AW18" s="50">
        <v>7159702</v>
      </c>
      <c r="AX18" s="50">
        <v>-7595920</v>
      </c>
      <c r="AY18" s="50">
        <f t="shared" si="9"/>
        <v>208054</v>
      </c>
      <c r="BA18" s="133">
        <v>5</v>
      </c>
      <c r="BB18" s="126"/>
      <c r="BC18" s="137" t="s">
        <v>166</v>
      </c>
      <c r="BD18" s="137"/>
      <c r="BE18" s="138">
        <f>SUM(BE12:BE16)</f>
        <v>4.5879999999999997E-2</v>
      </c>
    </row>
    <row r="19" spans="1:57" ht="15.6">
      <c r="A19" s="7">
        <v>8</v>
      </c>
      <c r="B19" s="8" t="s">
        <v>292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04"/>
      <c r="K19" s="105"/>
      <c r="M19" s="2"/>
      <c r="N19" s="52" t="s">
        <v>70</v>
      </c>
      <c r="O19" s="2"/>
      <c r="P19" s="27">
        <f>P12*P14</f>
        <v>151404810.16500002</v>
      </c>
      <c r="Q19" s="27">
        <f>Q12*Q14</f>
        <v>155122930.00166667</v>
      </c>
      <c r="S19" s="21"/>
      <c r="T19" s="20"/>
      <c r="U19" s="21"/>
      <c r="V19" s="40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J19" s="151"/>
      <c r="AK19" s="151" t="s">
        <v>303</v>
      </c>
      <c r="AL19" s="151"/>
      <c r="AM19" s="50">
        <v>2241859</v>
      </c>
      <c r="AN19" s="50">
        <v>-8070452</v>
      </c>
      <c r="AO19" s="50">
        <v>8650454</v>
      </c>
      <c r="AP19" s="50">
        <v>-3806069</v>
      </c>
      <c r="AQ19" s="50">
        <v>364651</v>
      </c>
      <c r="AR19" s="50">
        <v>-3831904</v>
      </c>
      <c r="AS19" s="50">
        <v>7018703</v>
      </c>
      <c r="AT19" s="50">
        <v>3501763</v>
      </c>
      <c r="AU19" s="50">
        <v>-4414487</v>
      </c>
      <c r="AV19" s="50">
        <v>1351394</v>
      </c>
      <c r="AW19" s="50">
        <v>-1068952</v>
      </c>
      <c r="AX19" s="50">
        <v>1470945</v>
      </c>
      <c r="AY19" s="50">
        <f t="shared" si="9"/>
        <v>3407905</v>
      </c>
      <c r="BA19" s="133"/>
      <c r="BB19" s="126"/>
      <c r="BC19" s="137"/>
      <c r="BD19" s="137"/>
      <c r="BE19" s="139"/>
    </row>
    <row r="20" spans="1:57" ht="15.6">
      <c r="A20" s="7">
        <v>9</v>
      </c>
      <c r="B20" s="8" t="s">
        <v>145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04"/>
      <c r="K20" s="105"/>
      <c r="M20" s="2"/>
      <c r="N20" s="52" t="s">
        <v>72</v>
      </c>
      <c r="O20" s="2"/>
      <c r="P20" s="27">
        <f>F32</f>
        <v>20927569.5</v>
      </c>
      <c r="Q20" s="27">
        <f>G32</f>
        <v>19142824</v>
      </c>
      <c r="S20" s="21">
        <v>8</v>
      </c>
      <c r="T20" s="32" t="s">
        <v>74</v>
      </c>
      <c r="U20" s="21"/>
      <c r="V20" s="40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J20" s="151"/>
      <c r="AK20" s="151" t="s">
        <v>304</v>
      </c>
      <c r="AL20" s="151"/>
      <c r="AM20" s="50">
        <v>-43021</v>
      </c>
      <c r="AN20" s="50">
        <v>-25142</v>
      </c>
      <c r="AO20" s="50">
        <v>-357896</v>
      </c>
      <c r="AP20" s="50">
        <v>812155</v>
      </c>
      <c r="AQ20" s="50">
        <v>2291358</v>
      </c>
      <c r="AR20" s="50">
        <v>4650004</v>
      </c>
      <c r="AS20" s="50">
        <v>4465624</v>
      </c>
      <c r="AT20" s="50">
        <v>-265677</v>
      </c>
      <c r="AU20" s="50">
        <v>-3821209</v>
      </c>
      <c r="AV20" s="50">
        <v>-4323417</v>
      </c>
      <c r="AW20" s="50">
        <v>-2327262</v>
      </c>
      <c r="AX20" s="50">
        <v>-954777</v>
      </c>
      <c r="AY20" s="50">
        <f t="shared" si="9"/>
        <v>100740</v>
      </c>
      <c r="BA20" s="133">
        <v>6</v>
      </c>
      <c r="BB20" s="126"/>
      <c r="BC20" s="137" t="s">
        <v>167</v>
      </c>
      <c r="BD20" s="137"/>
      <c r="BE20" s="139">
        <f>BE9-BE18</f>
        <v>0.95411999999999997</v>
      </c>
    </row>
    <row r="21" spans="1:57" ht="15.6">
      <c r="A21" s="7">
        <v>10</v>
      </c>
      <c r="B21" s="8" t="s">
        <v>59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04"/>
      <c r="K21" s="105"/>
      <c r="M21" s="2"/>
      <c r="N21" s="52" t="s">
        <v>71</v>
      </c>
      <c r="O21" s="2"/>
      <c r="P21" s="27">
        <f>F15</f>
        <v>39030824.488710001</v>
      </c>
      <c r="Q21" s="27">
        <f>SUM(G15:I15)</f>
        <v>35197096.001910001</v>
      </c>
      <c r="S21" s="21">
        <f>S20+1</f>
        <v>9</v>
      </c>
      <c r="T21" s="34" t="s">
        <v>19</v>
      </c>
      <c r="U21" s="21"/>
      <c r="V21" s="4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J21" s="151"/>
      <c r="AK21" s="151" t="s">
        <v>87</v>
      </c>
      <c r="AL21" s="151"/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f t="shared" si="9"/>
        <v>0</v>
      </c>
      <c r="BA21" s="126"/>
      <c r="BB21" s="126"/>
      <c r="BC21" s="137"/>
      <c r="BD21" s="137"/>
      <c r="BE21" s="139"/>
    </row>
    <row r="22" spans="1:57" ht="15.6">
      <c r="A22" s="7"/>
      <c r="B22" s="8"/>
      <c r="C22" s="8"/>
      <c r="D22" s="8"/>
      <c r="E22" s="10"/>
      <c r="F22" s="16"/>
      <c r="G22" s="16"/>
      <c r="H22" s="16"/>
      <c r="I22" s="16"/>
      <c r="J22" s="383" t="s">
        <v>78</v>
      </c>
      <c r="K22" s="384"/>
      <c r="M22" s="2"/>
      <c r="N22" s="52" t="s">
        <v>15</v>
      </c>
      <c r="O22" s="2"/>
      <c r="P22" s="53">
        <f>SUM(P19:P21)</f>
        <v>211363204.15371001</v>
      </c>
      <c r="Q22" s="53">
        <f>SUM(Q19:Q21)</f>
        <v>209462850.00357667</v>
      </c>
      <c r="S22" s="21">
        <f>S21+1</f>
        <v>10</v>
      </c>
      <c r="T22" s="20" t="s">
        <v>152</v>
      </c>
      <c r="U22" s="21" t="s">
        <v>153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42">
        <f>P14</f>
        <v>737.94</v>
      </c>
      <c r="AJ22" s="151" t="s">
        <v>90</v>
      </c>
      <c r="AK22" s="151"/>
      <c r="AL22" s="151"/>
      <c r="AM22" s="51">
        <f>SUM(AM16:AM21)</f>
        <v>-21846148</v>
      </c>
      <c r="AN22" s="51">
        <f t="shared" ref="AN22:AY22" si="10">SUM(AN16:AN21)</f>
        <v>-24723816</v>
      </c>
      <c r="AO22" s="51">
        <f t="shared" si="10"/>
        <v>-14021780</v>
      </c>
      <c r="AP22" s="51">
        <f t="shared" si="10"/>
        <v>-13265830</v>
      </c>
      <c r="AQ22" s="51">
        <f t="shared" si="10"/>
        <v>172264</v>
      </c>
      <c r="AR22" s="51">
        <f t="shared" si="10"/>
        <v>540468</v>
      </c>
      <c r="AS22" s="51">
        <f t="shared" si="10"/>
        <v>71878550</v>
      </c>
      <c r="AT22" s="51">
        <f t="shared" si="10"/>
        <v>5849907</v>
      </c>
      <c r="AU22" s="51">
        <f t="shared" si="10"/>
        <v>-67589700</v>
      </c>
      <c r="AV22" s="51">
        <f t="shared" si="10"/>
        <v>9525000</v>
      </c>
      <c r="AW22" s="51">
        <f t="shared" si="10"/>
        <v>38733693</v>
      </c>
      <c r="AX22" s="51">
        <f t="shared" si="10"/>
        <v>15368391</v>
      </c>
      <c r="AY22" s="51">
        <f t="shared" si="10"/>
        <v>620999</v>
      </c>
      <c r="BA22" s="133">
        <v>7</v>
      </c>
      <c r="BB22" s="126"/>
      <c r="BC22" s="137" t="s">
        <v>168</v>
      </c>
      <c r="BD22" s="140"/>
      <c r="BE22" s="257">
        <f>ROUND(BE20*0.35,6)</f>
        <v>0.33394200000000002</v>
      </c>
    </row>
    <row r="23" spans="1:57" ht="15.6">
      <c r="A23" s="7">
        <v>11</v>
      </c>
      <c r="B23" s="8" t="s">
        <v>60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383"/>
      <c r="K23" s="384"/>
      <c r="M23" s="2"/>
      <c r="N23" s="2"/>
      <c r="O23" s="2"/>
      <c r="P23" s="2"/>
      <c r="Q23" s="2"/>
      <c r="S23" s="21">
        <f>S22+1</f>
        <v>11</v>
      </c>
      <c r="T23" s="20" t="s">
        <v>154</v>
      </c>
      <c r="U23" s="21" t="str">
        <f>"("&amp;S$10&amp;") x ("&amp;S22&amp;")"</f>
        <v>(4) x (10)</v>
      </c>
      <c r="V23" s="43">
        <f>$AH22*V$10</f>
        <v>88.322763278236906</v>
      </c>
      <c r="W23" s="43">
        <f t="shared" ref="W23:AG23" si="11">$AH22*W$10</f>
        <v>72.16516565702095</v>
      </c>
      <c r="X23" s="43">
        <f t="shared" si="11"/>
        <v>70.972141606104245</v>
      </c>
      <c r="Y23" s="43">
        <f t="shared" si="11"/>
        <v>53.464415602104843</v>
      </c>
      <c r="Z23" s="43">
        <f t="shared" si="11"/>
        <v>51.698952694282845</v>
      </c>
      <c r="AA23" s="43">
        <f t="shared" si="11"/>
        <v>45.971109410999645</v>
      </c>
      <c r="AB23" s="43">
        <f t="shared" si="11"/>
        <v>47.581058675761213</v>
      </c>
      <c r="AC23" s="43">
        <f t="shared" si="11"/>
        <v>56.256559389250889</v>
      </c>
      <c r="AD23" s="43">
        <f t="shared" si="11"/>
        <v>45.471467138196999</v>
      </c>
      <c r="AE23" s="43">
        <f t="shared" si="11"/>
        <v>54.001684320194592</v>
      </c>
      <c r="AF23" s="43">
        <f t="shared" si="11"/>
        <v>65.980997284292343</v>
      </c>
      <c r="AG23" s="43">
        <f t="shared" si="11"/>
        <v>86.053684943554572</v>
      </c>
      <c r="AH23" s="42">
        <f>SUM(V23:AG23)</f>
        <v>737.94</v>
      </c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BA23" s="126"/>
      <c r="BB23" s="126"/>
      <c r="BC23" s="137"/>
      <c r="BD23" s="137"/>
      <c r="BE23" s="139"/>
    </row>
    <row r="24" spans="1:57" ht="16.2" thickBot="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  <c r="M24" s="250" t="s">
        <v>285</v>
      </c>
      <c r="S24" s="21"/>
      <c r="T24" s="20"/>
      <c r="U24" s="21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2"/>
      <c r="AJ24" s="151" t="s">
        <v>91</v>
      </c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BA24" s="133">
        <v>8</v>
      </c>
      <c r="BB24" s="126"/>
      <c r="BC24" s="136" t="s">
        <v>169</v>
      </c>
      <c r="BD24" s="137"/>
      <c r="BE24" s="142">
        <f>ROUND(BE20-BE22,5)</f>
        <v>0.62017999999999995</v>
      </c>
    </row>
    <row r="25" spans="1:57" ht="16.2" thickTop="1">
      <c r="A25" s="7">
        <v>12</v>
      </c>
      <c r="B25" s="8" t="s">
        <v>146</v>
      </c>
      <c r="C25" s="8"/>
      <c r="D25" s="8"/>
      <c r="E25" s="114">
        <v>1.566E-2</v>
      </c>
      <c r="F25" s="8"/>
      <c r="G25" s="8"/>
      <c r="H25" s="8"/>
      <c r="I25" s="8"/>
      <c r="J25" s="8"/>
      <c r="K25" s="8"/>
      <c r="S25" s="21">
        <f>S23+1</f>
        <v>12</v>
      </c>
      <c r="T25" s="34" t="s">
        <v>50</v>
      </c>
      <c r="U25" s="44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42"/>
      <c r="AJ25" s="151"/>
      <c r="AK25" s="151" t="s">
        <v>85</v>
      </c>
      <c r="AL25" s="151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>
        <v>0</v>
      </c>
      <c r="BA25" s="151"/>
      <c r="BB25" s="151"/>
      <c r="BC25" s="151"/>
      <c r="BD25" s="151"/>
      <c r="BE25" s="151"/>
    </row>
    <row r="26" spans="1:57" ht="15.6">
      <c r="A26" s="7">
        <v>13</v>
      </c>
      <c r="B26" s="8" t="s">
        <v>55</v>
      </c>
      <c r="C26" s="8"/>
      <c r="D26" s="8"/>
      <c r="E26" s="258">
        <f>1/BE20</f>
        <v>1.0480861946086446</v>
      </c>
      <c r="F26" s="19"/>
      <c r="G26" s="8"/>
      <c r="H26" s="19"/>
      <c r="I26" s="8"/>
      <c r="J26" s="8"/>
      <c r="K26" s="8"/>
      <c r="S26" s="21">
        <f>S25+1</f>
        <v>13</v>
      </c>
      <c r="T26" s="20" t="s">
        <v>152</v>
      </c>
      <c r="U26" s="21" t="s">
        <v>153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2">
        <f>Q14</f>
        <v>4454.59</v>
      </c>
      <c r="AJ26" s="151"/>
      <c r="AK26" s="151" t="s">
        <v>86</v>
      </c>
      <c r="AL26" s="151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>
        <v>0</v>
      </c>
      <c r="BA26" s="151"/>
      <c r="BB26" s="151"/>
      <c r="BC26" s="151"/>
      <c r="BD26" s="151"/>
      <c r="BE26" s="151"/>
    </row>
    <row r="27" spans="1:57" ht="15.6">
      <c r="A27" s="7">
        <v>14</v>
      </c>
      <c r="B27" s="8" t="s">
        <v>147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  <c r="S27" s="21">
        <f>S26+1</f>
        <v>14</v>
      </c>
      <c r="T27" s="20" t="s">
        <v>154</v>
      </c>
      <c r="U27" s="21" t="str">
        <f>"("&amp;S$14&amp;") x ("&amp;S26&amp;")"</f>
        <v>(7) x (13)</v>
      </c>
      <c r="V27" s="43">
        <f>$AH26*V$14</f>
        <v>362.51153702538215</v>
      </c>
      <c r="W27" s="43">
        <f t="shared" ref="W27:AG27" si="12">$AH26*W$14</f>
        <v>368.64634553355734</v>
      </c>
      <c r="X27" s="43">
        <f t="shared" si="12"/>
        <v>345.3608332677303</v>
      </c>
      <c r="Y27" s="43">
        <f t="shared" si="12"/>
        <v>343.55068665310012</v>
      </c>
      <c r="Z27" s="43">
        <f t="shared" si="12"/>
        <v>369.90915568717207</v>
      </c>
      <c r="AA27" s="43">
        <f t="shared" si="12"/>
        <v>385.26617826211447</v>
      </c>
      <c r="AB27" s="43">
        <f t="shared" si="12"/>
        <v>416.90498753163007</v>
      </c>
      <c r="AC27" s="43">
        <f t="shared" si="12"/>
        <v>389.59606971640318</v>
      </c>
      <c r="AD27" s="43">
        <f t="shared" si="12"/>
        <v>372.63402682785289</v>
      </c>
      <c r="AE27" s="43">
        <f t="shared" si="12"/>
        <v>380.4894875098293</v>
      </c>
      <c r="AF27" s="43">
        <f t="shared" si="12"/>
        <v>350.01632614600436</v>
      </c>
      <c r="AG27" s="43">
        <f t="shared" si="12"/>
        <v>369.7043658392239</v>
      </c>
      <c r="AH27" s="42">
        <f>SUM(V27:AG27)</f>
        <v>4454.59</v>
      </c>
      <c r="AJ27" s="151" t="s">
        <v>91</v>
      </c>
      <c r="AK27" s="151"/>
      <c r="AL27" s="151"/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BA27" s="250" t="s">
        <v>252</v>
      </c>
      <c r="BB27" s="151"/>
      <c r="BC27" s="151"/>
      <c r="BD27" s="151"/>
      <c r="BE27" s="151"/>
    </row>
    <row r="28" spans="1:57" ht="15.6">
      <c r="A28" s="3"/>
      <c r="B28" s="2"/>
      <c r="C28" s="2"/>
      <c r="D28" s="2"/>
      <c r="E28" s="2"/>
      <c r="F28" s="4"/>
      <c r="G28" s="2"/>
      <c r="H28" s="2"/>
      <c r="I28" s="2"/>
      <c r="J28" s="2"/>
      <c r="K28" s="2"/>
      <c r="S28" s="21"/>
      <c r="T28" s="20"/>
      <c r="U28" s="21"/>
      <c r="V28" s="43"/>
      <c r="W28" s="43"/>
      <c r="X28" s="43"/>
      <c r="Y28" s="43"/>
      <c r="Z28" s="1"/>
      <c r="AA28" s="43"/>
      <c r="AB28" s="43"/>
      <c r="AC28" s="43"/>
      <c r="AD28" s="43"/>
      <c r="AE28" s="43"/>
      <c r="AF28" s="43"/>
      <c r="AG28" s="43"/>
      <c r="AH28" s="42"/>
      <c r="AJ28" s="151"/>
      <c r="AK28" s="151"/>
      <c r="AL28" s="151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BA28" s="126"/>
      <c r="BB28" s="126"/>
      <c r="BC28" s="126"/>
      <c r="BD28" s="126"/>
      <c r="BE28" s="127"/>
    </row>
    <row r="29" spans="1:57" ht="15.6">
      <c r="A29" s="3"/>
      <c r="B29" s="2"/>
      <c r="C29" s="2"/>
      <c r="D29" s="2"/>
      <c r="E29" s="2"/>
      <c r="F29" s="6" t="s">
        <v>19</v>
      </c>
      <c r="G29" s="2" t="s">
        <v>57</v>
      </c>
      <c r="H29" s="6"/>
      <c r="I29" s="2"/>
      <c r="J29" s="2"/>
      <c r="K29" s="2"/>
      <c r="S29" s="21"/>
      <c r="T29" s="34"/>
      <c r="U29" s="44"/>
      <c r="V29" s="20"/>
      <c r="W29" s="20"/>
      <c r="X29" s="20"/>
      <c r="Y29" s="20"/>
      <c r="Z29" s="20"/>
      <c r="AA29" s="43"/>
      <c r="AB29" s="20"/>
      <c r="AC29" s="43"/>
      <c r="AD29" s="20"/>
      <c r="AE29" s="20"/>
      <c r="AF29" s="20"/>
      <c r="AG29" s="20"/>
      <c r="AH29" s="42"/>
      <c r="AJ29" s="151" t="s">
        <v>92</v>
      </c>
      <c r="AK29" s="151"/>
      <c r="AL29" s="151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7" ht="15.6">
      <c r="A30" s="3">
        <v>15</v>
      </c>
      <c r="B30" s="2" t="s">
        <v>65</v>
      </c>
      <c r="C30" s="2"/>
      <c r="D30" s="2"/>
      <c r="E30" s="2"/>
      <c r="F30" s="47">
        <f>ROUND(F19/12,0)</f>
        <v>205172</v>
      </c>
      <c r="G30" s="47">
        <f>ROUND((G19+H19+I19)/12,0)</f>
        <v>34823</v>
      </c>
      <c r="H30" s="2"/>
      <c r="I30" s="2"/>
      <c r="J30" s="2"/>
      <c r="K30" s="2"/>
      <c r="S30" s="21"/>
      <c r="T30" s="20"/>
      <c r="U30" s="21"/>
      <c r="V30" s="20"/>
      <c r="W30" s="20"/>
      <c r="X30" s="20"/>
      <c r="Y30" s="20"/>
      <c r="Z30" s="20"/>
      <c r="AA30" s="43"/>
      <c r="AB30" s="20"/>
      <c r="AC30" s="43"/>
      <c r="AD30" s="20"/>
      <c r="AE30" s="20"/>
      <c r="AF30" s="20"/>
      <c r="AG30" s="20"/>
      <c r="AH30" s="42"/>
      <c r="AJ30" s="151"/>
      <c r="AK30" s="151" t="s">
        <v>303</v>
      </c>
      <c r="AL30" s="151"/>
      <c r="AM30" s="50">
        <v>884548</v>
      </c>
      <c r="AN30" s="50">
        <v>-94896</v>
      </c>
      <c r="AO30" s="50">
        <v>-126211</v>
      </c>
      <c r="AP30" s="50">
        <v>143117</v>
      </c>
      <c r="AQ30" s="50">
        <v>8682</v>
      </c>
      <c r="AR30" s="50">
        <v>30762</v>
      </c>
      <c r="AS30" s="50">
        <v>-67299</v>
      </c>
      <c r="AT30" s="50">
        <v>-71480</v>
      </c>
      <c r="AU30" s="50">
        <v>27399</v>
      </c>
      <c r="AV30" s="50">
        <v>-49742</v>
      </c>
      <c r="AW30" s="50">
        <v>-182874</v>
      </c>
      <c r="AX30" s="50">
        <v>-580269</v>
      </c>
      <c r="AY30" s="50">
        <f>SUM(AM30:AX30)</f>
        <v>-78263</v>
      </c>
    </row>
    <row r="31" spans="1:57" ht="15.6">
      <c r="A31" s="3">
        <v>16</v>
      </c>
      <c r="B31" s="2" t="s">
        <v>64</v>
      </c>
      <c r="C31" s="2"/>
      <c r="D31" s="2"/>
      <c r="E31" s="2"/>
      <c r="F31" s="48">
        <f>F13</f>
        <v>2378478031</v>
      </c>
      <c r="G31" s="48">
        <f>G13+H13+I13</f>
        <v>2144856551</v>
      </c>
      <c r="H31" s="2"/>
      <c r="I31" s="2"/>
      <c r="J31" s="2"/>
      <c r="K31" s="2"/>
      <c r="S31" s="21"/>
      <c r="T31" s="20"/>
      <c r="U31" s="21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2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</row>
    <row r="32" spans="1:57" ht="15.6">
      <c r="A32" s="3">
        <v>17</v>
      </c>
      <c r="B32" s="2" t="s">
        <v>62</v>
      </c>
      <c r="C32" s="2"/>
      <c r="D32" s="2"/>
      <c r="E32" s="2"/>
      <c r="F32" s="48">
        <f>F21</f>
        <v>20927569.5</v>
      </c>
      <c r="G32" s="48">
        <f>G21+H21+I21</f>
        <v>19142824</v>
      </c>
      <c r="H32" s="2"/>
      <c r="I32" s="2"/>
      <c r="J32" s="2"/>
      <c r="K32" s="2"/>
      <c r="S32" s="21"/>
      <c r="T32" s="20"/>
      <c r="U32" s="44"/>
      <c r="V32" s="21"/>
      <c r="W32" s="21"/>
      <c r="X32" s="21"/>
      <c r="Y32" s="21"/>
      <c r="Z32" s="20"/>
      <c r="AA32" s="43"/>
      <c r="AB32" s="20"/>
      <c r="AC32" s="43"/>
      <c r="AD32" s="20"/>
      <c r="AE32" s="20"/>
      <c r="AF32" s="20"/>
      <c r="AG32" s="20"/>
      <c r="AH32" s="42"/>
      <c r="AJ32" s="151" t="s">
        <v>93</v>
      </c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</row>
    <row r="33" spans="1:58" ht="15.6">
      <c r="A33" s="3">
        <v>18</v>
      </c>
      <c r="B33" s="2" t="s">
        <v>34</v>
      </c>
      <c r="C33" s="2"/>
      <c r="D33" s="2"/>
      <c r="E33" s="2"/>
      <c r="F33" s="5">
        <f>F19</f>
        <v>2462067</v>
      </c>
      <c r="G33" s="5">
        <f>G19+H19+I19</f>
        <v>417878</v>
      </c>
      <c r="H33" s="2"/>
      <c r="I33" s="2"/>
      <c r="J33" s="2"/>
      <c r="K33" s="2"/>
      <c r="S33" s="21"/>
      <c r="T33" s="23" t="s">
        <v>54</v>
      </c>
      <c r="U33" s="21"/>
      <c r="V33" s="21"/>
      <c r="W33" s="21"/>
      <c r="X33" s="21"/>
      <c r="Y33" s="21"/>
      <c r="Z33" s="20"/>
      <c r="AA33" s="43"/>
      <c r="AB33" s="20"/>
      <c r="AC33" s="43"/>
      <c r="AD33" s="20"/>
      <c r="AE33" s="20"/>
      <c r="AF33" s="20"/>
      <c r="AG33" s="20"/>
      <c r="AH33" s="20"/>
      <c r="AJ33" s="151"/>
      <c r="AK33" s="151" t="s">
        <v>302</v>
      </c>
      <c r="AL33" s="151"/>
      <c r="AM33" s="50">
        <v>3418458</v>
      </c>
      <c r="AN33" s="50">
        <v>-19673731</v>
      </c>
      <c r="AO33" s="50">
        <v>122066</v>
      </c>
      <c r="AP33" s="50">
        <v>625889</v>
      </c>
      <c r="AQ33" s="50">
        <v>8320450</v>
      </c>
      <c r="AR33" s="50">
        <v>10531416</v>
      </c>
      <c r="AS33" s="50">
        <v>-35298252</v>
      </c>
      <c r="AT33" s="50">
        <v>-16715738</v>
      </c>
      <c r="AU33" s="50">
        <v>-1630970</v>
      </c>
      <c r="AV33" s="50">
        <v>-4013526</v>
      </c>
      <c r="AW33" s="50">
        <v>-983199</v>
      </c>
      <c r="AX33" s="50">
        <v>-6591971</v>
      </c>
      <c r="AY33" s="50">
        <f t="shared" ref="AY33:AY38" si="13">SUM(AM33:AX33)</f>
        <v>-61889108</v>
      </c>
    </row>
    <row r="34" spans="1:58" ht="15.6">
      <c r="A34" s="3">
        <v>19</v>
      </c>
      <c r="B34" s="2" t="s">
        <v>63</v>
      </c>
      <c r="C34" s="2"/>
      <c r="D34" s="2"/>
      <c r="E34" s="2"/>
      <c r="F34" s="49">
        <f>F32/F33</f>
        <v>8.5</v>
      </c>
      <c r="G34" s="49">
        <f>G32/G33</f>
        <v>45.809599931080363</v>
      </c>
      <c r="H34" s="2"/>
      <c r="I34" s="2"/>
      <c r="J34" s="2"/>
      <c r="K34" s="2"/>
      <c r="AJ34" s="151"/>
      <c r="AK34" s="151" t="s">
        <v>85</v>
      </c>
      <c r="AL34" s="151"/>
      <c r="AM34" s="50">
        <v>296016</v>
      </c>
      <c r="AN34" s="50">
        <v>-1701682</v>
      </c>
      <c r="AO34" s="50">
        <v>10735</v>
      </c>
      <c r="AP34" s="50">
        <v>28318</v>
      </c>
      <c r="AQ34" s="50">
        <v>785394</v>
      </c>
      <c r="AR34" s="50">
        <v>1336350</v>
      </c>
      <c r="AS34" s="50">
        <v>-5560783</v>
      </c>
      <c r="AT34" s="50">
        <v>-2629971</v>
      </c>
      <c r="AU34" s="50">
        <v>-255968</v>
      </c>
      <c r="AV34" s="50">
        <v>-166876</v>
      </c>
      <c r="AW34" s="50">
        <v>-51342</v>
      </c>
      <c r="AX34" s="50">
        <v>-569558</v>
      </c>
      <c r="AY34" s="50">
        <f t="shared" si="13"/>
        <v>-8479367</v>
      </c>
    </row>
    <row r="35" spans="1:58" ht="15.6">
      <c r="A35" s="3"/>
      <c r="B35" s="2"/>
      <c r="C35" s="2"/>
      <c r="D35" s="2"/>
      <c r="E35" s="2"/>
      <c r="F35" s="2"/>
      <c r="G35" s="46"/>
      <c r="H35" s="4"/>
      <c r="I35" s="2"/>
      <c r="J35" s="2"/>
      <c r="K35" s="2"/>
      <c r="T35" s="250" t="s">
        <v>170</v>
      </c>
      <c r="AJ35" s="151"/>
      <c r="AK35" s="151" t="s">
        <v>86</v>
      </c>
      <c r="AL35" s="151"/>
      <c r="AM35" s="50">
        <v>152288</v>
      </c>
      <c r="AN35" s="50">
        <v>-875266</v>
      </c>
      <c r="AO35" s="50">
        <v>5418</v>
      </c>
      <c r="AP35" s="50">
        <v>3281</v>
      </c>
      <c r="AQ35" s="50">
        <v>907824</v>
      </c>
      <c r="AR35" s="50">
        <v>1564232</v>
      </c>
      <c r="AS35" s="50">
        <v>-7384749</v>
      </c>
      <c r="AT35" s="50">
        <v>-3492514</v>
      </c>
      <c r="AU35" s="50">
        <v>-340803</v>
      </c>
      <c r="AV35" s="50">
        <v>84965</v>
      </c>
      <c r="AW35" s="50">
        <v>-5447</v>
      </c>
      <c r="AX35" s="50">
        <v>-293965</v>
      </c>
      <c r="AY35" s="50">
        <f t="shared" si="13"/>
        <v>-9674736</v>
      </c>
    </row>
    <row r="36" spans="1:58" s="151" customFormat="1" ht="15.6">
      <c r="A36" s="246" t="s">
        <v>151</v>
      </c>
      <c r="B36" s="2"/>
      <c r="C36" s="2"/>
      <c r="D36" s="2"/>
      <c r="E36" s="2"/>
      <c r="F36" s="2"/>
      <c r="G36" s="46"/>
      <c r="H36" s="4"/>
      <c r="I36" s="2"/>
      <c r="J36" s="2"/>
      <c r="K36" s="2"/>
      <c r="L36" s="247"/>
      <c r="R36" s="247"/>
      <c r="AI36" s="247"/>
      <c r="AK36" s="151" t="s">
        <v>303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f t="shared" si="13"/>
        <v>0</v>
      </c>
      <c r="AZ36" s="247"/>
      <c r="BA36"/>
      <c r="BB36"/>
      <c r="BC36"/>
      <c r="BD36"/>
      <c r="BE36"/>
      <c r="BF36"/>
    </row>
    <row r="37" spans="1:58" s="151" customFormat="1" ht="15.6">
      <c r="A37" s="3"/>
      <c r="B37" s="2"/>
      <c r="C37" s="2"/>
      <c r="D37" s="2"/>
      <c r="E37" s="2"/>
      <c r="F37" s="2"/>
      <c r="G37" s="46"/>
      <c r="H37" s="4"/>
      <c r="I37" s="2"/>
      <c r="J37" s="2"/>
      <c r="K37" s="2"/>
      <c r="L37" s="247"/>
      <c r="R37" s="247"/>
      <c r="AI37" s="247"/>
      <c r="AK37" s="151" t="s">
        <v>304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f t="shared" si="13"/>
        <v>0</v>
      </c>
      <c r="AZ37" s="247"/>
      <c r="BA37"/>
      <c r="BB37"/>
      <c r="BC37"/>
      <c r="BD37"/>
      <c r="BE37"/>
      <c r="BF37"/>
    </row>
    <row r="38" spans="1:58" s="151" customFormat="1" ht="15.6">
      <c r="A38" s="3"/>
      <c r="B38" s="2"/>
      <c r="C38" s="2"/>
      <c r="D38" s="2"/>
      <c r="E38" s="2"/>
      <c r="F38" s="2"/>
      <c r="G38" s="46"/>
      <c r="H38" s="4"/>
      <c r="I38" s="2"/>
      <c r="J38" s="2"/>
      <c r="K38" s="2"/>
      <c r="L38" s="247"/>
      <c r="R38" s="247"/>
      <c r="AI38" s="247"/>
      <c r="AK38" s="151" t="s">
        <v>87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f t="shared" si="13"/>
        <v>0</v>
      </c>
      <c r="AZ38" s="247"/>
      <c r="BA38"/>
      <c r="BB38"/>
      <c r="BC38"/>
      <c r="BD38"/>
      <c r="BE38"/>
      <c r="BF38"/>
    </row>
    <row r="39" spans="1:58" ht="15.6">
      <c r="A39" s="3"/>
      <c r="B39" s="2"/>
      <c r="C39" s="2"/>
      <c r="D39" s="2" t="s">
        <v>148</v>
      </c>
      <c r="E39" s="2"/>
      <c r="F39" s="2"/>
      <c r="G39" s="2"/>
      <c r="H39" s="2"/>
      <c r="I39" s="2"/>
      <c r="J39" s="2"/>
      <c r="K39" s="2"/>
      <c r="AJ39" s="151" t="s">
        <v>94</v>
      </c>
      <c r="AK39" s="151"/>
      <c r="AL39" s="151"/>
      <c r="AM39" s="51">
        <f>SUM(AM33:AM38)</f>
        <v>3866762</v>
      </c>
      <c r="AN39" s="51">
        <f t="shared" ref="AN39:AY39" si="14">SUM(AN33:AN38)</f>
        <v>-22250679</v>
      </c>
      <c r="AO39" s="51">
        <f t="shared" si="14"/>
        <v>138219</v>
      </c>
      <c r="AP39" s="51">
        <f t="shared" si="14"/>
        <v>657488</v>
      </c>
      <c r="AQ39" s="51">
        <f t="shared" si="14"/>
        <v>10013668</v>
      </c>
      <c r="AR39" s="51">
        <f t="shared" si="14"/>
        <v>13431998</v>
      </c>
      <c r="AS39" s="51">
        <f t="shared" si="14"/>
        <v>-48243784</v>
      </c>
      <c r="AT39" s="51">
        <f t="shared" si="14"/>
        <v>-22838223</v>
      </c>
      <c r="AU39" s="51">
        <f t="shared" si="14"/>
        <v>-2227741</v>
      </c>
      <c r="AV39" s="51">
        <f t="shared" si="14"/>
        <v>-4095437</v>
      </c>
      <c r="AW39" s="51">
        <f t="shared" si="14"/>
        <v>-1039988</v>
      </c>
      <c r="AX39" s="51">
        <f t="shared" si="14"/>
        <v>-7455494</v>
      </c>
      <c r="AY39" s="51">
        <f t="shared" si="14"/>
        <v>-80043211</v>
      </c>
    </row>
    <row r="40" spans="1:58" ht="15.6">
      <c r="A40" s="3"/>
      <c r="B40" s="2"/>
      <c r="C40" s="2"/>
      <c r="D40" s="2" t="s">
        <v>149</v>
      </c>
      <c r="E40" s="2"/>
      <c r="F40" s="115">
        <f>F23/F13</f>
        <v>6.3656087648467335E-2</v>
      </c>
      <c r="G40" s="115">
        <f>G23/G13</f>
        <v>9.1650724739878009E-2</v>
      </c>
      <c r="H40" s="115">
        <f>H23/H13</f>
        <v>6.5309764445137655E-2</v>
      </c>
      <c r="I40" s="115">
        <f>I23/I13</f>
        <v>6.1986442030770555E-2</v>
      </c>
      <c r="J40" s="2"/>
      <c r="K40" s="2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</row>
    <row r="41" spans="1:58" ht="15.6">
      <c r="A41" s="3"/>
      <c r="B41" s="2"/>
      <c r="C41" s="2"/>
      <c r="D41" s="2" t="s">
        <v>150</v>
      </c>
      <c r="E41" s="2"/>
      <c r="F41" s="116">
        <f>F40+F14</f>
        <v>8.0066087648467343E-2</v>
      </c>
      <c r="G41" s="116">
        <f>G40+G14</f>
        <v>0.10806072473987802</v>
      </c>
      <c r="H41" s="116">
        <f>H40+H14</f>
        <v>8.1719764445137649E-2</v>
      </c>
      <c r="I41" s="116">
        <f>I40+I14</f>
        <v>7.8396442030770563E-2</v>
      </c>
      <c r="J41" s="2"/>
      <c r="K41" s="2"/>
      <c r="AJ41" s="151" t="s">
        <v>95</v>
      </c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</row>
    <row r="42" spans="1:58" ht="15.6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AJ42" s="151"/>
      <c r="AK42" s="151" t="s">
        <v>302</v>
      </c>
      <c r="AL42" s="151"/>
      <c r="AM42" s="50">
        <f t="shared" ref="AM42:AX42" si="15">AM7+AM16+AM33</f>
        <v>284675925</v>
      </c>
      <c r="AN42" s="50">
        <f t="shared" si="15"/>
        <v>232597855</v>
      </c>
      <c r="AO42" s="50">
        <f t="shared" si="15"/>
        <v>228752581</v>
      </c>
      <c r="AP42" s="50">
        <f t="shared" si="15"/>
        <v>172322869</v>
      </c>
      <c r="AQ42" s="50">
        <f t="shared" si="15"/>
        <v>166632549</v>
      </c>
      <c r="AR42" s="50">
        <f t="shared" si="15"/>
        <v>148170954</v>
      </c>
      <c r="AS42" s="50">
        <f t="shared" si="15"/>
        <v>153360033</v>
      </c>
      <c r="AT42" s="50">
        <f t="shared" si="15"/>
        <v>181322317</v>
      </c>
      <c r="AU42" s="50">
        <f t="shared" si="15"/>
        <v>146560541</v>
      </c>
      <c r="AV42" s="50">
        <f t="shared" si="15"/>
        <v>174054557</v>
      </c>
      <c r="AW42" s="50">
        <f t="shared" si="15"/>
        <v>212665464</v>
      </c>
      <c r="AX42" s="50">
        <f t="shared" si="15"/>
        <v>277362386</v>
      </c>
      <c r="AY42" s="50">
        <f t="shared" ref="AY42:AY47" si="16">SUM(AM42:AX42)</f>
        <v>2378478031</v>
      </c>
    </row>
    <row r="43" spans="1:58">
      <c r="AJ43" s="151"/>
      <c r="AK43" s="151" t="s">
        <v>85</v>
      </c>
      <c r="AL43" s="151"/>
      <c r="AM43" s="50">
        <f>AM8+AM17+AM34+AM25</f>
        <v>56889966</v>
      </c>
      <c r="AN43" s="50">
        <f t="shared" ref="AN43:AX44" si="17">AN8+AN17+AN34+AN25</f>
        <v>53952359</v>
      </c>
      <c r="AO43" s="50">
        <f t="shared" si="17"/>
        <v>50696303</v>
      </c>
      <c r="AP43" s="50">
        <f t="shared" si="17"/>
        <v>45184052</v>
      </c>
      <c r="AQ43" s="50">
        <f t="shared" si="17"/>
        <v>45464737</v>
      </c>
      <c r="AR43" s="50">
        <f t="shared" si="17"/>
        <v>41880423</v>
      </c>
      <c r="AS43" s="50">
        <f t="shared" si="17"/>
        <v>47192335</v>
      </c>
      <c r="AT43" s="50">
        <f t="shared" si="17"/>
        <v>47520498</v>
      </c>
      <c r="AU43" s="50">
        <f t="shared" si="17"/>
        <v>45071050</v>
      </c>
      <c r="AV43" s="50">
        <f t="shared" si="17"/>
        <v>49775788</v>
      </c>
      <c r="AW43" s="50">
        <f t="shared" si="17"/>
        <v>48225285</v>
      </c>
      <c r="AX43" s="50">
        <f t="shared" si="17"/>
        <v>56548440</v>
      </c>
      <c r="AY43" s="50">
        <f t="shared" si="16"/>
        <v>588401236</v>
      </c>
    </row>
    <row r="44" spans="1:58">
      <c r="AJ44" s="151"/>
      <c r="AK44" s="151" t="s">
        <v>86</v>
      </c>
      <c r="AL44" s="151"/>
      <c r="AM44" s="50">
        <f>AM9+AM18+AM35+AM26</f>
        <v>113027390</v>
      </c>
      <c r="AN44" s="50">
        <f t="shared" si="17"/>
        <v>118881308</v>
      </c>
      <c r="AO44" s="50">
        <f t="shared" si="17"/>
        <v>111932195</v>
      </c>
      <c r="AP44" s="50">
        <f t="shared" si="17"/>
        <v>113904571</v>
      </c>
      <c r="AQ44" s="50">
        <f t="shared" si="17"/>
        <v>119594187</v>
      </c>
      <c r="AR44" s="50">
        <f t="shared" si="17"/>
        <v>119904804</v>
      </c>
      <c r="AS44" s="50">
        <f t="shared" si="17"/>
        <v>126965563</v>
      </c>
      <c r="AT44" s="50">
        <f t="shared" si="17"/>
        <v>116529246</v>
      </c>
      <c r="AU44" s="50">
        <f t="shared" si="17"/>
        <v>115471122</v>
      </c>
      <c r="AV44" s="50">
        <f t="shared" si="17"/>
        <v>127216291</v>
      </c>
      <c r="AW44" s="50">
        <f t="shared" si="17"/>
        <v>117670908</v>
      </c>
      <c r="AX44" s="50">
        <f t="shared" si="17"/>
        <v>118130686</v>
      </c>
      <c r="AY44" s="50">
        <f t="shared" si="16"/>
        <v>1419228271</v>
      </c>
    </row>
    <row r="45" spans="1:58">
      <c r="AJ45" s="151"/>
      <c r="AK45" s="151" t="s">
        <v>303</v>
      </c>
      <c r="AL45" s="151"/>
      <c r="AM45" s="50">
        <f>AM10+AM19+AM30+AM36</f>
        <v>94615705</v>
      </c>
      <c r="AN45" s="50">
        <f t="shared" ref="AN45:AX45" si="18">AN10+AN19+AN30+AN36</f>
        <v>86450358</v>
      </c>
      <c r="AO45" s="50">
        <f t="shared" si="18"/>
        <v>94974601</v>
      </c>
      <c r="AP45" s="50">
        <f t="shared" si="18"/>
        <v>91311649</v>
      </c>
      <c r="AQ45" s="50">
        <f t="shared" si="18"/>
        <v>91684982</v>
      </c>
      <c r="AR45" s="50">
        <f t="shared" si="18"/>
        <v>87883840</v>
      </c>
      <c r="AS45" s="50">
        <f t="shared" si="18"/>
        <v>94835244</v>
      </c>
      <c r="AT45" s="50">
        <f t="shared" si="18"/>
        <v>98265527</v>
      </c>
      <c r="AU45" s="50">
        <f t="shared" si="18"/>
        <v>93878439</v>
      </c>
      <c r="AV45" s="50">
        <f t="shared" si="18"/>
        <v>91841691</v>
      </c>
      <c r="AW45" s="50">
        <f t="shared" si="18"/>
        <v>88140801</v>
      </c>
      <c r="AX45" s="50">
        <f t="shared" si="18"/>
        <v>91489299</v>
      </c>
      <c r="AY45" s="50">
        <f t="shared" si="16"/>
        <v>1105372136</v>
      </c>
    </row>
    <row r="46" spans="1:58">
      <c r="AJ46" s="151"/>
      <c r="AK46" s="151" t="s">
        <v>304</v>
      </c>
      <c r="AL46" s="151"/>
      <c r="AM46" s="50">
        <f t="shared" ref="AM46:AX47" si="19">AM11+AM20+AM37</f>
        <v>4629627</v>
      </c>
      <c r="AN46" s="50">
        <f t="shared" si="19"/>
        <v>4667187</v>
      </c>
      <c r="AO46" s="50">
        <f t="shared" si="19"/>
        <v>3660531</v>
      </c>
      <c r="AP46" s="50">
        <f t="shared" si="19"/>
        <v>6328832</v>
      </c>
      <c r="AQ46" s="50">
        <f t="shared" si="19"/>
        <v>13049965</v>
      </c>
      <c r="AR46" s="50">
        <f t="shared" si="19"/>
        <v>23717970</v>
      </c>
      <c r="AS46" s="50">
        <f t="shared" si="19"/>
        <v>26579183</v>
      </c>
      <c r="AT46" s="50">
        <f t="shared" si="19"/>
        <v>23538268</v>
      </c>
      <c r="AU46" s="50">
        <f t="shared" si="19"/>
        <v>18878725</v>
      </c>
      <c r="AV46" s="50">
        <f t="shared" si="19"/>
        <v>6211172</v>
      </c>
      <c r="AW46" s="50">
        <f t="shared" si="19"/>
        <v>2634426</v>
      </c>
      <c r="AX46" s="50">
        <f t="shared" si="19"/>
        <v>3331158</v>
      </c>
      <c r="AY46" s="50">
        <f t="shared" si="16"/>
        <v>137227044</v>
      </c>
    </row>
    <row r="47" spans="1:58">
      <c r="AJ47" s="151"/>
      <c r="AK47" s="151" t="s">
        <v>87</v>
      </c>
      <c r="AL47" s="151"/>
      <c r="AM47" s="50">
        <f t="shared" si="19"/>
        <v>2098291</v>
      </c>
      <c r="AN47" s="50">
        <f t="shared" si="19"/>
        <v>2097748</v>
      </c>
      <c r="AO47" s="50">
        <f t="shared" si="19"/>
        <v>2097084</v>
      </c>
      <c r="AP47" s="50">
        <f t="shared" si="19"/>
        <v>2092917</v>
      </c>
      <c r="AQ47" s="50">
        <f t="shared" si="19"/>
        <v>2080667</v>
      </c>
      <c r="AR47" s="50">
        <f t="shared" si="19"/>
        <v>2071670</v>
      </c>
      <c r="AS47" s="50">
        <f t="shared" si="19"/>
        <v>2091912</v>
      </c>
      <c r="AT47" s="50">
        <f t="shared" si="19"/>
        <v>2091315</v>
      </c>
      <c r="AU47" s="50">
        <f t="shared" si="19"/>
        <v>2086444</v>
      </c>
      <c r="AV47" s="50">
        <f t="shared" si="19"/>
        <v>2114106</v>
      </c>
      <c r="AW47" s="50">
        <f t="shared" si="19"/>
        <v>2103410</v>
      </c>
      <c r="AX47" s="50">
        <f t="shared" si="19"/>
        <v>2102201</v>
      </c>
      <c r="AY47" s="50">
        <f t="shared" si="16"/>
        <v>25127765</v>
      </c>
    </row>
    <row r="48" spans="1:58">
      <c r="AJ48" s="151" t="s">
        <v>96</v>
      </c>
      <c r="AK48" s="151"/>
      <c r="AL48" s="151"/>
      <c r="AM48" s="51">
        <f>SUM(AM42:AM47)</f>
        <v>555936904</v>
      </c>
      <c r="AN48" s="51">
        <f t="shared" ref="AN48:AY48" si="20">SUM(AN42:AN47)</f>
        <v>498646815</v>
      </c>
      <c r="AO48" s="51">
        <f t="shared" si="20"/>
        <v>492113295</v>
      </c>
      <c r="AP48" s="51">
        <f t="shared" si="20"/>
        <v>431144890</v>
      </c>
      <c r="AQ48" s="51">
        <f t="shared" si="20"/>
        <v>438507087</v>
      </c>
      <c r="AR48" s="51">
        <f t="shared" si="20"/>
        <v>423629661</v>
      </c>
      <c r="AS48" s="51">
        <f t="shared" si="20"/>
        <v>451024270</v>
      </c>
      <c r="AT48" s="51">
        <f t="shared" si="20"/>
        <v>469267171</v>
      </c>
      <c r="AU48" s="51">
        <f t="shared" si="20"/>
        <v>421946321</v>
      </c>
      <c r="AV48" s="51">
        <f t="shared" si="20"/>
        <v>451213605</v>
      </c>
      <c r="AW48" s="51">
        <f t="shared" si="20"/>
        <v>471440294</v>
      </c>
      <c r="AX48" s="51">
        <f t="shared" si="20"/>
        <v>548964170</v>
      </c>
      <c r="AY48" s="51">
        <f t="shared" si="20"/>
        <v>5653834483</v>
      </c>
    </row>
    <row r="49" spans="36:51"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</row>
    <row r="50" spans="36:51">
      <c r="AJ50" s="151"/>
      <c r="AK50" s="151" t="s">
        <v>97</v>
      </c>
      <c r="AL50" s="151"/>
      <c r="AM50" s="50">
        <f>AM42</f>
        <v>284675925</v>
      </c>
      <c r="AN50" s="50">
        <f t="shared" ref="AN50:AX50" si="21">AN42</f>
        <v>232597855</v>
      </c>
      <c r="AO50" s="50">
        <f t="shared" si="21"/>
        <v>228752581</v>
      </c>
      <c r="AP50" s="50">
        <f t="shared" si="21"/>
        <v>172322869</v>
      </c>
      <c r="AQ50" s="50">
        <f t="shared" si="21"/>
        <v>166632549</v>
      </c>
      <c r="AR50" s="50">
        <f t="shared" si="21"/>
        <v>148170954</v>
      </c>
      <c r="AS50" s="50">
        <f t="shared" si="21"/>
        <v>153360033</v>
      </c>
      <c r="AT50" s="50">
        <f t="shared" si="21"/>
        <v>181322317</v>
      </c>
      <c r="AU50" s="50">
        <f t="shared" si="21"/>
        <v>146560541</v>
      </c>
      <c r="AV50" s="50">
        <f t="shared" si="21"/>
        <v>174054557</v>
      </c>
      <c r="AW50" s="50">
        <f t="shared" si="21"/>
        <v>212665464</v>
      </c>
      <c r="AX50" s="50">
        <f t="shared" si="21"/>
        <v>277362386</v>
      </c>
      <c r="AY50" s="50">
        <f>SUM(AM50:AX50)</f>
        <v>2378478031</v>
      </c>
    </row>
    <row r="51" spans="36:51">
      <c r="AJ51" s="151"/>
      <c r="AK51" s="151" t="s">
        <v>98</v>
      </c>
      <c r="AL51" s="151"/>
      <c r="AM51" s="50">
        <v>204564</v>
      </c>
      <c r="AN51" s="50">
        <v>205005</v>
      </c>
      <c r="AO51" s="50">
        <v>205512</v>
      </c>
      <c r="AP51" s="50">
        <v>205536</v>
      </c>
      <c r="AQ51" s="50">
        <v>205720</v>
      </c>
      <c r="AR51" s="50">
        <v>205499</v>
      </c>
      <c r="AS51" s="50">
        <v>205076</v>
      </c>
      <c r="AT51" s="50">
        <v>205201</v>
      </c>
      <c r="AU51" s="50">
        <v>204431</v>
      </c>
      <c r="AV51" s="50">
        <v>204966</v>
      </c>
      <c r="AW51" s="50">
        <v>204911</v>
      </c>
      <c r="AX51" s="50">
        <v>205646</v>
      </c>
      <c r="AY51" s="50">
        <f>SUM(AM51:AX51)</f>
        <v>2462067</v>
      </c>
    </row>
    <row r="52" spans="36:51">
      <c r="AJ52" s="151"/>
      <c r="AK52" s="151" t="s">
        <v>99</v>
      </c>
      <c r="AL52" s="151"/>
      <c r="AM52" s="56">
        <f>AM50/AM51</f>
        <v>1391.6227928667802</v>
      </c>
      <c r="AN52" s="56">
        <f t="shared" ref="AN52:AY52" si="22">AN50/AN51</f>
        <v>1134.5960098534183</v>
      </c>
      <c r="AO52" s="56">
        <f t="shared" si="22"/>
        <v>1113.0862480049827</v>
      </c>
      <c r="AP52" s="56">
        <f t="shared" si="22"/>
        <v>838.40723279620113</v>
      </c>
      <c r="AQ52" s="56">
        <f t="shared" si="22"/>
        <v>809.99683550456928</v>
      </c>
      <c r="AR52" s="56">
        <f t="shared" si="22"/>
        <v>721.03004880802337</v>
      </c>
      <c r="AS52" s="56">
        <f t="shared" si="22"/>
        <v>747.82048118746218</v>
      </c>
      <c r="AT52" s="56">
        <f t="shared" si="22"/>
        <v>883.63271621483329</v>
      </c>
      <c r="AU52" s="56">
        <f t="shared" si="22"/>
        <v>716.91935665334518</v>
      </c>
      <c r="AV52" s="56">
        <f t="shared" si="22"/>
        <v>849.18746035927904</v>
      </c>
      <c r="AW52" s="56">
        <f t="shared" si="22"/>
        <v>1037.8430830946118</v>
      </c>
      <c r="AX52" s="56">
        <f t="shared" si="22"/>
        <v>1348.7370821703316</v>
      </c>
      <c r="AY52" s="56">
        <f t="shared" si="22"/>
        <v>966.04927120179912</v>
      </c>
    </row>
    <row r="53" spans="36:51">
      <c r="AJ53" s="151"/>
      <c r="AK53" s="151" t="s">
        <v>100</v>
      </c>
      <c r="AL53" s="151"/>
      <c r="AM53" s="50">
        <f>AM43+AM44+AM46</f>
        <v>174546983</v>
      </c>
      <c r="AN53" s="50">
        <f t="shared" ref="AN53:AX53" si="23">AN43+AN44+AN46</f>
        <v>177500854</v>
      </c>
      <c r="AO53" s="50">
        <f t="shared" si="23"/>
        <v>166289029</v>
      </c>
      <c r="AP53" s="50">
        <f t="shared" si="23"/>
        <v>165417455</v>
      </c>
      <c r="AQ53" s="50">
        <f t="shared" si="23"/>
        <v>178108889</v>
      </c>
      <c r="AR53" s="50">
        <f t="shared" si="23"/>
        <v>185503197</v>
      </c>
      <c r="AS53" s="50">
        <f t="shared" si="23"/>
        <v>200737081</v>
      </c>
      <c r="AT53" s="50">
        <f t="shared" si="23"/>
        <v>187588012</v>
      </c>
      <c r="AU53" s="50">
        <f t="shared" si="23"/>
        <v>179420897</v>
      </c>
      <c r="AV53" s="50">
        <f t="shared" si="23"/>
        <v>183203251</v>
      </c>
      <c r="AW53" s="50">
        <f t="shared" si="23"/>
        <v>168530619</v>
      </c>
      <c r="AX53" s="50">
        <f t="shared" si="23"/>
        <v>178010284</v>
      </c>
      <c r="AY53" s="50">
        <f>SUM(AM53:AX53)</f>
        <v>2144856551</v>
      </c>
    </row>
    <row r="54" spans="36:51">
      <c r="AJ54" s="151"/>
      <c r="AK54" s="151" t="s">
        <v>101</v>
      </c>
      <c r="AL54" s="151"/>
      <c r="AM54" s="50">
        <v>34308</v>
      </c>
      <c r="AN54" s="50">
        <v>34460</v>
      </c>
      <c r="AO54" s="50">
        <v>34515</v>
      </c>
      <c r="AP54" s="50">
        <v>34554</v>
      </c>
      <c r="AQ54" s="50">
        <v>34555</v>
      </c>
      <c r="AR54" s="50">
        <v>35013</v>
      </c>
      <c r="AS54" s="50">
        <v>34957</v>
      </c>
      <c r="AT54" s="50">
        <v>35067</v>
      </c>
      <c r="AU54" s="50">
        <v>35085</v>
      </c>
      <c r="AV54" s="50">
        <v>35115</v>
      </c>
      <c r="AW54" s="50">
        <v>35091</v>
      </c>
      <c r="AX54" s="50">
        <v>35158</v>
      </c>
      <c r="AY54" s="50">
        <f>SUM(AM54:AX54)</f>
        <v>417878</v>
      </c>
    </row>
    <row r="55" spans="36:51">
      <c r="AJ55" s="151"/>
      <c r="AK55" s="151" t="s">
        <v>102</v>
      </c>
      <c r="AL55" s="151"/>
      <c r="AM55" s="50">
        <f>AM53/AM54</f>
        <v>5087.6467004780225</v>
      </c>
      <c r="AN55" s="50">
        <f t="shared" ref="AN55:AY55" si="24">AN53/AN54</f>
        <v>5150.9243760882182</v>
      </c>
      <c r="AO55" s="50">
        <f t="shared" si="24"/>
        <v>4817.8771258872957</v>
      </c>
      <c r="AP55" s="50">
        <f t="shared" si="24"/>
        <v>4787.2158071424437</v>
      </c>
      <c r="AQ55" s="50">
        <f t="shared" si="24"/>
        <v>5154.3593980610622</v>
      </c>
      <c r="AR55" s="50">
        <f t="shared" si="24"/>
        <v>5298.1234684260135</v>
      </c>
      <c r="AS55" s="50">
        <f t="shared" si="24"/>
        <v>5742.4001201476103</v>
      </c>
      <c r="AT55" s="50">
        <f t="shared" si="24"/>
        <v>5349.4171728405627</v>
      </c>
      <c r="AU55" s="50">
        <f t="shared" si="24"/>
        <v>5113.8918911215624</v>
      </c>
      <c r="AV55" s="50">
        <f t="shared" si="24"/>
        <v>5217.2362523138263</v>
      </c>
      <c r="AW55" s="50">
        <f t="shared" si="24"/>
        <v>4802.673591519193</v>
      </c>
      <c r="AX55" s="50">
        <f t="shared" si="24"/>
        <v>5063.1516013425107</v>
      </c>
      <c r="AY55" s="50">
        <f t="shared" si="24"/>
        <v>5132.7338385844669</v>
      </c>
    </row>
    <row r="56" spans="36:51"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</row>
    <row r="57" spans="36:51">
      <c r="AJ57" s="151"/>
      <c r="AK57" s="151" t="s">
        <v>103</v>
      </c>
      <c r="AL57" s="151"/>
      <c r="AM57" s="57">
        <f>AM48/$AY48</f>
        <v>9.8329179191855728E-2</v>
      </c>
      <c r="AN57" s="57">
        <f t="shared" ref="AN57:AX57" si="25">AN48/$AY48</f>
        <v>8.8196217363514212E-2</v>
      </c>
      <c r="AO57" s="57">
        <f t="shared" si="25"/>
        <v>8.7040626406678631E-2</v>
      </c>
      <c r="AP57" s="57">
        <f t="shared" si="25"/>
        <v>7.6257076731971962E-2</v>
      </c>
      <c r="AQ57" s="57">
        <f t="shared" si="25"/>
        <v>7.755923671244834E-2</v>
      </c>
      <c r="AR57" s="57">
        <f t="shared" si="25"/>
        <v>7.4927849811269404E-2</v>
      </c>
      <c r="AS57" s="57">
        <f t="shared" si="25"/>
        <v>7.977316480631752E-2</v>
      </c>
      <c r="AT57" s="57">
        <f t="shared" si="25"/>
        <v>8.2999807017873753E-2</v>
      </c>
      <c r="AU57" s="57">
        <f t="shared" si="25"/>
        <v>7.4630115591234933E-2</v>
      </c>
      <c r="AV57" s="57">
        <f t="shared" si="25"/>
        <v>7.9806652698573524E-2</v>
      </c>
      <c r="AW57" s="57">
        <f t="shared" si="25"/>
        <v>8.3384169702443695E-2</v>
      </c>
      <c r="AX57" s="57">
        <f t="shared" si="25"/>
        <v>9.7095903965818312E-2</v>
      </c>
      <c r="AY57" s="57">
        <f>SUM(AM57:AX57)</f>
        <v>1</v>
      </c>
    </row>
    <row r="59" spans="36:51">
      <c r="AJ59" s="250" t="s">
        <v>307</v>
      </c>
    </row>
  </sheetData>
  <mergeCells count="17">
    <mergeCell ref="BA4:BE4"/>
    <mergeCell ref="S1:AH1"/>
    <mergeCell ref="S2:AH2"/>
    <mergeCell ref="S3:AH3"/>
    <mergeCell ref="S4:AH4"/>
    <mergeCell ref="A1:K1"/>
    <mergeCell ref="A2:K2"/>
    <mergeCell ref="A3:K3"/>
    <mergeCell ref="BA2:BE2"/>
    <mergeCell ref="BA3:BE3"/>
    <mergeCell ref="J22:K23"/>
    <mergeCell ref="M2:Q2"/>
    <mergeCell ref="M3:Q3"/>
    <mergeCell ref="M4:Q4"/>
    <mergeCell ref="M6:M7"/>
    <mergeCell ref="P6:P7"/>
    <mergeCell ref="Q6:Q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E89"/>
  <sheetViews>
    <sheetView topLeftCell="A53" zoomScaleNormal="100" workbookViewId="0">
      <selection activeCell="J84" sqref="J84"/>
    </sheetView>
  </sheetViews>
  <sheetFormatPr defaultColWidth="9.109375" defaultRowHeight="13.8"/>
  <cols>
    <col min="1" max="1" width="14.6640625" style="1" customWidth="1"/>
    <col min="2" max="2" width="8.66406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6.4414062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4.6640625" style="1" customWidth="1"/>
    <col min="21" max="21" width="10.5546875" style="1" customWidth="1"/>
    <col min="22" max="22" width="14.664062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20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20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20">
      <c r="A3" s="180" t="s">
        <v>131</v>
      </c>
      <c r="B3" s="152"/>
      <c r="C3" s="158">
        <v>216760</v>
      </c>
      <c r="D3" s="282"/>
      <c r="E3" s="182">
        <v>245231487.134</v>
      </c>
      <c r="F3" s="182">
        <v>-114430432</v>
      </c>
      <c r="G3" s="182">
        <v>127093842</v>
      </c>
      <c r="H3" s="189">
        <f>SUM(F3:G3)</f>
        <v>12663410</v>
      </c>
      <c r="I3" s="159">
        <f>E3+H3</f>
        <v>257894897.134</v>
      </c>
      <c r="J3" s="370">
        <f t="shared" ref="J3:J8" si="0">I3/C3</f>
        <v>1189.7716236113674</v>
      </c>
      <c r="K3" s="341">
        <f t="shared" ref="K3:K8" si="1">D24/E3</f>
        <v>9.0853357659677905E-2</v>
      </c>
    </row>
    <row r="4" spans="1:20">
      <c r="A4" s="180" t="s">
        <v>178</v>
      </c>
      <c r="B4" s="152"/>
      <c r="C4" s="158">
        <v>366</v>
      </c>
      <c r="D4" s="282"/>
      <c r="E4" s="182">
        <v>520127.90899999999</v>
      </c>
      <c r="F4" s="182">
        <v>-239561</v>
      </c>
      <c r="G4" s="182">
        <v>269574</v>
      </c>
      <c r="H4" s="189">
        <f t="shared" ref="H4:H16" si="2">SUM(F4:G4)</f>
        <v>30013</v>
      </c>
      <c r="I4" s="159">
        <f t="shared" ref="I4:I16" si="3">E4+H4</f>
        <v>550140.90899999999</v>
      </c>
      <c r="J4" s="370">
        <f t="shared" si="0"/>
        <v>1503.1172377049179</v>
      </c>
      <c r="K4" s="341">
        <f t="shared" si="1"/>
        <v>9.101847676472212E-2</v>
      </c>
    </row>
    <row r="5" spans="1:20">
      <c r="A5" s="180" t="s">
        <v>132</v>
      </c>
      <c r="B5" s="152"/>
      <c r="C5" s="158">
        <v>22730</v>
      </c>
      <c r="D5" s="282"/>
      <c r="E5" s="182">
        <v>50926222.597000003</v>
      </c>
      <c r="F5" s="182">
        <v>-27208344</v>
      </c>
      <c r="G5" s="182">
        <v>26276394</v>
      </c>
      <c r="H5" s="189">
        <f t="shared" si="2"/>
        <v>-931950</v>
      </c>
      <c r="I5" s="159">
        <f t="shared" si="3"/>
        <v>49994272.597000003</v>
      </c>
      <c r="J5" s="370">
        <f t="shared" si="0"/>
        <v>2199.4840561812584</v>
      </c>
      <c r="K5" s="341">
        <f t="shared" si="1"/>
        <v>0.11692923009669261</v>
      </c>
    </row>
    <row r="6" spans="1:20">
      <c r="A6" s="180" t="s">
        <v>133</v>
      </c>
      <c r="B6" s="152"/>
      <c r="C6" s="158">
        <v>9600</v>
      </c>
      <c r="D6" s="282"/>
      <c r="E6" s="182">
        <v>6108206.1849999996</v>
      </c>
      <c r="F6" s="182">
        <v>-2882688</v>
      </c>
      <c r="G6" s="182">
        <v>3165785</v>
      </c>
      <c r="H6" s="189">
        <f t="shared" si="2"/>
        <v>283097</v>
      </c>
      <c r="I6" s="159">
        <f t="shared" si="3"/>
        <v>6391303.1849999996</v>
      </c>
      <c r="J6" s="370">
        <f t="shared" si="0"/>
        <v>665.76074843749996</v>
      </c>
      <c r="K6" s="341">
        <f t="shared" si="1"/>
        <v>0.14260867161608431</v>
      </c>
    </row>
    <row r="7" spans="1:20">
      <c r="A7" s="180" t="s">
        <v>134</v>
      </c>
      <c r="B7" s="152"/>
      <c r="C7" s="158">
        <v>1857</v>
      </c>
      <c r="D7" s="282"/>
      <c r="E7" s="182">
        <v>116049949.939</v>
      </c>
      <c r="F7" s="182">
        <v>-67185053</v>
      </c>
      <c r="G7" s="182">
        <v>59753857</v>
      </c>
      <c r="H7" s="189">
        <f t="shared" si="2"/>
        <v>-7431196</v>
      </c>
      <c r="I7" s="159">
        <f t="shared" si="3"/>
        <v>108618753.939</v>
      </c>
      <c r="J7" s="370">
        <f t="shared" si="0"/>
        <v>58491.520699515342</v>
      </c>
      <c r="K7" s="341">
        <f t="shared" si="1"/>
        <v>9.0866532777850048E-2</v>
      </c>
    </row>
    <row r="8" spans="1:20">
      <c r="A8" s="180" t="s">
        <v>135</v>
      </c>
      <c r="B8" s="152"/>
      <c r="C8" s="158">
        <v>44</v>
      </c>
      <c r="D8" s="282"/>
      <c r="E8" s="182">
        <v>3066998.32</v>
      </c>
      <c r="F8" s="182">
        <v>-1521210</v>
      </c>
      <c r="G8" s="182">
        <v>1589576</v>
      </c>
      <c r="H8" s="189">
        <f t="shared" si="2"/>
        <v>68366</v>
      </c>
      <c r="I8" s="159">
        <f t="shared" si="3"/>
        <v>3135364.32</v>
      </c>
      <c r="J8" s="370">
        <f t="shared" si="0"/>
        <v>71258.28</v>
      </c>
      <c r="K8" s="341">
        <f t="shared" si="1"/>
        <v>8.7866249630029147E-2</v>
      </c>
    </row>
    <row r="9" spans="1:20">
      <c r="A9" s="180" t="s">
        <v>136</v>
      </c>
      <c r="B9" s="152"/>
      <c r="C9" s="158">
        <v>23</v>
      </c>
      <c r="D9" s="194"/>
      <c r="E9" s="182">
        <f>88922599.9-E10</f>
        <v>55368875.900000006</v>
      </c>
      <c r="F9" s="182">
        <v>-52801605</v>
      </c>
      <c r="G9" s="182">
        <f>92515285-G10</f>
        <v>57515285</v>
      </c>
      <c r="H9" s="189">
        <f t="shared" si="2"/>
        <v>4713680</v>
      </c>
      <c r="I9" s="159">
        <f t="shared" si="3"/>
        <v>60082555.900000006</v>
      </c>
      <c r="J9" s="370">
        <f>(I9+I10)/C9</f>
        <v>4071142.6043478264</v>
      </c>
      <c r="K9" s="341">
        <f>I30/(I9+I10)</f>
        <v>5.9349055408169843E-2</v>
      </c>
    </row>
    <row r="10" spans="1:20">
      <c r="A10" s="180" t="s">
        <v>179</v>
      </c>
      <c r="B10" s="152"/>
      <c r="C10" s="158"/>
      <c r="D10" s="194"/>
      <c r="E10" s="182">
        <v>33553724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33553724</v>
      </c>
      <c r="J10" s="370"/>
    </row>
    <row r="11" spans="1:20">
      <c r="A11" s="180" t="s">
        <v>180</v>
      </c>
      <c r="B11" s="152"/>
      <c r="C11" s="158">
        <v>46</v>
      </c>
      <c r="D11" s="282"/>
      <c r="E11" s="182">
        <v>5945.2030000000004</v>
      </c>
      <c r="F11" s="182">
        <v>0</v>
      </c>
      <c r="G11" s="182">
        <v>0</v>
      </c>
      <c r="H11" s="189">
        <f t="shared" si="2"/>
        <v>0</v>
      </c>
      <c r="I11" s="159">
        <f t="shared" si="3"/>
        <v>5945.2030000000004</v>
      </c>
      <c r="J11" s="370">
        <f>I11/C11</f>
        <v>129.24354347826088</v>
      </c>
      <c r="K11" s="341">
        <f>I31/I11</f>
        <v>0.22409495521010803</v>
      </c>
    </row>
    <row r="12" spans="1:20">
      <c r="A12" s="180" t="s">
        <v>137</v>
      </c>
      <c r="B12" s="152"/>
      <c r="C12" s="158">
        <v>1180</v>
      </c>
      <c r="D12" s="282"/>
      <c r="E12" s="182">
        <v>3736712.6630000002</v>
      </c>
      <c r="F12" s="182">
        <v>-3070656</v>
      </c>
      <c r="G12" s="182">
        <v>1728595</v>
      </c>
      <c r="H12" s="189">
        <f t="shared" si="2"/>
        <v>-1342061</v>
      </c>
      <c r="I12" s="159">
        <f t="shared" si="3"/>
        <v>2394651.6630000002</v>
      </c>
      <c r="J12" s="370">
        <f>I12/C12</f>
        <v>2029.3658161016951</v>
      </c>
      <c r="K12" s="341">
        <f>I32/I12</f>
        <v>0.11134258621814425</v>
      </c>
    </row>
    <row r="13" spans="1:20">
      <c r="A13" s="180" t="s">
        <v>138</v>
      </c>
      <c r="B13" s="152"/>
      <c r="C13" s="158">
        <v>1194</v>
      </c>
      <c r="D13" s="282"/>
      <c r="E13" s="182">
        <v>255625.07699999999</v>
      </c>
      <c r="F13" s="182">
        <v>-139136</v>
      </c>
      <c r="G13" s="182">
        <v>122329</v>
      </c>
      <c r="H13" s="189">
        <f t="shared" si="2"/>
        <v>-16807</v>
      </c>
      <c r="I13" s="159">
        <f t="shared" si="3"/>
        <v>238818.07699999999</v>
      </c>
      <c r="J13" s="370">
        <f>I13/C13</f>
        <v>200.01513986599664</v>
      </c>
      <c r="K13" s="341">
        <f>I33/I13</f>
        <v>0.18161931720101743</v>
      </c>
      <c r="S13" s="283"/>
    </row>
    <row r="14" spans="1:20">
      <c r="A14" s="180" t="s">
        <v>181</v>
      </c>
      <c r="B14" s="152"/>
      <c r="C14" s="158">
        <v>432</v>
      </c>
      <c r="D14" s="194"/>
      <c r="E14" s="182">
        <v>935788.15405000001</v>
      </c>
      <c r="F14" s="182"/>
      <c r="G14" s="182"/>
      <c r="H14" s="189"/>
      <c r="I14" s="159">
        <f t="shared" si="3"/>
        <v>935788.15405000001</v>
      </c>
      <c r="J14" s="370">
        <f>I14/C14</f>
        <v>2166.1762825231481</v>
      </c>
      <c r="K14" s="341">
        <f>I34/I14</f>
        <v>0.59653844471531214</v>
      </c>
      <c r="S14" s="189"/>
      <c r="T14" s="189"/>
    </row>
    <row r="15" spans="1:20">
      <c r="A15" s="180" t="s">
        <v>182</v>
      </c>
      <c r="B15" s="152"/>
      <c r="C15" s="158"/>
      <c r="D15" s="194"/>
      <c r="E15" s="182">
        <v>427092.69400000002</v>
      </c>
      <c r="F15" s="182"/>
      <c r="G15" s="182"/>
      <c r="H15" s="189">
        <f t="shared" si="2"/>
        <v>0</v>
      </c>
      <c r="I15" s="159">
        <f t="shared" si="3"/>
        <v>427092.69400000002</v>
      </c>
      <c r="J15" s="282"/>
      <c r="S15" s="189"/>
      <c r="T15" s="189"/>
    </row>
    <row r="16" spans="1:20">
      <c r="A16" s="180" t="s">
        <v>183</v>
      </c>
      <c r="B16" s="152"/>
      <c r="C16" s="158"/>
      <c r="D16" s="195"/>
      <c r="E16" s="182">
        <v>224516.93900000001</v>
      </c>
      <c r="F16" s="182"/>
      <c r="G16" s="182"/>
      <c r="H16" s="189">
        <f t="shared" si="2"/>
        <v>0</v>
      </c>
      <c r="I16" s="159">
        <f t="shared" si="3"/>
        <v>224516.93900000001</v>
      </c>
      <c r="J16" s="282"/>
      <c r="T16" s="283"/>
    </row>
    <row r="17" spans="1:31">
      <c r="A17" s="152"/>
      <c r="B17" s="152"/>
      <c r="C17" s="160">
        <f>SUM(C3:C16)</f>
        <v>254232</v>
      </c>
      <c r="E17" s="160">
        <f>SUM(E3:E16)</f>
        <v>516411272.71404999</v>
      </c>
      <c r="F17" s="160">
        <f>SUM(F3:F16)</f>
        <v>-304478685</v>
      </c>
      <c r="G17" s="160">
        <f>SUM(G3:G16)</f>
        <v>312515237</v>
      </c>
      <c r="H17" s="160">
        <f>SUM(H3:H16)</f>
        <v>8036552</v>
      </c>
      <c r="I17" s="160">
        <f>SUM(I3:I16)</f>
        <v>524447824.71404999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217126</v>
      </c>
      <c r="E19" s="162">
        <f>E3+E4</f>
        <v>245751615.04300001</v>
      </c>
      <c r="F19" s="162">
        <f>F3+F4</f>
        <v>-114669993</v>
      </c>
      <c r="G19" s="162">
        <f>G3+G4</f>
        <v>127363416</v>
      </c>
      <c r="H19" s="162">
        <f>H3+H4</f>
        <v>12693423</v>
      </c>
      <c r="I19" s="161">
        <f>I3+I4</f>
        <v>258445038.04300001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36651</v>
      </c>
      <c r="E21" s="178">
        <f>SUM(E5:E8,E11:E13)</f>
        <v>180149659.984</v>
      </c>
      <c r="F21" s="178">
        <f>SUM(F5:F8,F11:F13)</f>
        <v>-102007087</v>
      </c>
      <c r="G21" s="178">
        <f>SUM(G5:G8,G11:G13)</f>
        <v>92636536</v>
      </c>
      <c r="H21" s="178">
        <f>SUM(H5:H8,H11:H13)</f>
        <v>-9370551</v>
      </c>
      <c r="I21" s="177">
        <f>SUM(I5:I8,I11:I13)</f>
        <v>170779108.984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389</v>
      </c>
      <c r="Z22" s="1" t="s">
        <v>235</v>
      </c>
      <c r="AA22" s="343" t="s">
        <v>301</v>
      </c>
      <c r="AC22" s="1" t="s">
        <v>237</v>
      </c>
      <c r="AD22" s="343" t="s">
        <v>300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December Billed Schedule 75 Revenue</v>
      </c>
      <c r="P23" s="344" t="str">
        <f>AA22&amp;" Billed kWhs"</f>
        <v>December Billed kWhs</v>
      </c>
      <c r="Q23" s="344" t="str">
        <f>AA22&amp;" Unbilled kWhs"</f>
        <v>December Unbilled kWhs</v>
      </c>
      <c r="R23" s="344" t="s">
        <v>387</v>
      </c>
      <c r="S23" s="344" t="s">
        <v>239</v>
      </c>
      <c r="T23" s="344" t="str">
        <f>AD22&amp;" Unbilled kWhs reversal"</f>
        <v>November Unbilled kWhs reversal</v>
      </c>
      <c r="U23" s="344" t="s">
        <v>387</v>
      </c>
      <c r="V23" s="344" t="str">
        <f>AD22&amp;" Schedule 75 Unbilled Reversal"</f>
        <v>November Schedule 75 Unbilled Reversal</v>
      </c>
      <c r="X23" s="344" t="str">
        <f>"Total "&amp;AA22&amp;" Schedule 75 Revenue"</f>
        <v>Total December Schedule 75 Revenue</v>
      </c>
      <c r="Z23" s="344" t="str">
        <f>"Calendar "&amp;AA22&amp;" Usage"</f>
        <v>Calendar December Usage</v>
      </c>
      <c r="AA23" s="344" t="str">
        <f>R23</f>
        <v>11/1/2018 rate</v>
      </c>
      <c r="AB23" s="344" t="s">
        <v>240</v>
      </c>
      <c r="AC23" s="344" t="s">
        <v>241</v>
      </c>
      <c r="AD23" s="344" t="str">
        <f>"implied "&amp;AD22&amp;" unbilled/Cancel-Rebill True-up kWhs"</f>
        <v>implied November unbilled/Cancel-Rebill True-up kWhs</v>
      </c>
    </row>
    <row r="24" spans="1:31">
      <c r="A24" s="180" t="s">
        <v>131</v>
      </c>
      <c r="B24" s="152"/>
      <c r="C24" s="181">
        <v>1989883</v>
      </c>
      <c r="D24" s="181">
        <v>22280104.010000002</v>
      </c>
      <c r="E24" s="183">
        <v>-10201854</v>
      </c>
      <c r="F24" s="183">
        <v>11567915</v>
      </c>
      <c r="G24" s="174">
        <f>SUM(D24:F24)</f>
        <v>23646165.010000002</v>
      </c>
      <c r="H24" s="174">
        <f>-J62</f>
        <v>-22160.967499999992</v>
      </c>
      <c r="I24" s="174">
        <f>SUM(G24:H24)</f>
        <v>23624004.0425</v>
      </c>
      <c r="M24" s="1" t="s">
        <v>242</v>
      </c>
      <c r="O24" s="368">
        <v>-278783.18</v>
      </c>
      <c r="P24" s="345">
        <f t="shared" ref="P24:P29" si="4">E3</f>
        <v>245231487.134</v>
      </c>
      <c r="Q24" s="345">
        <f t="shared" ref="Q24:Q29" si="5">G3</f>
        <v>127093842</v>
      </c>
      <c r="R24" s="346">
        <v>-1.16E-3</v>
      </c>
      <c r="S24" s="347">
        <f>Q24*R24</f>
        <v>-147428.85672000001</v>
      </c>
      <c r="T24" s="345">
        <f t="shared" ref="T24:T29" si="6">F3</f>
        <v>-114430432</v>
      </c>
      <c r="U24" s="346">
        <f>R24</f>
        <v>-1.16E-3</v>
      </c>
      <c r="V24" s="348">
        <f>T24*U24</f>
        <v>132739.30111999999</v>
      </c>
      <c r="X24" s="349">
        <f>O24+S24+V24</f>
        <v>-293472.73560000001</v>
      </c>
      <c r="Z24" s="350">
        <f>P24+Q24+T24</f>
        <v>257894897.134</v>
      </c>
      <c r="AA24" s="194">
        <f>R24</f>
        <v>-1.16E-3</v>
      </c>
      <c r="AB24" s="283">
        <f>Z24*AA24</f>
        <v>-299158.08067544003</v>
      </c>
      <c r="AC24" s="349">
        <f>X24-AB24</f>
        <v>5685.345075440011</v>
      </c>
      <c r="AD24" s="350">
        <f>AC24/U24</f>
        <v>-4901159.5477931127</v>
      </c>
      <c r="AE24" s="351">
        <f>AC24/X24</f>
        <v>-1.9372651649620602E-2</v>
      </c>
    </row>
    <row r="25" spans="1:31">
      <c r="A25" s="180" t="s">
        <v>178</v>
      </c>
      <c r="B25" s="152"/>
      <c r="C25" s="181">
        <v>3331.5</v>
      </c>
      <c r="D25" s="181">
        <v>47341.25</v>
      </c>
      <c r="E25" s="183">
        <v>-13419</v>
      </c>
      <c r="F25" s="183">
        <v>15602</v>
      </c>
      <c r="G25" s="174">
        <f t="shared" ref="G25:G33" si="7">SUM(D25:F25)</f>
        <v>49524.25</v>
      </c>
      <c r="H25" s="174">
        <f t="shared" ref="H25:H30" si="8">-J63</f>
        <v>893.78714000000025</v>
      </c>
      <c r="I25" s="174">
        <f t="shared" ref="I25:I34" si="9">SUM(G25:H25)</f>
        <v>50418.03714</v>
      </c>
      <c r="M25" s="1" t="s">
        <v>243</v>
      </c>
      <c r="O25" s="368">
        <v>-615.77</v>
      </c>
      <c r="P25" s="345">
        <f t="shared" si="4"/>
        <v>520127.90899999999</v>
      </c>
      <c r="Q25" s="345">
        <f t="shared" si="5"/>
        <v>269574</v>
      </c>
      <c r="R25" s="346">
        <v>-1.16E-3</v>
      </c>
      <c r="S25" s="347">
        <f>Q25*R25</f>
        <v>-312.70584000000002</v>
      </c>
      <c r="T25" s="345">
        <f t="shared" si="6"/>
        <v>-239561</v>
      </c>
      <c r="U25" s="346">
        <f t="shared" ref="U25:U32" si="10">R25</f>
        <v>-1.16E-3</v>
      </c>
      <c r="V25" s="348">
        <f t="shared" ref="V25:V32" si="11">T25*U25</f>
        <v>277.89076</v>
      </c>
      <c r="X25" s="349">
        <f t="shared" ref="X25:X32" si="12">O25+S25+V25</f>
        <v>-650.58508000000006</v>
      </c>
      <c r="Z25" s="350">
        <f t="shared" ref="Z25:Z32" si="13">P25+Q25+T25</f>
        <v>550140.90899999999</v>
      </c>
      <c r="AA25" s="194">
        <f t="shared" ref="AA25:AA32" si="14">R25</f>
        <v>-1.16E-3</v>
      </c>
      <c r="AB25" s="283">
        <f t="shared" ref="AB25:AB32" si="15">Z25*AA25</f>
        <v>-638.16345444000001</v>
      </c>
      <c r="AC25" s="349">
        <f t="shared" ref="AC25:AC32" si="16">X25-AB25</f>
        <v>-12.421625560000052</v>
      </c>
      <c r="AD25" s="350">
        <f t="shared" ref="AD25:AD32" si="17">AC25/U25</f>
        <v>10708.297896551769</v>
      </c>
      <c r="AE25" s="351">
        <f t="shared" ref="AE25:AE33" si="18">AC25/X25</f>
        <v>1.9093007112920651E-2</v>
      </c>
    </row>
    <row r="26" spans="1:31">
      <c r="A26" s="180" t="s">
        <v>132</v>
      </c>
      <c r="B26" s="152"/>
      <c r="C26" s="181">
        <v>461146.07</v>
      </c>
      <c r="D26" s="181">
        <v>5954764</v>
      </c>
      <c r="E26" s="183">
        <v>-3239079</v>
      </c>
      <c r="F26" s="183">
        <v>3085339</v>
      </c>
      <c r="G26" s="174">
        <f t="shared" si="7"/>
        <v>5801024</v>
      </c>
      <c r="H26" s="174">
        <f t="shared" si="8"/>
        <v>5535.7829999999994</v>
      </c>
      <c r="I26" s="174">
        <f t="shared" si="9"/>
        <v>5806559.7829999998</v>
      </c>
      <c r="M26" s="1" t="s">
        <v>244</v>
      </c>
      <c r="O26" s="368">
        <v>27362.01</v>
      </c>
      <c r="P26" s="345">
        <f t="shared" si="4"/>
        <v>50926222.597000003</v>
      </c>
      <c r="Q26" s="345">
        <f t="shared" si="5"/>
        <v>26276394</v>
      </c>
      <c r="R26" s="352">
        <v>5.4000000000000001E-4</v>
      </c>
      <c r="S26" s="347">
        <f>Q26*R26</f>
        <v>14189.252759999999</v>
      </c>
      <c r="T26" s="345">
        <f t="shared" si="6"/>
        <v>-27208344</v>
      </c>
      <c r="U26" s="346">
        <f t="shared" si="10"/>
        <v>5.4000000000000001E-4</v>
      </c>
      <c r="V26" s="348">
        <f t="shared" si="11"/>
        <v>-14692.50576</v>
      </c>
      <c r="X26" s="349">
        <f t="shared" si="12"/>
        <v>26858.756999999998</v>
      </c>
      <c r="Z26" s="350">
        <f t="shared" si="13"/>
        <v>49994272.597000003</v>
      </c>
      <c r="AA26" s="353">
        <f t="shared" si="14"/>
        <v>5.4000000000000001E-4</v>
      </c>
      <c r="AB26" s="283">
        <f t="shared" si="15"/>
        <v>26996.907202380004</v>
      </c>
      <c r="AC26" s="349">
        <f t="shared" si="16"/>
        <v>-138.15020238000579</v>
      </c>
      <c r="AD26" s="350">
        <f t="shared" si="17"/>
        <v>-255833.70811112184</v>
      </c>
      <c r="AE26" s="351">
        <f t="shared" si="18"/>
        <v>-5.1435813794363534E-3</v>
      </c>
    </row>
    <row r="27" spans="1:31">
      <c r="A27" s="180" t="s">
        <v>133</v>
      </c>
      <c r="B27" s="152"/>
      <c r="C27" s="181">
        <v>193671.83</v>
      </c>
      <c r="D27" s="181">
        <v>871083.17</v>
      </c>
      <c r="E27" s="183">
        <v>-436496</v>
      </c>
      <c r="F27" s="183">
        <v>458774</v>
      </c>
      <c r="G27" s="174">
        <f t="shared" si="7"/>
        <v>893361.17</v>
      </c>
      <c r="H27" s="174">
        <f t="shared" si="8"/>
        <v>-1452.2876100000001</v>
      </c>
      <c r="I27" s="174">
        <f t="shared" si="9"/>
        <v>891908.88239000004</v>
      </c>
      <c r="M27" s="1" t="s">
        <v>245</v>
      </c>
      <c r="O27" s="368">
        <v>3291.99</v>
      </c>
      <c r="P27" s="345">
        <f t="shared" si="4"/>
        <v>6108206.1849999996</v>
      </c>
      <c r="Q27" s="345">
        <f t="shared" si="5"/>
        <v>3165785</v>
      </c>
      <c r="R27" s="352">
        <v>5.4000000000000001E-4</v>
      </c>
      <c r="S27" s="347">
        <f t="shared" ref="S27:S32" si="19">Q27*R27</f>
        <v>1709.5238999999999</v>
      </c>
      <c r="T27" s="345">
        <f t="shared" si="6"/>
        <v>-2882688</v>
      </c>
      <c r="U27" s="346">
        <f t="shared" si="10"/>
        <v>5.4000000000000001E-4</v>
      </c>
      <c r="V27" s="348">
        <f t="shared" si="11"/>
        <v>-1556.6515200000001</v>
      </c>
      <c r="X27" s="349">
        <f t="shared" si="12"/>
        <v>3444.8623799999996</v>
      </c>
      <c r="Z27" s="350">
        <f t="shared" si="13"/>
        <v>6391303.1849999987</v>
      </c>
      <c r="AA27" s="353">
        <f t="shared" si="14"/>
        <v>5.4000000000000001E-4</v>
      </c>
      <c r="AB27" s="283">
        <f t="shared" si="15"/>
        <v>3451.3037198999991</v>
      </c>
      <c r="AC27" s="349">
        <f t="shared" si="16"/>
        <v>-6.4413398999995479</v>
      </c>
      <c r="AD27" s="350">
        <f t="shared" si="17"/>
        <v>-11928.407222221385</v>
      </c>
      <c r="AE27" s="351">
        <f t="shared" si="18"/>
        <v>-1.8698395434883959E-3</v>
      </c>
    </row>
    <row r="28" spans="1:31">
      <c r="A28" s="180" t="s">
        <v>134</v>
      </c>
      <c r="B28" s="152"/>
      <c r="C28" s="181">
        <v>930356.66</v>
      </c>
      <c r="D28" s="181">
        <v>10545056.58</v>
      </c>
      <c r="E28" s="183">
        <v>-5524843</v>
      </c>
      <c r="F28" s="183">
        <v>4923816</v>
      </c>
      <c r="G28" s="174">
        <f t="shared" si="7"/>
        <v>9944029.5800000001</v>
      </c>
      <c r="H28" s="174">
        <f t="shared" si="8"/>
        <v>33811.941800000001</v>
      </c>
      <c r="I28" s="174">
        <f t="shared" si="9"/>
        <v>9977841.5218000002</v>
      </c>
      <c r="M28" s="1" t="s">
        <v>246</v>
      </c>
      <c r="O28" s="368">
        <v>62321.37</v>
      </c>
      <c r="P28" s="345">
        <f t="shared" si="4"/>
        <v>116049949.939</v>
      </c>
      <c r="Q28" s="345">
        <f t="shared" si="5"/>
        <v>59753857</v>
      </c>
      <c r="R28" s="352">
        <v>5.4000000000000001E-4</v>
      </c>
      <c r="S28" s="347">
        <f t="shared" si="19"/>
        <v>32267.082780000001</v>
      </c>
      <c r="T28" s="345">
        <f t="shared" si="6"/>
        <v>-67185053</v>
      </c>
      <c r="U28" s="346">
        <f t="shared" si="10"/>
        <v>5.4000000000000001E-4</v>
      </c>
      <c r="V28" s="348">
        <f t="shared" si="11"/>
        <v>-36279.928619999999</v>
      </c>
      <c r="X28" s="349">
        <f t="shared" si="12"/>
        <v>58308.524160000008</v>
      </c>
      <c r="Z28" s="350">
        <f t="shared" si="13"/>
        <v>108618753.93900001</v>
      </c>
      <c r="AA28" s="353">
        <f t="shared" si="14"/>
        <v>5.4000000000000001E-4</v>
      </c>
      <c r="AB28" s="283">
        <f t="shared" si="15"/>
        <v>58654.127127060005</v>
      </c>
      <c r="AC28" s="349">
        <f t="shared" si="16"/>
        <v>-345.60296705999644</v>
      </c>
      <c r="AD28" s="350">
        <f t="shared" si="17"/>
        <v>-640005.494555549</v>
      </c>
      <c r="AE28" s="351">
        <f t="shared" si="18"/>
        <v>-5.9271431070979175E-3</v>
      </c>
    </row>
    <row r="29" spans="1:31">
      <c r="A29" s="180" t="s">
        <v>135</v>
      </c>
      <c r="B29" s="152"/>
      <c r="C29" s="181">
        <v>22300.01</v>
      </c>
      <c r="D29" s="181">
        <v>269485.64</v>
      </c>
      <c r="E29" s="183">
        <v>-126415</v>
      </c>
      <c r="F29" s="183">
        <v>129951</v>
      </c>
      <c r="G29" s="174">
        <f t="shared" si="7"/>
        <v>273021.64</v>
      </c>
      <c r="H29" s="174">
        <f t="shared" si="8"/>
        <v>-255.68883999999997</v>
      </c>
      <c r="I29" s="174">
        <f t="shared" si="9"/>
        <v>272765.95116</v>
      </c>
      <c r="M29" s="1" t="s">
        <v>247</v>
      </c>
      <c r="O29" s="368">
        <v>1632.96</v>
      </c>
      <c r="P29" s="345">
        <f t="shared" si="4"/>
        <v>3066998.32</v>
      </c>
      <c r="Q29" s="345">
        <f t="shared" si="5"/>
        <v>1589576</v>
      </c>
      <c r="R29" s="352">
        <v>5.4000000000000001E-4</v>
      </c>
      <c r="S29" s="347">
        <f t="shared" si="19"/>
        <v>858.37103999999999</v>
      </c>
      <c r="T29" s="345">
        <f t="shared" si="6"/>
        <v>-1521210</v>
      </c>
      <c r="U29" s="346">
        <f t="shared" si="10"/>
        <v>5.4000000000000001E-4</v>
      </c>
      <c r="V29" s="348">
        <f t="shared" si="11"/>
        <v>-821.45339999999999</v>
      </c>
      <c r="X29" s="349">
        <f t="shared" si="12"/>
        <v>1669.8776400000002</v>
      </c>
      <c r="Z29" s="350">
        <f t="shared" si="13"/>
        <v>3135364.3200000003</v>
      </c>
      <c r="AA29" s="353">
        <f t="shared" si="14"/>
        <v>5.4000000000000001E-4</v>
      </c>
      <c r="AB29" s="283">
        <f t="shared" si="15"/>
        <v>1693.0967328000002</v>
      </c>
      <c r="AC29" s="349">
        <f t="shared" si="16"/>
        <v>-23.219092799999999</v>
      </c>
      <c r="AD29" s="350">
        <f t="shared" si="17"/>
        <v>-42998.32</v>
      </c>
      <c r="AE29" s="351">
        <f t="shared" si="18"/>
        <v>-1.3904667170703594E-2</v>
      </c>
    </row>
    <row r="30" spans="1:31">
      <c r="A30" s="180" t="s">
        <v>136</v>
      </c>
      <c r="B30" s="152"/>
      <c r="C30" s="181">
        <v>552000</v>
      </c>
      <c r="D30" s="181">
        <f>5415141.82-83682.54</f>
        <v>5331459.28</v>
      </c>
      <c r="E30" s="183">
        <v>-5557424</v>
      </c>
      <c r="F30" s="183">
        <v>5794738</v>
      </c>
      <c r="G30" s="174">
        <f t="shared" si="7"/>
        <v>5568773.2800000003</v>
      </c>
      <c r="H30" s="174">
        <f t="shared" si="8"/>
        <v>-11548.516</v>
      </c>
      <c r="I30" s="174">
        <f t="shared" si="9"/>
        <v>5557224.7640000004</v>
      </c>
      <c r="J30" s="283"/>
      <c r="M30" s="1" t="s">
        <v>248</v>
      </c>
      <c r="O30" s="368">
        <v>3.16</v>
      </c>
      <c r="P30" s="345">
        <f>E11</f>
        <v>5945.2030000000004</v>
      </c>
      <c r="Q30" s="345">
        <f>G11</f>
        <v>0</v>
      </c>
      <c r="R30" s="352">
        <v>5.4000000000000001E-4</v>
      </c>
      <c r="S30" s="347">
        <f t="shared" si="19"/>
        <v>0</v>
      </c>
      <c r="T30" s="345">
        <f>F11</f>
        <v>0</v>
      </c>
      <c r="U30" s="346">
        <f t="shared" si="10"/>
        <v>5.4000000000000001E-4</v>
      </c>
      <c r="V30" s="348">
        <f t="shared" si="11"/>
        <v>0</v>
      </c>
      <c r="X30" s="349">
        <f t="shared" si="12"/>
        <v>3.16</v>
      </c>
      <c r="Z30" s="350">
        <f t="shared" si="13"/>
        <v>5945.2030000000004</v>
      </c>
      <c r="AA30" s="353">
        <f t="shared" si="14"/>
        <v>5.4000000000000001E-4</v>
      </c>
      <c r="AB30" s="283">
        <f t="shared" si="15"/>
        <v>3.2104096200000001</v>
      </c>
      <c r="AC30" s="349">
        <f t="shared" si="16"/>
        <v>-5.0409619999999933E-2</v>
      </c>
      <c r="AD30" s="350">
        <f t="shared" si="17"/>
        <v>-93.351148148148027</v>
      </c>
      <c r="AE30" s="351">
        <f t="shared" si="18"/>
        <v>-1.5952411392405042E-2</v>
      </c>
    </row>
    <row r="31" spans="1:31">
      <c r="A31" s="180" t="s">
        <v>180</v>
      </c>
      <c r="B31" s="152"/>
      <c r="C31" s="181">
        <v>920</v>
      </c>
      <c r="D31" s="181">
        <v>1332.29</v>
      </c>
      <c r="E31" s="183">
        <v>0</v>
      </c>
      <c r="F31" s="183">
        <v>0</v>
      </c>
      <c r="G31" s="174">
        <f t="shared" si="7"/>
        <v>1332.29</v>
      </c>
      <c r="H31" s="174">
        <f>-J70</f>
        <v>0</v>
      </c>
      <c r="I31" s="174">
        <f t="shared" si="9"/>
        <v>1332.29</v>
      </c>
      <c r="M31" s="1" t="s">
        <v>249</v>
      </c>
      <c r="O31" s="368">
        <v>1982.87</v>
      </c>
      <c r="P31" s="345">
        <f>E12</f>
        <v>3736712.6630000002</v>
      </c>
      <c r="Q31" s="345">
        <f>G12</f>
        <v>1728595</v>
      </c>
      <c r="R31" s="352">
        <v>5.4000000000000001E-4</v>
      </c>
      <c r="S31" s="347">
        <f t="shared" si="19"/>
        <v>933.44129999999996</v>
      </c>
      <c r="T31" s="345">
        <f>F12</f>
        <v>-3070656</v>
      </c>
      <c r="U31" s="346">
        <f t="shared" si="10"/>
        <v>5.4000000000000001E-4</v>
      </c>
      <c r="V31" s="348">
        <f t="shared" si="11"/>
        <v>-1658.1542400000001</v>
      </c>
      <c r="X31" s="349">
        <f>O31+S31+V31</f>
        <v>1258.1570599999998</v>
      </c>
      <c r="Z31" s="350">
        <f t="shared" si="13"/>
        <v>2394651.6630000006</v>
      </c>
      <c r="AA31" s="353">
        <f t="shared" si="14"/>
        <v>5.4000000000000001E-4</v>
      </c>
      <c r="AB31" s="283">
        <f t="shared" si="15"/>
        <v>1293.1118980200004</v>
      </c>
      <c r="AC31" s="349">
        <f t="shared" si="16"/>
        <v>-34.954838020000579</v>
      </c>
      <c r="AD31" s="350">
        <f t="shared" si="17"/>
        <v>-64731.181518519588</v>
      </c>
      <c r="AE31" s="351">
        <f t="shared" si="18"/>
        <v>-2.7782571136230467E-2</v>
      </c>
    </row>
    <row r="32" spans="1:31">
      <c r="A32" s="180" t="s">
        <v>137</v>
      </c>
      <c r="B32" s="152"/>
      <c r="C32" s="181">
        <v>24872.51</v>
      </c>
      <c r="D32" s="181">
        <v>337943.95</v>
      </c>
      <c r="E32" s="183">
        <v>-189294</v>
      </c>
      <c r="F32" s="183">
        <v>112273</v>
      </c>
      <c r="G32" s="174">
        <f t="shared" si="7"/>
        <v>260922.95</v>
      </c>
      <c r="H32" s="174">
        <f>-J71</f>
        <v>5703.7592499999992</v>
      </c>
      <c r="I32" s="174">
        <f t="shared" si="9"/>
        <v>266626.70925000001</v>
      </c>
      <c r="M32" s="1" t="s">
        <v>250</v>
      </c>
      <c r="O32" s="368">
        <v>138.09</v>
      </c>
      <c r="P32" s="345">
        <f>E13</f>
        <v>255625.07699999999</v>
      </c>
      <c r="Q32" s="345">
        <f>G13</f>
        <v>122329</v>
      </c>
      <c r="R32" s="352">
        <v>5.4000000000000001E-4</v>
      </c>
      <c r="S32" s="347">
        <f t="shared" si="19"/>
        <v>66.057659999999998</v>
      </c>
      <c r="T32" s="345">
        <f>F13</f>
        <v>-139136</v>
      </c>
      <c r="U32" s="346">
        <f t="shared" si="10"/>
        <v>5.4000000000000001E-4</v>
      </c>
      <c r="V32" s="348">
        <f t="shared" si="11"/>
        <v>-75.133440000000007</v>
      </c>
      <c r="X32" s="349">
        <f t="shared" si="12"/>
        <v>129.01421999999999</v>
      </c>
      <c r="Z32" s="350">
        <f t="shared" si="13"/>
        <v>238818.07699999999</v>
      </c>
      <c r="AA32" s="353">
        <f t="shared" si="14"/>
        <v>5.4000000000000001E-4</v>
      </c>
      <c r="AB32" s="283">
        <f t="shared" si="15"/>
        <v>128.96176158</v>
      </c>
      <c r="AC32" s="349">
        <f t="shared" si="16"/>
        <v>5.2458419999993566E-2</v>
      </c>
      <c r="AD32" s="350">
        <f t="shared" si="17"/>
        <v>97.145222222210307</v>
      </c>
      <c r="AE32" s="351">
        <f t="shared" si="18"/>
        <v>4.0660959698856117E-4</v>
      </c>
    </row>
    <row r="33" spans="1:31">
      <c r="A33" s="180" t="s">
        <v>138</v>
      </c>
      <c r="B33" s="152"/>
      <c r="C33" s="181">
        <v>23837.43</v>
      </c>
      <c r="D33" s="181">
        <v>46182.16</v>
      </c>
      <c r="E33" s="183">
        <v>-24735</v>
      </c>
      <c r="F33" s="183">
        <v>21869</v>
      </c>
      <c r="G33" s="174">
        <f t="shared" si="7"/>
        <v>43316.160000000003</v>
      </c>
      <c r="H33" s="174">
        <f>-J72</f>
        <v>57.816080000000007</v>
      </c>
      <c r="I33" s="174">
        <f t="shared" si="9"/>
        <v>43373.97608</v>
      </c>
      <c r="O33" s="193">
        <f>SUM(O24:O32)</f>
        <v>-182666.50000000003</v>
      </c>
      <c r="P33" s="354">
        <f>SUM(P24:P32)</f>
        <v>425901275.02700001</v>
      </c>
      <c r="Q33" s="354">
        <f>SUM(Q24:Q32)</f>
        <v>219999952</v>
      </c>
      <c r="S33" s="193">
        <f>SUM(S24:S32)</f>
        <v>-97717.83312000001</v>
      </c>
      <c r="T33" s="354">
        <f>SUM(T24:T32)</f>
        <v>-216677080</v>
      </c>
      <c r="V33" s="193">
        <f>SUM(V24:V32)</f>
        <v>77933.364899999986</v>
      </c>
      <c r="X33" s="193">
        <f>SUM(X24:X32)</f>
        <v>-202450.96822000001</v>
      </c>
      <c r="Z33" s="354">
        <f>SUM(Z24:Z32)</f>
        <v>429224147.02700001</v>
      </c>
      <c r="AB33" s="354">
        <f>SUM(AB24:AB32)</f>
        <v>-207575.52527852001</v>
      </c>
      <c r="AC33" s="193">
        <f>SUM(AC24:AC32)</f>
        <v>5124.5570585200085</v>
      </c>
      <c r="AD33" s="354">
        <f>SUM(AD24:AD32)</f>
        <v>-5905944.5672298986</v>
      </c>
      <c r="AE33" s="351">
        <f t="shared" si="18"/>
        <v>-2.5312583602718264E-2</v>
      </c>
    </row>
    <row r="34" spans="1:31">
      <c r="A34" s="180" t="s">
        <v>192</v>
      </c>
      <c r="B34" s="152"/>
      <c r="C34" s="174"/>
      <c r="D34" s="181">
        <v>558233.61</v>
      </c>
      <c r="E34" s="181"/>
      <c r="F34" s="181"/>
      <c r="G34" s="174">
        <f>SUM(D34:F34)</f>
        <v>558233.61</v>
      </c>
      <c r="H34" s="174"/>
      <c r="I34" s="174">
        <f t="shared" si="9"/>
        <v>558233.61</v>
      </c>
      <c r="U34" s="355"/>
    </row>
    <row r="35" spans="1:31">
      <c r="A35" s="180" t="s">
        <v>193</v>
      </c>
      <c r="B35" s="152"/>
      <c r="C35" s="194"/>
      <c r="D35" s="181">
        <v>1531659.32</v>
      </c>
      <c r="E35" s="181"/>
      <c r="F35" s="181"/>
      <c r="G35" s="174"/>
      <c r="H35" s="174"/>
      <c r="I35" s="174"/>
      <c r="U35" s="355" t="s">
        <v>388</v>
      </c>
      <c r="V35" s="1" t="s">
        <v>252</v>
      </c>
      <c r="X35" s="194">
        <v>0.95444899999999999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1756931.19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-280725.70929970534</v>
      </c>
      <c r="Z36" s="1" t="s">
        <v>19</v>
      </c>
      <c r="AA36" s="189">
        <f>P24+P25+Q24+Q25+T24+T25</f>
        <v>258445038.04299998</v>
      </c>
      <c r="AB36" s="194">
        <v>-1.1100000000000001E-3</v>
      </c>
      <c r="AC36" s="349">
        <f>AA36*AB36</f>
        <v>-286873.99222772999</v>
      </c>
      <c r="AD36" s="349">
        <f>X36-AC36</f>
        <v>6148.2829280246515</v>
      </c>
      <c r="AE36" s="351">
        <f>AD36/X36</f>
        <v>-2.1901388880135264E-2</v>
      </c>
    </row>
    <row r="37" spans="1:31">
      <c r="A37" s="152"/>
      <c r="B37" s="152"/>
      <c r="C37" s="166">
        <f t="shared" ref="C37:I37" si="20">SUM(C24:C36)</f>
        <v>4202319.01</v>
      </c>
      <c r="D37" s="166">
        <f t="shared" si="20"/>
        <v>49531576.450000003</v>
      </c>
      <c r="E37" s="166">
        <f t="shared" si="20"/>
        <v>-25313559</v>
      </c>
      <c r="F37" s="166">
        <f t="shared" si="20"/>
        <v>26110277</v>
      </c>
      <c r="G37" s="166">
        <f t="shared" si="20"/>
        <v>47039703.940000005</v>
      </c>
      <c r="H37" s="166">
        <f t="shared" si="20"/>
        <v>10585.627320000009</v>
      </c>
      <c r="I37" s="166">
        <f t="shared" si="20"/>
        <v>47050289.567319997</v>
      </c>
      <c r="T37" s="1" t="s">
        <v>142</v>
      </c>
      <c r="U37" s="1" t="s">
        <v>257</v>
      </c>
      <c r="X37" s="356">
        <f>SUM(X26:X32)*X35</f>
        <v>87496.585133094544</v>
      </c>
      <c r="Z37" s="1" t="s">
        <v>184</v>
      </c>
      <c r="AA37" s="189">
        <f>SUM(P26:Q32,T26:T32)</f>
        <v>170779108.98400003</v>
      </c>
      <c r="AB37" s="194">
        <v>5.1999999999999995E-4</v>
      </c>
      <c r="AC37" s="349">
        <f>AA37*AB37</f>
        <v>88805.136671680011</v>
      </c>
      <c r="AD37" s="349">
        <f>X37-AC37</f>
        <v>-1308.5515385854669</v>
      </c>
      <c r="AE37" s="351">
        <f>AD37/X37</f>
        <v>-1.4955458394118775E-2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1">C24+C25</f>
        <v>1993214.5</v>
      </c>
      <c r="D39" s="168">
        <f t="shared" si="21"/>
        <v>22327445.260000002</v>
      </c>
      <c r="E39" s="168">
        <f t="shared" si="21"/>
        <v>-10215273</v>
      </c>
      <c r="F39" s="168">
        <f t="shared" si="21"/>
        <v>11583517</v>
      </c>
      <c r="G39" s="168">
        <f t="shared" si="21"/>
        <v>23695689.260000002</v>
      </c>
      <c r="H39" s="168">
        <f t="shared" si="21"/>
        <v>-21267.180359999991</v>
      </c>
      <c r="I39" s="169">
        <f t="shared" si="21"/>
        <v>23674422.079640001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1657104.51</v>
      </c>
      <c r="D41" s="176">
        <f t="shared" ref="D41:I41" si="22">SUM(D26:D29,D31:D33)</f>
        <v>18025847.789999999</v>
      </c>
      <c r="E41" s="176">
        <f t="shared" si="22"/>
        <v>-9540862</v>
      </c>
      <c r="F41" s="176">
        <f t="shared" si="22"/>
        <v>8732022</v>
      </c>
      <c r="G41" s="176">
        <f t="shared" si="22"/>
        <v>17217007.789999999</v>
      </c>
      <c r="H41" s="176">
        <f t="shared" si="22"/>
        <v>43401.323679999994</v>
      </c>
      <c r="I41" s="175">
        <f t="shared" si="22"/>
        <v>17260409.113679998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2">
        <v>43040</v>
      </c>
      <c r="D43" s="192">
        <v>43252</v>
      </c>
      <c r="E43" s="381">
        <v>43405</v>
      </c>
      <c r="F43" s="192">
        <v>42278</v>
      </c>
      <c r="G43" s="192">
        <v>43344</v>
      </c>
      <c r="H43" s="192">
        <v>43374</v>
      </c>
      <c r="I43" s="192">
        <v>43282</v>
      </c>
      <c r="J43" s="375"/>
      <c r="K43" s="196"/>
      <c r="L43" s="1" t="s">
        <v>377</v>
      </c>
    </row>
    <row r="44" spans="1:31" ht="40.950000000000003" customHeight="1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201</v>
      </c>
      <c r="J44" s="378"/>
      <c r="L44" s="211" t="s">
        <v>385</v>
      </c>
      <c r="M44" s="357" t="s">
        <v>386</v>
      </c>
      <c r="N44" s="344" t="s">
        <v>382</v>
      </c>
      <c r="O44" s="344" t="s">
        <v>383</v>
      </c>
      <c r="P44" s="344" t="s">
        <v>384</v>
      </c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-1.16E-3</v>
      </c>
      <c r="F45" s="171"/>
      <c r="G45" s="171">
        <v>4.3299999999999996E-3</v>
      </c>
      <c r="H45" s="171">
        <v>1.15E-3</v>
      </c>
      <c r="I45" s="171">
        <v>-3.4000000000000002E-4</v>
      </c>
      <c r="J45" s="171"/>
      <c r="L45" s="171">
        <f>SUM(C45:I45)</f>
        <v>1.7499999999999994E-3</v>
      </c>
      <c r="M45" s="376">
        <f t="shared" ref="M45:M57" si="23">SUM(C45:D45,E45:I45)</f>
        <v>1.7499999999999994E-3</v>
      </c>
      <c r="N45" s="348">
        <f>-F3*L45</f>
        <v>200253.25599999994</v>
      </c>
      <c r="O45" s="348">
        <f>G3*M45</f>
        <v>222414.22349999993</v>
      </c>
      <c r="P45" s="349">
        <f>O45-N45</f>
        <v>22160.967499999999</v>
      </c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-1.16E-3</v>
      </c>
      <c r="F46" s="171">
        <v>-3.1530000000000002E-2</v>
      </c>
      <c r="G46" s="171">
        <v>4.3299999999999996E-3</v>
      </c>
      <c r="H46" s="171">
        <v>1.15E-3</v>
      </c>
      <c r="I46" s="171">
        <v>-3.4000000000000002E-4</v>
      </c>
      <c r="J46" s="171"/>
      <c r="L46" s="171">
        <f t="shared" ref="L46:L57" si="24">SUM(C46:I46)</f>
        <v>-2.9780000000000001E-2</v>
      </c>
      <c r="M46" s="376">
        <f t="shared" si="23"/>
        <v>-2.9780000000000001E-2</v>
      </c>
      <c r="N46" s="348">
        <f t="shared" ref="N46:N57" si="25">-F4*L46</f>
        <v>-7134.1265800000001</v>
      </c>
      <c r="O46" s="348">
        <f t="shared" ref="O46:O57" si="26">G4*M46</f>
        <v>-8027.9137200000005</v>
      </c>
      <c r="P46" s="349">
        <f t="shared" ref="P46:P57" si="27">O46-N46</f>
        <v>-893.78714000000036</v>
      </c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5.4000000000000001E-4</v>
      </c>
      <c r="F47" s="171"/>
      <c r="G47" s="171">
        <v>5.9699999999999996E-3</v>
      </c>
      <c r="H47" s="171">
        <v>1.67E-3</v>
      </c>
      <c r="I47" s="171">
        <v>-3.6000000000000002E-4</v>
      </c>
      <c r="J47" s="171"/>
      <c r="L47" s="171">
        <f t="shared" si="24"/>
        <v>5.94E-3</v>
      </c>
      <c r="M47" s="376">
        <f t="shared" si="23"/>
        <v>5.94E-3</v>
      </c>
      <c r="N47" s="348">
        <f t="shared" si="25"/>
        <v>161617.56336</v>
      </c>
      <c r="O47" s="348">
        <f t="shared" si="26"/>
        <v>156081.78036</v>
      </c>
      <c r="P47" s="349">
        <f t="shared" si="27"/>
        <v>-5535.7829999999958</v>
      </c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5.4000000000000001E-4</v>
      </c>
      <c r="F48" s="171"/>
      <c r="G48" s="171">
        <v>5.9699999999999996E-3</v>
      </c>
      <c r="H48" s="171">
        <v>1.67E-3</v>
      </c>
      <c r="I48" s="171">
        <v>-3.6000000000000002E-4</v>
      </c>
      <c r="J48" s="171"/>
      <c r="L48" s="171">
        <f t="shared" si="24"/>
        <v>5.13E-3</v>
      </c>
      <c r="M48" s="376">
        <f t="shared" si="23"/>
        <v>5.13E-3</v>
      </c>
      <c r="N48" s="348">
        <f t="shared" si="25"/>
        <v>14788.18944</v>
      </c>
      <c r="O48" s="348">
        <f t="shared" si="26"/>
        <v>16240.47705</v>
      </c>
      <c r="P48" s="349">
        <f t="shared" si="27"/>
        <v>1452.2876099999994</v>
      </c>
    </row>
    <row r="49" spans="1:16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5.4000000000000001E-4</v>
      </c>
      <c r="F49" s="171"/>
      <c r="G49" s="171">
        <v>4.5999999999999999E-3</v>
      </c>
      <c r="H49" s="171">
        <v>1.2099999999999999E-3</v>
      </c>
      <c r="I49" s="171">
        <v>-3.6000000000000002E-4</v>
      </c>
      <c r="J49" s="171"/>
      <c r="L49" s="171">
        <f t="shared" si="24"/>
        <v>4.5499999999999994E-3</v>
      </c>
      <c r="M49" s="376">
        <f t="shared" si="23"/>
        <v>4.5499999999999994E-3</v>
      </c>
      <c r="N49" s="348">
        <f t="shared" si="25"/>
        <v>305691.99114999996</v>
      </c>
      <c r="O49" s="348">
        <f t="shared" si="26"/>
        <v>271880.04934999999</v>
      </c>
      <c r="P49" s="349">
        <f t="shared" si="27"/>
        <v>-33811.941799999971</v>
      </c>
    </row>
    <row r="50" spans="1:16">
      <c r="A50" s="180" t="s">
        <v>135</v>
      </c>
      <c r="B50" s="152"/>
      <c r="C50" s="171">
        <v>-8.0999999999999996E-4</v>
      </c>
      <c r="D50" s="171">
        <v>-1.4400000000000001E-3</v>
      </c>
      <c r="E50" s="171">
        <v>5.4000000000000001E-4</v>
      </c>
      <c r="F50" s="171"/>
      <c r="G50" s="171">
        <v>4.5999999999999999E-3</v>
      </c>
      <c r="H50" s="171">
        <v>1.2099999999999999E-3</v>
      </c>
      <c r="I50" s="171">
        <v>-3.6000000000000002E-4</v>
      </c>
      <c r="J50" s="171"/>
      <c r="L50" s="171">
        <f t="shared" si="24"/>
        <v>3.7399999999999994E-3</v>
      </c>
      <c r="M50" s="376">
        <f t="shared" si="23"/>
        <v>3.7399999999999994E-3</v>
      </c>
      <c r="N50" s="348">
        <f t="shared" si="25"/>
        <v>5689.3253999999988</v>
      </c>
      <c r="O50" s="348">
        <f t="shared" si="26"/>
        <v>5945.0142399999986</v>
      </c>
      <c r="P50" s="349">
        <f t="shared" si="27"/>
        <v>255.6888399999998</v>
      </c>
    </row>
    <row r="51" spans="1:16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2.97E-3</v>
      </c>
      <c r="H51" s="171">
        <v>7.6000000000000004E-4</v>
      </c>
      <c r="I51" s="171">
        <v>-3.5E-4</v>
      </c>
      <c r="J51" s="171"/>
      <c r="L51" s="171">
        <f t="shared" si="24"/>
        <v>2.4500000000000004E-3</v>
      </c>
      <c r="M51" s="376">
        <f t="shared" si="23"/>
        <v>2.4500000000000004E-3</v>
      </c>
      <c r="N51" s="348">
        <f t="shared" si="25"/>
        <v>129363.93225000001</v>
      </c>
      <c r="O51" s="348">
        <f t="shared" si="26"/>
        <v>140912.44825000002</v>
      </c>
      <c r="P51" s="349">
        <f t="shared" si="27"/>
        <v>11548.516000000003</v>
      </c>
    </row>
    <row r="52" spans="1:16">
      <c r="A52" s="180" t="s">
        <v>179</v>
      </c>
      <c r="B52" s="152"/>
      <c r="C52" s="171">
        <v>0</v>
      </c>
      <c r="D52" s="171">
        <v>-9.3000000000000005E-4</v>
      </c>
      <c r="E52" s="171">
        <v>0</v>
      </c>
      <c r="F52" s="171"/>
      <c r="G52" s="171">
        <v>2.97E-3</v>
      </c>
      <c r="H52" s="171">
        <v>0</v>
      </c>
      <c r="I52" s="171">
        <v>-3.5E-4</v>
      </c>
      <c r="J52" s="171"/>
      <c r="L52" s="171">
        <f t="shared" si="24"/>
        <v>1.6900000000000001E-3</v>
      </c>
      <c r="M52" s="376">
        <f t="shared" si="23"/>
        <v>1.6900000000000001E-3</v>
      </c>
      <c r="N52" s="348">
        <f t="shared" si="25"/>
        <v>59150</v>
      </c>
      <c r="O52" s="348">
        <f t="shared" si="26"/>
        <v>59150</v>
      </c>
      <c r="P52" s="349">
        <f t="shared" si="27"/>
        <v>0</v>
      </c>
    </row>
    <row r="53" spans="1:16">
      <c r="A53" s="180" t="s">
        <v>180</v>
      </c>
      <c r="B53" s="152"/>
      <c r="C53" s="171">
        <v>0</v>
      </c>
      <c r="D53" s="171">
        <v>-1.2999999999999999E-3</v>
      </c>
      <c r="E53" s="171">
        <v>5.4000000000000001E-4</v>
      </c>
      <c r="F53" s="171"/>
      <c r="G53" s="171">
        <v>4.3299999999999996E-3</v>
      </c>
      <c r="H53" s="171">
        <v>1.0499999999999999E-3</v>
      </c>
      <c r="I53" s="171">
        <v>-3.6999999999999999E-4</v>
      </c>
      <c r="J53" s="171"/>
      <c r="L53" s="171">
        <f t="shared" si="24"/>
        <v>4.2500000000000003E-3</v>
      </c>
      <c r="M53" s="376">
        <f t="shared" si="23"/>
        <v>4.2500000000000003E-3</v>
      </c>
      <c r="N53" s="348">
        <f t="shared" si="25"/>
        <v>0</v>
      </c>
      <c r="O53" s="348">
        <f t="shared" si="26"/>
        <v>0</v>
      </c>
      <c r="P53" s="349">
        <f t="shared" si="27"/>
        <v>0</v>
      </c>
    </row>
    <row r="54" spans="1:16">
      <c r="A54" s="180" t="s">
        <v>137</v>
      </c>
      <c r="B54" s="152"/>
      <c r="C54" s="171">
        <v>0</v>
      </c>
      <c r="D54" s="171">
        <v>-1.2999999999999999E-3</v>
      </c>
      <c r="E54" s="171">
        <v>5.4000000000000001E-4</v>
      </c>
      <c r="F54" s="171"/>
      <c r="G54" s="171">
        <v>4.3299999999999996E-3</v>
      </c>
      <c r="H54" s="171">
        <v>1.0499999999999999E-3</v>
      </c>
      <c r="I54" s="171">
        <v>-3.6999999999999999E-4</v>
      </c>
      <c r="J54" s="171"/>
      <c r="L54" s="171">
        <f t="shared" si="24"/>
        <v>4.2500000000000003E-3</v>
      </c>
      <c r="M54" s="376">
        <f t="shared" si="23"/>
        <v>4.2500000000000003E-3</v>
      </c>
      <c r="N54" s="348">
        <f t="shared" si="25"/>
        <v>13050.288</v>
      </c>
      <c r="O54" s="348">
        <f t="shared" si="26"/>
        <v>7346.5287500000004</v>
      </c>
      <c r="P54" s="349">
        <f t="shared" si="27"/>
        <v>-5703.7592500000001</v>
      </c>
    </row>
    <row r="55" spans="1:16">
      <c r="A55" s="180" t="s">
        <v>138</v>
      </c>
      <c r="B55" s="152"/>
      <c r="C55" s="171">
        <v>-8.0999999999999996E-4</v>
      </c>
      <c r="D55" s="171">
        <v>-1.2999999999999999E-3</v>
      </c>
      <c r="E55" s="171">
        <v>5.4000000000000001E-4</v>
      </c>
      <c r="F55" s="171"/>
      <c r="G55" s="171">
        <v>4.3299999999999996E-3</v>
      </c>
      <c r="H55" s="171">
        <v>1.0499999999999999E-3</v>
      </c>
      <c r="I55" s="171">
        <v>-3.6999999999999999E-4</v>
      </c>
      <c r="J55" s="171"/>
      <c r="L55" s="171">
        <f t="shared" si="24"/>
        <v>3.4399999999999999E-3</v>
      </c>
      <c r="M55" s="376">
        <f t="shared" si="23"/>
        <v>3.4399999999999999E-3</v>
      </c>
      <c r="N55" s="348">
        <f t="shared" si="25"/>
        <v>478.62783999999999</v>
      </c>
      <c r="O55" s="348">
        <f t="shared" si="26"/>
        <v>420.81175999999999</v>
      </c>
      <c r="P55" s="349">
        <f t="shared" si="27"/>
        <v>-57.816079999999999</v>
      </c>
    </row>
    <row r="56" spans="1:16" ht="15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1.013E-2</v>
      </c>
      <c r="H56" s="401" t="s">
        <v>375</v>
      </c>
      <c r="I56" s="186">
        <v>-4.8000000000000001E-4</v>
      </c>
      <c r="J56" s="186"/>
      <c r="L56" s="171">
        <f t="shared" si="24"/>
        <v>9.6500000000000006E-3</v>
      </c>
      <c r="M56" s="376">
        <f t="shared" si="23"/>
        <v>9.6500000000000006E-3</v>
      </c>
      <c r="N56" s="348">
        <f t="shared" si="25"/>
        <v>0</v>
      </c>
      <c r="O56" s="348">
        <f t="shared" si="26"/>
        <v>0</v>
      </c>
      <c r="P56" s="349">
        <f t="shared" si="27"/>
        <v>0</v>
      </c>
    </row>
    <row r="57" spans="1:16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1.013E-2</v>
      </c>
      <c r="H57" s="401"/>
      <c r="I57" s="186">
        <v>-4.8000000000000001E-4</v>
      </c>
      <c r="J57" s="186"/>
      <c r="L57" s="171">
        <f t="shared" si="24"/>
        <v>8.8400000000000006E-3</v>
      </c>
      <c r="M57" s="376">
        <f t="shared" si="23"/>
        <v>8.8400000000000006E-3</v>
      </c>
      <c r="N57" s="348">
        <f t="shared" si="25"/>
        <v>0</v>
      </c>
      <c r="O57" s="348">
        <f t="shared" si="26"/>
        <v>0</v>
      </c>
      <c r="P57" s="349">
        <f t="shared" si="27"/>
        <v>0</v>
      </c>
    </row>
    <row r="58" spans="1:16" ht="9" customHeight="1">
      <c r="A58" s="180"/>
      <c r="B58" s="152"/>
      <c r="C58" s="171"/>
      <c r="D58" s="171"/>
      <c r="E58" s="171"/>
      <c r="F58" s="171"/>
      <c r="G58" s="186"/>
      <c r="H58" s="379"/>
      <c r="I58" s="171"/>
      <c r="J58" s="186"/>
      <c r="K58" s="171"/>
      <c r="L58" s="212"/>
      <c r="M58" s="369"/>
      <c r="N58" s="193">
        <f>SUM(N45:N57)</f>
        <v>882949.04685999989</v>
      </c>
      <c r="O58" s="193">
        <f>SUM(O45:O57)</f>
        <v>872363.41953999992</v>
      </c>
      <c r="P58" s="193">
        <f>SUM(P45:P57)</f>
        <v>-10585.627319999967</v>
      </c>
    </row>
    <row r="59" spans="1:16" hidden="1">
      <c r="A59" s="180"/>
      <c r="B59" s="152"/>
      <c r="C59" s="171"/>
      <c r="D59" s="171"/>
      <c r="E59" s="171"/>
      <c r="F59" s="171"/>
      <c r="G59" s="186"/>
      <c r="H59" s="379"/>
      <c r="I59" s="171"/>
      <c r="J59" s="186"/>
      <c r="K59" s="171"/>
      <c r="L59" s="212"/>
      <c r="M59" s="335"/>
      <c r="N59" s="194"/>
    </row>
    <row r="60" spans="1:16" hidden="1">
      <c r="F60" s="152"/>
      <c r="M60" s="335"/>
      <c r="N60" s="335"/>
    </row>
    <row r="61" spans="1:16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207</v>
      </c>
      <c r="J61" s="172" t="s">
        <v>208</v>
      </c>
      <c r="M61" s="168"/>
    </row>
    <row r="62" spans="1:16">
      <c r="A62" s="180" t="s">
        <v>131</v>
      </c>
      <c r="C62" s="168">
        <f t="shared" ref="C62:E72" si="28">C45*$H3</f>
        <v>-10257.3621</v>
      </c>
      <c r="D62" s="168">
        <f t="shared" si="28"/>
        <v>-17982.0422</v>
      </c>
      <c r="E62" s="168">
        <f>E45*$H3</f>
        <v>-14689.5556</v>
      </c>
      <c r="F62" s="168">
        <f t="shared" ref="F62:F72" si="29">$H3*F45</f>
        <v>0</v>
      </c>
      <c r="G62" s="168">
        <f t="shared" ref="G62:G72" si="30">(H3*G45)</f>
        <v>54832.565299999995</v>
      </c>
      <c r="H62" s="168">
        <f t="shared" ref="H62:H72" si="31">(H45*H3)</f>
        <v>14562.9215</v>
      </c>
      <c r="I62" s="168">
        <f t="shared" ref="I62:I72" si="32">I45*H3</f>
        <v>-4305.5594000000001</v>
      </c>
      <c r="J62" s="168">
        <f t="shared" ref="J62:J68" si="33">SUM(C62:I62)</f>
        <v>22160.967499999992</v>
      </c>
      <c r="M62" s="168"/>
    </row>
    <row r="63" spans="1:16">
      <c r="A63" s="180" t="s">
        <v>178</v>
      </c>
      <c r="C63" s="168">
        <f t="shared" si="28"/>
        <v>-24.31053</v>
      </c>
      <c r="D63" s="168">
        <f t="shared" si="28"/>
        <v>-42.618459999999999</v>
      </c>
      <c r="E63" s="168">
        <f t="shared" si="28"/>
        <v>-34.815080000000002</v>
      </c>
      <c r="F63" s="168">
        <f t="shared" si="29"/>
        <v>-946.30989000000011</v>
      </c>
      <c r="G63" s="168">
        <f t="shared" si="30"/>
        <v>129.95629</v>
      </c>
      <c r="H63" s="168">
        <f t="shared" si="31"/>
        <v>34.514949999999999</v>
      </c>
      <c r="I63" s="168">
        <f t="shared" si="32"/>
        <v>-10.204420000000001</v>
      </c>
      <c r="J63" s="168">
        <f t="shared" si="33"/>
        <v>-893.78714000000025</v>
      </c>
      <c r="M63" s="168"/>
    </row>
    <row r="64" spans="1:16">
      <c r="A64" s="180" t="s">
        <v>132</v>
      </c>
      <c r="C64" s="168">
        <f t="shared" si="28"/>
        <v>0</v>
      </c>
      <c r="D64" s="168">
        <f t="shared" si="28"/>
        <v>1752.066</v>
      </c>
      <c r="E64" s="168">
        <f t="shared" si="28"/>
        <v>-503.25299999999999</v>
      </c>
      <c r="F64" s="168">
        <f t="shared" si="29"/>
        <v>0</v>
      </c>
      <c r="G64" s="168">
        <f t="shared" si="30"/>
        <v>-5563.7415000000001</v>
      </c>
      <c r="H64" s="168">
        <f t="shared" si="31"/>
        <v>-1556.3565000000001</v>
      </c>
      <c r="I64" s="168">
        <f t="shared" si="32"/>
        <v>335.50200000000001</v>
      </c>
      <c r="J64" s="168">
        <f t="shared" si="33"/>
        <v>-5535.7829999999994</v>
      </c>
      <c r="M64" s="168"/>
    </row>
    <row r="65" spans="1:13">
      <c r="A65" s="180" t="s">
        <v>133</v>
      </c>
      <c r="C65" s="168">
        <f t="shared" si="28"/>
        <v>-229.30856999999997</v>
      </c>
      <c r="D65" s="168">
        <f t="shared" si="28"/>
        <v>-532.22235999999998</v>
      </c>
      <c r="E65" s="168">
        <f t="shared" si="28"/>
        <v>152.87237999999999</v>
      </c>
      <c r="F65" s="168">
        <f t="shared" si="29"/>
        <v>0</v>
      </c>
      <c r="G65" s="168">
        <f t="shared" si="30"/>
        <v>1690.0890899999999</v>
      </c>
      <c r="H65" s="168">
        <f t="shared" si="31"/>
        <v>472.77199000000002</v>
      </c>
      <c r="I65" s="168">
        <f t="shared" si="32"/>
        <v>-101.91492000000001</v>
      </c>
      <c r="J65" s="168">
        <f t="shared" si="33"/>
        <v>1452.2876100000001</v>
      </c>
      <c r="M65" s="168"/>
    </row>
    <row r="66" spans="1:13">
      <c r="A66" s="180" t="s">
        <v>134</v>
      </c>
      <c r="C66" s="168">
        <f t="shared" si="28"/>
        <v>0</v>
      </c>
      <c r="D66" s="168">
        <f t="shared" si="28"/>
        <v>10700.92224</v>
      </c>
      <c r="E66" s="168">
        <f t="shared" si="28"/>
        <v>-4012.84584</v>
      </c>
      <c r="F66" s="168">
        <f t="shared" si="29"/>
        <v>0</v>
      </c>
      <c r="G66" s="168">
        <f t="shared" si="30"/>
        <v>-34183.501599999996</v>
      </c>
      <c r="H66" s="168">
        <f t="shared" si="31"/>
        <v>-8991.747159999999</v>
      </c>
      <c r="I66" s="168">
        <f t="shared" si="32"/>
        <v>2675.23056</v>
      </c>
      <c r="J66" s="168">
        <f t="shared" si="33"/>
        <v>-33811.941800000001</v>
      </c>
      <c r="M66" s="168"/>
    </row>
    <row r="67" spans="1:13">
      <c r="A67" s="180" t="s">
        <v>135</v>
      </c>
      <c r="C67" s="168">
        <f t="shared" si="28"/>
        <v>-55.376459999999994</v>
      </c>
      <c r="D67" s="168">
        <f t="shared" si="28"/>
        <v>-98.447040000000001</v>
      </c>
      <c r="E67" s="168">
        <f t="shared" si="28"/>
        <v>36.917639999999999</v>
      </c>
      <c r="F67" s="168">
        <f t="shared" si="29"/>
        <v>0</v>
      </c>
      <c r="G67" s="168">
        <f t="shared" si="30"/>
        <v>314.48359999999997</v>
      </c>
      <c r="H67" s="168">
        <f t="shared" si="31"/>
        <v>82.722859999999997</v>
      </c>
      <c r="I67" s="168">
        <f t="shared" si="32"/>
        <v>-24.61176</v>
      </c>
      <c r="J67" s="168">
        <f t="shared" si="33"/>
        <v>255.68883999999997</v>
      </c>
      <c r="M67" s="168"/>
    </row>
    <row r="68" spans="1:13">
      <c r="A68" s="180" t="s">
        <v>136</v>
      </c>
      <c r="C68" s="168">
        <f t="shared" si="28"/>
        <v>0</v>
      </c>
      <c r="D68" s="168">
        <f t="shared" si="28"/>
        <v>-4383.7224000000006</v>
      </c>
      <c r="E68" s="168">
        <f t="shared" si="28"/>
        <v>0</v>
      </c>
      <c r="F68" s="168">
        <f t="shared" si="29"/>
        <v>0</v>
      </c>
      <c r="G68" s="168">
        <f t="shared" si="30"/>
        <v>13999.6296</v>
      </c>
      <c r="H68" s="168">
        <f t="shared" si="31"/>
        <v>3582.3968</v>
      </c>
      <c r="I68" s="168">
        <f t="shared" si="32"/>
        <v>-1649.788</v>
      </c>
      <c r="J68" s="168">
        <f t="shared" si="33"/>
        <v>11548.516</v>
      </c>
      <c r="M68" s="168"/>
    </row>
    <row r="69" spans="1:13">
      <c r="A69" s="180" t="s">
        <v>179</v>
      </c>
      <c r="C69" s="168">
        <f t="shared" si="28"/>
        <v>0</v>
      </c>
      <c r="D69" s="168">
        <f t="shared" si="28"/>
        <v>0</v>
      </c>
      <c r="E69" s="168">
        <f t="shared" si="28"/>
        <v>0</v>
      </c>
      <c r="F69" s="168">
        <f t="shared" si="29"/>
        <v>0</v>
      </c>
      <c r="G69" s="168">
        <f t="shared" si="30"/>
        <v>0</v>
      </c>
      <c r="H69" s="168">
        <f t="shared" si="31"/>
        <v>0</v>
      </c>
      <c r="I69" s="168">
        <f t="shared" si="32"/>
        <v>0</v>
      </c>
      <c r="J69" s="168">
        <f t="shared" ref="J69:J70" si="34">SUM(C69:I69)</f>
        <v>0</v>
      </c>
      <c r="M69" s="168"/>
    </row>
    <row r="70" spans="1:13">
      <c r="A70" s="180" t="s">
        <v>180</v>
      </c>
      <c r="C70" s="168">
        <f t="shared" si="28"/>
        <v>0</v>
      </c>
      <c r="D70" s="168">
        <f t="shared" si="28"/>
        <v>0</v>
      </c>
      <c r="E70" s="168">
        <f t="shared" si="28"/>
        <v>0</v>
      </c>
      <c r="F70" s="168">
        <f t="shared" si="29"/>
        <v>0</v>
      </c>
      <c r="G70" s="168">
        <f t="shared" si="30"/>
        <v>0</v>
      </c>
      <c r="H70" s="168">
        <f t="shared" si="31"/>
        <v>0</v>
      </c>
      <c r="I70" s="168">
        <f t="shared" si="32"/>
        <v>0</v>
      </c>
      <c r="J70" s="168">
        <f t="shared" si="34"/>
        <v>0</v>
      </c>
      <c r="M70" s="168"/>
    </row>
    <row r="71" spans="1:13">
      <c r="A71" s="180" t="s">
        <v>137</v>
      </c>
      <c r="C71" s="168">
        <f t="shared" si="28"/>
        <v>0</v>
      </c>
      <c r="D71" s="168">
        <f t="shared" si="28"/>
        <v>1744.6793</v>
      </c>
      <c r="E71" s="168">
        <f t="shared" si="28"/>
        <v>-724.71294</v>
      </c>
      <c r="F71" s="168">
        <f t="shared" si="29"/>
        <v>0</v>
      </c>
      <c r="G71" s="168">
        <f t="shared" si="30"/>
        <v>-5811.1241299999992</v>
      </c>
      <c r="H71" s="168">
        <f t="shared" si="31"/>
        <v>-1409.1640499999999</v>
      </c>
      <c r="I71" s="168">
        <f t="shared" si="32"/>
        <v>496.56256999999999</v>
      </c>
      <c r="J71" s="168">
        <f>SUM(C71:I71)</f>
        <v>-5703.7592499999992</v>
      </c>
      <c r="M71" s="168"/>
    </row>
    <row r="72" spans="1:13">
      <c r="A72" s="180" t="s">
        <v>138</v>
      </c>
      <c r="C72" s="168">
        <f t="shared" si="28"/>
        <v>13.613669999999999</v>
      </c>
      <c r="D72" s="168">
        <f t="shared" si="28"/>
        <v>21.8491</v>
      </c>
      <c r="E72" s="168">
        <f t="shared" si="28"/>
        <v>-9.07578</v>
      </c>
      <c r="F72" s="168">
        <f t="shared" si="29"/>
        <v>0</v>
      </c>
      <c r="G72" s="168">
        <f t="shared" si="30"/>
        <v>-72.77431</v>
      </c>
      <c r="H72" s="168">
        <f t="shared" si="31"/>
        <v>-17.647349999999999</v>
      </c>
      <c r="I72" s="168">
        <f t="shared" si="32"/>
        <v>6.2185899999999998</v>
      </c>
      <c r="J72" s="168">
        <f>SUM(C72:I72)</f>
        <v>-57.816080000000007</v>
      </c>
      <c r="M72" s="168"/>
    </row>
    <row r="73" spans="1:13">
      <c r="A73" s="180" t="s">
        <v>192</v>
      </c>
      <c r="C73" s="168">
        <f>($H14+$H15)*C56+$H16*C57</f>
        <v>0</v>
      </c>
      <c r="D73" s="168">
        <f>($H14+$H15)*D56+$H16*D57</f>
        <v>0</v>
      </c>
      <c r="E73" s="168">
        <f t="shared" ref="E73" si="35">E56*$H14</f>
        <v>0</v>
      </c>
      <c r="F73" s="168">
        <f>($H14+$H15)*F56+$H16*F57</f>
        <v>0</v>
      </c>
      <c r="G73" s="168">
        <f>($H14+$H15)*G56+$H16*G57</f>
        <v>0</v>
      </c>
      <c r="H73" s="168">
        <v>0</v>
      </c>
      <c r="I73" s="168">
        <f>($H14+$H15)*I56+$H16*I57</f>
        <v>0</v>
      </c>
      <c r="J73" s="168">
        <f>SUM(C73:I73)</f>
        <v>0</v>
      </c>
    </row>
    <row r="74" spans="1:13">
      <c r="A74" s="157"/>
      <c r="C74" s="193">
        <f t="shared" ref="C74:J74" si="36">SUM(C62:C73)</f>
        <v>-10552.743989999999</v>
      </c>
      <c r="D74" s="193">
        <f t="shared" si="36"/>
        <v>-8819.5358200000046</v>
      </c>
      <c r="E74" s="193">
        <f t="shared" si="36"/>
        <v>-19784.468219999999</v>
      </c>
      <c r="F74" s="193">
        <f t="shared" si="36"/>
        <v>-946.30989000000011</v>
      </c>
      <c r="G74" s="337">
        <f t="shared" si="36"/>
        <v>25335.582340000004</v>
      </c>
      <c r="H74" s="193">
        <f t="shared" si="36"/>
        <v>6760.4130400000022</v>
      </c>
      <c r="I74" s="193">
        <f t="shared" si="36"/>
        <v>-2578.5647800000002</v>
      </c>
      <c r="J74" s="193">
        <f t="shared" si="36"/>
        <v>-10585.627320000009</v>
      </c>
    </row>
    <row r="75" spans="1:13" ht="7.8" customHeight="1"/>
    <row r="76" spans="1:13">
      <c r="A76" s="152" t="s">
        <v>19</v>
      </c>
      <c r="B76" s="152"/>
      <c r="C76" s="168">
        <f t="shared" ref="C76:I76" si="37">C62+C63</f>
        <v>-10281.672630000001</v>
      </c>
      <c r="D76" s="168">
        <f t="shared" si="37"/>
        <v>-18024.660660000001</v>
      </c>
      <c r="E76" s="168">
        <f t="shared" si="37"/>
        <v>-14724.37068</v>
      </c>
      <c r="F76" s="168">
        <f t="shared" si="37"/>
        <v>-946.30989000000011</v>
      </c>
      <c r="G76" s="168">
        <f t="shared" si="37"/>
        <v>54962.521589999997</v>
      </c>
      <c r="H76" s="168">
        <f t="shared" si="37"/>
        <v>14597.436450000001</v>
      </c>
      <c r="I76" s="168">
        <f t="shared" si="37"/>
        <v>-4315.7638200000001</v>
      </c>
      <c r="J76" s="168">
        <f>J62+J63</f>
        <v>21267.180359999991</v>
      </c>
    </row>
    <row r="77" spans="1:13" ht="10.8" customHeight="1">
      <c r="A77" s="152"/>
      <c r="B77" s="152"/>
      <c r="C77" s="168"/>
      <c r="D77" s="168"/>
      <c r="E77" s="168"/>
      <c r="F77" s="168"/>
      <c r="G77" s="168"/>
      <c r="H77" s="168"/>
      <c r="I77" s="168"/>
      <c r="J77" s="168"/>
    </row>
    <row r="78" spans="1:13" ht="15.75" customHeight="1">
      <c r="A78" s="152" t="s">
        <v>184</v>
      </c>
      <c r="B78" s="152"/>
      <c r="C78" s="176">
        <f t="shared" ref="C78:I78" si="38">SUM(C64:C67,C70:C72)</f>
        <v>-271.07135999999997</v>
      </c>
      <c r="D78" s="176">
        <f t="shared" si="38"/>
        <v>13588.847239999999</v>
      </c>
      <c r="E78" s="176">
        <f t="shared" si="38"/>
        <v>-5060.0975400000007</v>
      </c>
      <c r="F78" s="176">
        <f t="shared" si="38"/>
        <v>0</v>
      </c>
      <c r="G78" s="176">
        <f t="shared" si="38"/>
        <v>-43626.568849999996</v>
      </c>
      <c r="H78" s="176">
        <f t="shared" si="38"/>
        <v>-11419.420209999998</v>
      </c>
      <c r="I78" s="176">
        <f t="shared" si="38"/>
        <v>3386.9870400000004</v>
      </c>
      <c r="J78" s="176">
        <f>SUM(J64:J67,J70:J72)</f>
        <v>-43401.323679999994</v>
      </c>
    </row>
    <row r="79" spans="1:13" ht="7.8" customHeight="1"/>
    <row r="80" spans="1:13">
      <c r="A80" s="1" t="s">
        <v>215</v>
      </c>
    </row>
    <row r="81" spans="1:14">
      <c r="A81" s="1" t="s">
        <v>223</v>
      </c>
    </row>
    <row r="82" spans="1:14" ht="15.75" customHeight="1">
      <c r="A82" s="194" t="s">
        <v>222</v>
      </c>
      <c r="B82" s="194"/>
      <c r="C82" s="194"/>
      <c r="D82" s="194"/>
      <c r="E82" s="194"/>
    </row>
    <row r="83" spans="1:14" ht="29.4" customHeight="1">
      <c r="A83" s="194"/>
      <c r="B83" s="357" t="s">
        <v>216</v>
      </c>
      <c r="C83" s="357" t="s">
        <v>217</v>
      </c>
      <c r="D83" s="357" t="s">
        <v>218</v>
      </c>
      <c r="E83" s="357" t="s">
        <v>221</v>
      </c>
      <c r="G83" s="402" t="s">
        <v>391</v>
      </c>
      <c r="H83" s="402"/>
      <c r="I83" s="402"/>
      <c r="J83" s="402"/>
      <c r="M83" s="358"/>
      <c r="N83" s="358"/>
    </row>
    <row r="84" spans="1:14">
      <c r="A84" s="359" t="s">
        <v>392</v>
      </c>
      <c r="B84" s="361">
        <v>1</v>
      </c>
      <c r="C84" s="362">
        <v>814110</v>
      </c>
      <c r="D84" s="358">
        <f>74197.57-C84*M51</f>
        <v>72203.000500000009</v>
      </c>
      <c r="E84" s="358">
        <f>500*B84</f>
        <v>500</v>
      </c>
      <c r="F84" s="360" t="s">
        <v>219</v>
      </c>
      <c r="H84" s="361"/>
      <c r="I84" s="362"/>
      <c r="J84" s="380">
        <v>53394</v>
      </c>
      <c r="K84" s="358"/>
      <c r="L84" s="360"/>
    </row>
    <row r="85" spans="1:14">
      <c r="A85" s="363" t="s">
        <v>258</v>
      </c>
      <c r="B85" s="364">
        <f>SUM(B84:B84)</f>
        <v>1</v>
      </c>
      <c r="C85" s="365">
        <f>SUM(C84:C84)</f>
        <v>814110</v>
      </c>
      <c r="D85" s="366">
        <f>SUM(D84:D84)</f>
        <v>72203.000500000009</v>
      </c>
      <c r="E85" s="366">
        <f>SUM(E84:E84)</f>
        <v>500</v>
      </c>
    </row>
    <row r="86" spans="1:14">
      <c r="A86" s="194"/>
      <c r="B86" s="194"/>
      <c r="C86" s="194"/>
      <c r="D86" s="194"/>
      <c r="E86" s="194"/>
    </row>
    <row r="87" spans="1:14">
      <c r="A87" s="346"/>
      <c r="B87" s="361"/>
      <c r="C87" s="362"/>
      <c r="D87" s="358"/>
      <c r="E87" s="358"/>
    </row>
    <row r="88" spans="1:14">
      <c r="B88" s="361"/>
      <c r="C88" s="362"/>
      <c r="D88" s="358"/>
      <c r="E88" s="358"/>
    </row>
    <row r="89" spans="1:14" ht="9" customHeight="1"/>
  </sheetData>
  <mergeCells count="4">
    <mergeCell ref="A1:I1"/>
    <mergeCell ref="J1:K1"/>
    <mergeCell ref="H56:H57"/>
    <mergeCell ref="G83:J83"/>
  </mergeCells>
  <pageMargins left="0.7" right="0.7" top="0.75" bottom="0.75" header="0.3" footer="0.3"/>
  <pageSetup scale="80" fitToHeight="2" orientation="landscape" r:id="rId1"/>
  <headerFooter>
    <oddFooter>&amp;F&amp;RPage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AE89"/>
  <sheetViews>
    <sheetView zoomScaleNormal="100" workbookViewId="0">
      <selection activeCell="G15" sqref="G15"/>
    </sheetView>
  </sheetViews>
  <sheetFormatPr defaultColWidth="9.109375" defaultRowHeight="13.8"/>
  <cols>
    <col min="1" max="1" width="14.6640625" style="1" customWidth="1"/>
    <col min="2" max="2" width="8.66406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9.664062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4.6640625" style="1" customWidth="1"/>
    <col min="21" max="21" width="10.5546875" style="1" customWidth="1"/>
    <col min="22" max="22" width="14.664062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20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20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20">
      <c r="A3" s="180" t="s">
        <v>131</v>
      </c>
      <c r="B3" s="152"/>
      <c r="C3" s="158">
        <v>216566</v>
      </c>
      <c r="D3" s="282"/>
      <c r="E3" s="182">
        <v>180836658.27200001</v>
      </c>
      <c r="F3" s="182">
        <v>-82163972</v>
      </c>
      <c r="G3" s="182">
        <v>114430432</v>
      </c>
      <c r="H3" s="189">
        <f>SUM(F3:G3)</f>
        <v>32266460</v>
      </c>
      <c r="I3" s="159">
        <f>E3+H3</f>
        <v>213103118.27200001</v>
      </c>
      <c r="J3" s="370">
        <f t="shared" ref="J3:J8" si="0">I3/C3</f>
        <v>984.01003976616835</v>
      </c>
      <c r="K3" s="341">
        <f t="shared" ref="K3:K8" si="1">D24/E3</f>
        <v>9.0807490012895287E-2</v>
      </c>
    </row>
    <row r="4" spans="1:20">
      <c r="A4" s="180" t="s">
        <v>178</v>
      </c>
      <c r="B4" s="152"/>
      <c r="C4" s="158">
        <v>377</v>
      </c>
      <c r="D4" s="282"/>
      <c r="E4" s="182">
        <v>378573.196</v>
      </c>
      <c r="F4" s="182">
        <v>-160938</v>
      </c>
      <c r="G4" s="182">
        <v>239561</v>
      </c>
      <c r="H4" s="189">
        <f t="shared" ref="H4:H16" si="2">SUM(F4:G4)</f>
        <v>78623</v>
      </c>
      <c r="I4" s="159">
        <f t="shared" ref="I4:I16" si="3">E4+H4</f>
        <v>457196.196</v>
      </c>
      <c r="J4" s="370">
        <f t="shared" si="0"/>
        <v>1212.7220053050398</v>
      </c>
      <c r="K4" s="341">
        <f t="shared" si="1"/>
        <v>9.0129281102088371E-2</v>
      </c>
    </row>
    <row r="5" spans="1:20">
      <c r="A5" s="180" t="s">
        <v>132</v>
      </c>
      <c r="B5" s="152"/>
      <c r="C5" s="158">
        <v>22734</v>
      </c>
      <c r="D5" s="282"/>
      <c r="E5" s="182">
        <v>43172190.273999996</v>
      </c>
      <c r="F5" s="182">
        <v>-22887083</v>
      </c>
      <c r="G5" s="182">
        <v>27208344</v>
      </c>
      <c r="H5" s="189">
        <f t="shared" si="2"/>
        <v>4321261</v>
      </c>
      <c r="I5" s="159">
        <f t="shared" si="3"/>
        <v>47493451.273999996</v>
      </c>
      <c r="J5" s="370">
        <f t="shared" si="0"/>
        <v>2089.0934843846221</v>
      </c>
      <c r="K5" s="341">
        <f t="shared" si="1"/>
        <v>0.12016738615933396</v>
      </c>
    </row>
    <row r="6" spans="1:20">
      <c r="A6" s="180" t="s">
        <v>133</v>
      </c>
      <c r="B6" s="152"/>
      <c r="C6" s="158">
        <v>9573</v>
      </c>
      <c r="D6" s="282"/>
      <c r="E6" s="182">
        <v>4555444.733</v>
      </c>
      <c r="F6" s="182">
        <v>-2137728</v>
      </c>
      <c r="G6" s="182">
        <v>2882688</v>
      </c>
      <c r="H6" s="189">
        <f t="shared" si="2"/>
        <v>744960</v>
      </c>
      <c r="I6" s="159">
        <f t="shared" si="3"/>
        <v>5300404.733</v>
      </c>
      <c r="J6" s="370">
        <f t="shared" si="0"/>
        <v>553.68272568682755</v>
      </c>
      <c r="K6" s="341">
        <f t="shared" si="1"/>
        <v>0.15365078516473357</v>
      </c>
    </row>
    <row r="7" spans="1:20">
      <c r="A7" s="180" t="s">
        <v>134</v>
      </c>
      <c r="B7" s="152"/>
      <c r="C7" s="158">
        <v>1819</v>
      </c>
      <c r="D7" s="282"/>
      <c r="E7" s="182">
        <v>106647354.88699999</v>
      </c>
      <c r="F7" s="182">
        <v>-59213692</v>
      </c>
      <c r="G7" s="182">
        <v>67185053</v>
      </c>
      <c r="H7" s="189">
        <f t="shared" si="2"/>
        <v>7971361</v>
      </c>
      <c r="I7" s="159">
        <f t="shared" si="3"/>
        <v>114618715.88699999</v>
      </c>
      <c r="J7" s="370">
        <f t="shared" si="0"/>
        <v>63011.938365585484</v>
      </c>
      <c r="K7" s="341">
        <f t="shared" si="1"/>
        <v>9.2271790992160208E-2</v>
      </c>
    </row>
    <row r="8" spans="1:20">
      <c r="A8" s="180" t="s">
        <v>135</v>
      </c>
      <c r="B8" s="152"/>
      <c r="C8" s="158">
        <v>46</v>
      </c>
      <c r="D8" s="282"/>
      <c r="E8" s="182">
        <v>2403932.56</v>
      </c>
      <c r="F8" s="182">
        <v>-1257371</v>
      </c>
      <c r="G8" s="182">
        <v>1521210</v>
      </c>
      <c r="H8" s="189">
        <f t="shared" si="2"/>
        <v>263839</v>
      </c>
      <c r="I8" s="159">
        <f t="shared" si="3"/>
        <v>2667771.56</v>
      </c>
      <c r="J8" s="370">
        <f t="shared" si="0"/>
        <v>57995.03391304348</v>
      </c>
      <c r="K8" s="341">
        <f t="shared" si="1"/>
        <v>9.124603728483964E-2</v>
      </c>
    </row>
    <row r="9" spans="1:20">
      <c r="A9" s="180" t="s">
        <v>136</v>
      </c>
      <c r="B9" s="152"/>
      <c r="C9" s="158">
        <v>23</v>
      </c>
      <c r="D9" s="194"/>
      <c r="E9" s="182">
        <f>95120660.88-E10</f>
        <v>59624183.079999998</v>
      </c>
      <c r="F9" s="182">
        <v>-60301943</v>
      </c>
      <c r="G9" s="182">
        <f>87801605-G10</f>
        <v>52801605</v>
      </c>
      <c r="H9" s="189">
        <f t="shared" si="2"/>
        <v>-7500338</v>
      </c>
      <c r="I9" s="159">
        <f t="shared" si="3"/>
        <v>52123845.079999998</v>
      </c>
      <c r="J9" s="370">
        <f>(I9+I10)/C9</f>
        <v>3809579.2556521739</v>
      </c>
      <c r="K9" s="341">
        <f>I30/(I9+I10)</f>
        <v>5.9652843156699407E-2</v>
      </c>
    </row>
    <row r="10" spans="1:20">
      <c r="A10" s="180" t="s">
        <v>179</v>
      </c>
      <c r="B10" s="152"/>
      <c r="C10" s="158"/>
      <c r="D10" s="194"/>
      <c r="E10" s="182">
        <v>35496477.799999997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35496477.799999997</v>
      </c>
      <c r="J10" s="370"/>
    </row>
    <row r="11" spans="1:20">
      <c r="A11" s="180" t="s">
        <v>180</v>
      </c>
      <c r="B11" s="152"/>
      <c r="C11" s="158">
        <v>51</v>
      </c>
      <c r="D11" s="282"/>
      <c r="E11" s="182">
        <v>485646.72399999999</v>
      </c>
      <c r="F11" s="182">
        <v>0</v>
      </c>
      <c r="G11" s="182">
        <v>0</v>
      </c>
      <c r="H11" s="189">
        <f t="shared" si="2"/>
        <v>0</v>
      </c>
      <c r="I11" s="159">
        <f t="shared" si="3"/>
        <v>485646.72399999999</v>
      </c>
      <c r="J11" s="370">
        <f>I11/C11</f>
        <v>9522.484784313725</v>
      </c>
      <c r="K11" s="341">
        <f>I31/I11</f>
        <v>7.1460195827450917E-2</v>
      </c>
    </row>
    <row r="12" spans="1:20">
      <c r="A12" s="180" t="s">
        <v>137</v>
      </c>
      <c r="B12" s="152"/>
      <c r="C12" s="158">
        <v>1189</v>
      </c>
      <c r="D12" s="282"/>
      <c r="E12" s="182">
        <v>5515307.4369999999</v>
      </c>
      <c r="F12" s="182">
        <v>-4288578</v>
      </c>
      <c r="G12" s="182">
        <v>3070656</v>
      </c>
      <c r="H12" s="189">
        <f t="shared" si="2"/>
        <v>-1217922</v>
      </c>
      <c r="I12" s="159">
        <f t="shared" si="3"/>
        <v>4297385.4369999999</v>
      </c>
      <c r="J12" s="370">
        <f>I12/C12</f>
        <v>3614.2854810765348</v>
      </c>
      <c r="K12" s="341">
        <f>I32/I12</f>
        <v>9.7382765338393365E-2</v>
      </c>
    </row>
    <row r="13" spans="1:20">
      <c r="A13" s="180" t="s">
        <v>138</v>
      </c>
      <c r="B13" s="152"/>
      <c r="C13" s="158">
        <v>1201</v>
      </c>
      <c r="D13" s="282"/>
      <c r="E13" s="182">
        <v>281631.11300000001</v>
      </c>
      <c r="F13" s="182">
        <v>-231486</v>
      </c>
      <c r="G13" s="182">
        <v>139136</v>
      </c>
      <c r="H13" s="189">
        <f t="shared" si="2"/>
        <v>-92350</v>
      </c>
      <c r="I13" s="159">
        <f t="shared" si="3"/>
        <v>189281.11300000001</v>
      </c>
      <c r="J13" s="370">
        <f>I13/C13</f>
        <v>157.60292506244798</v>
      </c>
      <c r="K13" s="341">
        <f>I33/I13</f>
        <v>0.2270921027392733</v>
      </c>
      <c r="Q13" s="1">
        <f>O24/P24</f>
        <v>2.0598537020061485E-3</v>
      </c>
      <c r="S13" s="283">
        <f>P24*T13*R24+P24*(1-T13)*U24</f>
        <v>372497.05999999994</v>
      </c>
      <c r="T13" s="1">
        <v>0.42605103351049056</v>
      </c>
    </row>
    <row r="14" spans="1:20">
      <c r="A14" s="180" t="s">
        <v>181</v>
      </c>
      <c r="B14" s="152"/>
      <c r="C14" s="158">
        <v>425</v>
      </c>
      <c r="D14" s="194"/>
      <c r="E14" s="182">
        <v>901847.97900000005</v>
      </c>
      <c r="F14" s="182"/>
      <c r="G14" s="182"/>
      <c r="H14" s="189"/>
      <c r="I14" s="159">
        <f t="shared" si="3"/>
        <v>901847.97900000005</v>
      </c>
      <c r="J14" s="370">
        <f>I14/C14</f>
        <v>2121.9952447058827</v>
      </c>
      <c r="K14" s="341">
        <f>I34/I14</f>
        <v>0.61865380085305932</v>
      </c>
      <c r="S14" s="189">
        <f>P24*T13</f>
        <v>77045645.153369009</v>
      </c>
      <c r="T14" s="189">
        <f>P24-S14</f>
        <v>103791013.11863101</v>
      </c>
    </row>
    <row r="15" spans="1:20">
      <c r="A15" s="180" t="s">
        <v>182</v>
      </c>
      <c r="B15" s="152"/>
      <c r="C15" s="158"/>
      <c r="D15" s="194"/>
      <c r="E15" s="182">
        <v>404825.76299999998</v>
      </c>
      <c r="F15" s="182"/>
      <c r="G15" s="182"/>
      <c r="H15" s="189">
        <f t="shared" si="2"/>
        <v>0</v>
      </c>
      <c r="I15" s="159">
        <f t="shared" si="3"/>
        <v>404825.76299999998</v>
      </c>
      <c r="J15" s="282"/>
      <c r="S15" s="189"/>
      <c r="T15" s="189">
        <f>T14+T24</f>
        <v>21627041.118631005</v>
      </c>
    </row>
    <row r="16" spans="1:20">
      <c r="A16" s="180" t="s">
        <v>183</v>
      </c>
      <c r="B16" s="152"/>
      <c r="C16" s="158"/>
      <c r="D16" s="195"/>
      <c r="E16" s="182">
        <v>211072.05900000001</v>
      </c>
      <c r="F16" s="182"/>
      <c r="G16" s="182"/>
      <c r="H16" s="189">
        <f t="shared" si="2"/>
        <v>0</v>
      </c>
      <c r="I16" s="159">
        <f t="shared" si="3"/>
        <v>211072.05900000001</v>
      </c>
      <c r="J16" s="282"/>
      <c r="T16" s="283">
        <f>T15*U24</f>
        <v>96240.33297790798</v>
      </c>
    </row>
    <row r="17" spans="1:31">
      <c r="A17" s="152"/>
      <c r="B17" s="152"/>
      <c r="C17" s="160">
        <f>SUM(C3:C16)</f>
        <v>254004</v>
      </c>
      <c r="E17" s="160">
        <f>SUM(E3:E16)</f>
        <v>440915145.87699991</v>
      </c>
      <c r="F17" s="160">
        <f>SUM(F3:F16)</f>
        <v>-267642791</v>
      </c>
      <c r="G17" s="160">
        <f>SUM(G3:G16)</f>
        <v>304478685</v>
      </c>
      <c r="H17" s="160">
        <f>SUM(H3:H16)</f>
        <v>36835894</v>
      </c>
      <c r="I17" s="160">
        <f>SUM(I3:I16)</f>
        <v>477751039.87699991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216943</v>
      </c>
      <c r="E19" s="162">
        <f>E3+E4</f>
        <v>181215231.46800002</v>
      </c>
      <c r="F19" s="162">
        <f>F3+F4</f>
        <v>-82324910</v>
      </c>
      <c r="G19" s="162">
        <f>G3+G4</f>
        <v>114669993</v>
      </c>
      <c r="H19" s="162">
        <f>H3+H4</f>
        <v>32345083</v>
      </c>
      <c r="I19" s="161">
        <f>I3+I4</f>
        <v>213560314.46800002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36613</v>
      </c>
      <c r="E21" s="178">
        <f>SUM(E5:E8,E11:E13)</f>
        <v>163061507.72800002</v>
      </c>
      <c r="F21" s="178">
        <f>SUM(F5:F8,F11:F13)</f>
        <v>-90015938</v>
      </c>
      <c r="G21" s="178">
        <f>SUM(G5:G8,G11:G13)</f>
        <v>102007087</v>
      </c>
      <c r="H21" s="178">
        <f>SUM(H5:H8,H11:H13)</f>
        <v>11991149</v>
      </c>
      <c r="I21" s="177">
        <f>SUM(I5:I8,I11:I13)</f>
        <v>175052656.72800002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389</v>
      </c>
      <c r="Z22" s="1" t="s">
        <v>235</v>
      </c>
      <c r="AA22" s="343" t="s">
        <v>300</v>
      </c>
      <c r="AC22" s="1" t="s">
        <v>237</v>
      </c>
      <c r="AD22" s="343" t="s">
        <v>299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November Billed Schedule 75 Revenue</v>
      </c>
      <c r="P23" s="344" t="str">
        <f>AA22&amp;" Billed kWhs"</f>
        <v>November Billed kWhs</v>
      </c>
      <c r="Q23" s="344" t="str">
        <f>AA22&amp;" Unbilled kWhs"</f>
        <v>November Unbilled kWhs</v>
      </c>
      <c r="R23" s="344" t="s">
        <v>387</v>
      </c>
      <c r="S23" s="344" t="s">
        <v>239</v>
      </c>
      <c r="T23" s="344" t="str">
        <f>AD22&amp;" Unbilled kWhs reversal"</f>
        <v>October Unbilled kWhs reversal</v>
      </c>
      <c r="U23" s="344" t="s">
        <v>238</v>
      </c>
      <c r="V23" s="344" t="str">
        <f>AD22&amp;" Schedule 75 Unbilled Reversal"</f>
        <v>October Schedule 75 Unbilled Reversal</v>
      </c>
      <c r="X23" s="344" t="str">
        <f>"Total "&amp;AA22&amp;" Schedule 75 Revenue"</f>
        <v>Total November Schedule 75 Revenue</v>
      </c>
      <c r="Z23" s="344" t="str">
        <f>"Calendar "&amp;AA22&amp;" Usage"</f>
        <v>Calendar November Usage</v>
      </c>
      <c r="AA23" s="344" t="str">
        <f>R23</f>
        <v>11/1/2018 rate</v>
      </c>
      <c r="AB23" s="344" t="s">
        <v>240</v>
      </c>
      <c r="AC23" s="344" t="s">
        <v>241</v>
      </c>
      <c r="AD23" s="344" t="str">
        <f>"implied "&amp;AD22&amp;" unbilled/Cancel-Rebill True-up kWhs"</f>
        <v>implied October unbilled/Cancel-Rebill True-up kWhs</v>
      </c>
    </row>
    <row r="24" spans="1:31">
      <c r="A24" s="180" t="s">
        <v>131</v>
      </c>
      <c r="B24" s="152"/>
      <c r="C24" s="181">
        <v>1989062.5</v>
      </c>
      <c r="D24" s="181">
        <v>16421323.039999999</v>
      </c>
      <c r="E24" s="183">
        <v>-8032789</v>
      </c>
      <c r="F24" s="183">
        <v>10201854</v>
      </c>
      <c r="G24" s="174">
        <f>SUM(D24:F24)</f>
        <v>18590388.039999999</v>
      </c>
      <c r="H24" s="174">
        <f>-J62</f>
        <v>404473.57792000001</v>
      </c>
      <c r="I24" s="174">
        <f>SUM(G24:H24)</f>
        <v>18994861.61792</v>
      </c>
      <c r="M24" s="1" t="s">
        <v>242</v>
      </c>
      <c r="O24" s="368">
        <v>372497.06</v>
      </c>
      <c r="P24" s="345">
        <f t="shared" ref="P24:P29" si="4">E3</f>
        <v>180836658.27200001</v>
      </c>
      <c r="Q24" s="345">
        <f t="shared" ref="Q24:Q29" si="5">G3</f>
        <v>114430432</v>
      </c>
      <c r="R24" s="346">
        <v>-1.16E-3</v>
      </c>
      <c r="S24" s="347">
        <f>Q24*R24</f>
        <v>-132739.30111999999</v>
      </c>
      <c r="T24" s="345">
        <f t="shared" ref="T24:T29" si="6">F3</f>
        <v>-82163972</v>
      </c>
      <c r="U24" s="346">
        <v>4.45E-3</v>
      </c>
      <c r="V24" s="348">
        <f>T24*U24</f>
        <v>-365629.67540000001</v>
      </c>
      <c r="X24" s="349">
        <f>O24+S24+V24</f>
        <v>-125871.91652</v>
      </c>
      <c r="Z24" s="350">
        <f>P24+Q24+T24</f>
        <v>213103118.27200001</v>
      </c>
      <c r="AA24" s="194">
        <f>R24</f>
        <v>-1.16E-3</v>
      </c>
      <c r="AB24" s="283">
        <f>Z24*AA24</f>
        <v>-247199.61719552003</v>
      </c>
      <c r="AC24" s="349">
        <f>X24-AB24</f>
        <v>121327.70067552003</v>
      </c>
      <c r="AD24" s="350">
        <f>AC24/U24</f>
        <v>27264651.837195512</v>
      </c>
      <c r="AE24" s="351">
        <f>AC24/X24</f>
        <v>-0.96389809601605669</v>
      </c>
    </row>
    <row r="25" spans="1:31">
      <c r="A25" s="180" t="s">
        <v>178</v>
      </c>
      <c r="B25" s="152"/>
      <c r="C25" s="181">
        <v>3438</v>
      </c>
      <c r="D25" s="181">
        <v>34120.53</v>
      </c>
      <c r="E25" s="183">
        <v>-10512</v>
      </c>
      <c r="F25" s="183">
        <v>13419</v>
      </c>
      <c r="G25" s="174">
        <f t="shared" ref="G25:G33" si="7">SUM(D25:F25)</f>
        <v>37027.53</v>
      </c>
      <c r="H25" s="174">
        <f t="shared" ref="H25:H30" si="8">-J63</f>
        <v>3244.2551200000003</v>
      </c>
      <c r="I25" s="174">
        <f t="shared" ref="I25:I34" si="9">SUM(G25:H25)</f>
        <v>40271.78512</v>
      </c>
      <c r="M25" s="1" t="s">
        <v>243</v>
      </c>
      <c r="O25" s="368">
        <v>800.02</v>
      </c>
      <c r="P25" s="345">
        <f t="shared" si="4"/>
        <v>378573.196</v>
      </c>
      <c r="Q25" s="345">
        <f t="shared" si="5"/>
        <v>239561</v>
      </c>
      <c r="R25" s="346">
        <v>-1.16E-3</v>
      </c>
      <c r="S25" s="347">
        <f>Q25*R25</f>
        <v>-277.89076</v>
      </c>
      <c r="T25" s="345">
        <f t="shared" si="6"/>
        <v>-160938</v>
      </c>
      <c r="U25" s="346">
        <v>4.45E-3</v>
      </c>
      <c r="V25" s="348">
        <f t="shared" ref="V25:V32" si="10">T25*U25</f>
        <v>-716.17409999999995</v>
      </c>
      <c r="X25" s="349">
        <f t="shared" ref="X25:X32" si="11">O25+S25+V25</f>
        <v>-194.04485999999997</v>
      </c>
      <c r="Z25" s="350">
        <f t="shared" ref="Z25:Z32" si="12">P25+Q25+T25</f>
        <v>457196.196</v>
      </c>
      <c r="AA25" s="194">
        <f t="shared" ref="AA25:AA32" si="13">R25</f>
        <v>-1.16E-3</v>
      </c>
      <c r="AB25" s="283">
        <f t="shared" ref="AB25:AB32" si="14">Z25*AA25</f>
        <v>-530.34758736000003</v>
      </c>
      <c r="AC25" s="349">
        <f t="shared" ref="AC25:AC32" si="15">X25-AB25</f>
        <v>336.30272736000006</v>
      </c>
      <c r="AD25" s="350">
        <f t="shared" ref="AD25:AD32" si="16">AC25/U25</f>
        <v>75573.646597752828</v>
      </c>
      <c r="AE25" s="351">
        <f t="shared" ref="AE25:AE33" si="17">AC25/X25</f>
        <v>-1.7331184518878784</v>
      </c>
    </row>
    <row r="26" spans="1:31">
      <c r="A26" s="180" t="s">
        <v>132</v>
      </c>
      <c r="B26" s="152"/>
      <c r="C26" s="181">
        <v>461584.7</v>
      </c>
      <c r="D26" s="181">
        <v>5187889.26</v>
      </c>
      <c r="E26" s="183">
        <v>-2767968</v>
      </c>
      <c r="F26" s="183">
        <v>3239079</v>
      </c>
      <c r="G26" s="174">
        <f t="shared" si="7"/>
        <v>5659000.2599999998</v>
      </c>
      <c r="H26" s="174">
        <f t="shared" si="8"/>
        <v>-28872.481960000001</v>
      </c>
      <c r="I26" s="174">
        <f t="shared" si="9"/>
        <v>5630127.7780400002</v>
      </c>
      <c r="M26" s="1" t="s">
        <v>244</v>
      </c>
      <c r="O26" s="368">
        <v>19769.59</v>
      </c>
      <c r="P26" s="345">
        <f t="shared" si="4"/>
        <v>43172190.273999996</v>
      </c>
      <c r="Q26" s="345">
        <f t="shared" si="5"/>
        <v>27208344</v>
      </c>
      <c r="R26" s="352">
        <v>5.4000000000000001E-4</v>
      </c>
      <c r="S26" s="347">
        <f>Q26*R26</f>
        <v>14692.50576</v>
      </c>
      <c r="T26" s="345">
        <f t="shared" si="6"/>
        <v>-22887083</v>
      </c>
      <c r="U26" s="352">
        <v>4.0000000000000002E-4</v>
      </c>
      <c r="V26" s="348">
        <f t="shared" si="10"/>
        <v>-9154.8332000000009</v>
      </c>
      <c r="X26" s="349">
        <f t="shared" si="11"/>
        <v>25307.262559999996</v>
      </c>
      <c r="Z26" s="350">
        <f t="shared" si="12"/>
        <v>47493451.273999989</v>
      </c>
      <c r="AA26" s="353">
        <f t="shared" si="13"/>
        <v>5.4000000000000001E-4</v>
      </c>
      <c r="AB26" s="283">
        <f t="shared" si="14"/>
        <v>25646.463687959993</v>
      </c>
      <c r="AC26" s="349">
        <f t="shared" si="15"/>
        <v>-339.20112795999739</v>
      </c>
      <c r="AD26" s="350">
        <f t="shared" si="16"/>
        <v>-848002.81989999348</v>
      </c>
      <c r="AE26" s="351">
        <f t="shared" si="17"/>
        <v>-1.3403311683979994E-2</v>
      </c>
    </row>
    <row r="27" spans="1:31">
      <c r="A27" s="180" t="s">
        <v>133</v>
      </c>
      <c r="B27" s="152"/>
      <c r="C27" s="181">
        <v>193548.17</v>
      </c>
      <c r="D27" s="181">
        <v>699947.66</v>
      </c>
      <c r="E27" s="183">
        <v>-353185</v>
      </c>
      <c r="F27" s="183">
        <v>436496</v>
      </c>
      <c r="G27" s="174">
        <f t="shared" si="7"/>
        <v>783258.66</v>
      </c>
      <c r="H27" s="174">
        <f t="shared" si="8"/>
        <v>-4120.9267200000004</v>
      </c>
      <c r="I27" s="174">
        <f t="shared" si="9"/>
        <v>779137.73328000004</v>
      </c>
      <c r="M27" s="1" t="s">
        <v>245</v>
      </c>
      <c r="O27" s="368">
        <v>2109.23</v>
      </c>
      <c r="P27" s="345">
        <f t="shared" si="4"/>
        <v>4555444.733</v>
      </c>
      <c r="Q27" s="345">
        <f t="shared" si="5"/>
        <v>2882688</v>
      </c>
      <c r="R27" s="352">
        <v>5.4000000000000001E-4</v>
      </c>
      <c r="S27" s="347">
        <f t="shared" ref="S27:S32" si="18">Q27*R27</f>
        <v>1556.6515200000001</v>
      </c>
      <c r="T27" s="345">
        <f t="shared" si="6"/>
        <v>-2137728</v>
      </c>
      <c r="U27" s="352">
        <v>4.0000000000000002E-4</v>
      </c>
      <c r="V27" s="348">
        <f t="shared" si="10"/>
        <v>-855.09120000000007</v>
      </c>
      <c r="X27" s="349">
        <f t="shared" si="11"/>
        <v>2810.7903200000001</v>
      </c>
      <c r="Z27" s="350">
        <f t="shared" si="12"/>
        <v>5300404.733</v>
      </c>
      <c r="AA27" s="353">
        <f t="shared" si="13"/>
        <v>5.4000000000000001E-4</v>
      </c>
      <c r="AB27" s="283">
        <f t="shared" si="14"/>
        <v>2862.2185558199999</v>
      </c>
      <c r="AC27" s="349">
        <f t="shared" si="15"/>
        <v>-51.428235819999827</v>
      </c>
      <c r="AD27" s="350">
        <f t="shared" si="16"/>
        <v>-128570.58954999957</v>
      </c>
      <c r="AE27" s="351">
        <f t="shared" si="17"/>
        <v>-1.8296717280568912E-2</v>
      </c>
    </row>
    <row r="28" spans="1:31">
      <c r="A28" s="180" t="s">
        <v>134</v>
      </c>
      <c r="B28" s="152"/>
      <c r="C28" s="181">
        <v>909890.01</v>
      </c>
      <c r="D28" s="181">
        <v>9840542.4399999995</v>
      </c>
      <c r="E28" s="183">
        <v>-4942171</v>
      </c>
      <c r="F28" s="183">
        <v>5524843</v>
      </c>
      <c r="G28" s="174">
        <f t="shared" si="7"/>
        <v>10423214.439999999</v>
      </c>
      <c r="H28" s="174">
        <f t="shared" si="8"/>
        <v>-44559.609429999997</v>
      </c>
      <c r="I28" s="174">
        <f t="shared" si="9"/>
        <v>10378654.830569999</v>
      </c>
      <c r="M28" s="1" t="s">
        <v>246</v>
      </c>
      <c r="O28" s="368">
        <v>49213.03</v>
      </c>
      <c r="P28" s="345">
        <f t="shared" si="4"/>
        <v>106647354.88699999</v>
      </c>
      <c r="Q28" s="345">
        <f t="shared" si="5"/>
        <v>67185053</v>
      </c>
      <c r="R28" s="352">
        <v>5.4000000000000001E-4</v>
      </c>
      <c r="S28" s="347">
        <f t="shared" si="18"/>
        <v>36279.928619999999</v>
      </c>
      <c r="T28" s="345">
        <f t="shared" si="6"/>
        <v>-59213692</v>
      </c>
      <c r="U28" s="352">
        <v>4.0000000000000002E-4</v>
      </c>
      <c r="V28" s="348">
        <f t="shared" si="10"/>
        <v>-23685.4768</v>
      </c>
      <c r="X28" s="349">
        <f t="shared" si="11"/>
        <v>61807.481819999986</v>
      </c>
      <c r="Z28" s="350">
        <f t="shared" si="12"/>
        <v>114618715.88699999</v>
      </c>
      <c r="AA28" s="353">
        <f t="shared" si="13"/>
        <v>5.4000000000000001E-4</v>
      </c>
      <c r="AB28" s="283">
        <f t="shared" si="14"/>
        <v>61894.106578979998</v>
      </c>
      <c r="AC28" s="349">
        <f t="shared" si="15"/>
        <v>-86.624758980011393</v>
      </c>
      <c r="AD28" s="350">
        <f t="shared" si="16"/>
        <v>-216561.89745002848</v>
      </c>
      <c r="AE28" s="351">
        <f t="shared" si="17"/>
        <v>-1.4015254533793497E-3</v>
      </c>
    </row>
    <row r="29" spans="1:31">
      <c r="A29" s="180" t="s">
        <v>135</v>
      </c>
      <c r="B29" s="152"/>
      <c r="C29" s="181">
        <v>23250</v>
      </c>
      <c r="D29" s="181">
        <v>219349.32</v>
      </c>
      <c r="E29" s="183">
        <v>-107570</v>
      </c>
      <c r="F29" s="183">
        <v>126415</v>
      </c>
      <c r="G29" s="174">
        <f t="shared" si="7"/>
        <v>238194.32</v>
      </c>
      <c r="H29" s="174">
        <f t="shared" si="8"/>
        <v>-1162.7897999999998</v>
      </c>
      <c r="I29" s="174">
        <f t="shared" si="9"/>
        <v>237031.53020000001</v>
      </c>
      <c r="M29" s="1" t="s">
        <v>247</v>
      </c>
      <c r="O29" s="368">
        <v>1082.69</v>
      </c>
      <c r="P29" s="345">
        <f t="shared" si="4"/>
        <v>2403932.56</v>
      </c>
      <c r="Q29" s="345">
        <f t="shared" si="5"/>
        <v>1521210</v>
      </c>
      <c r="R29" s="352">
        <v>5.4000000000000001E-4</v>
      </c>
      <c r="S29" s="347">
        <f t="shared" si="18"/>
        <v>821.45339999999999</v>
      </c>
      <c r="T29" s="345">
        <f t="shared" si="6"/>
        <v>-1257371</v>
      </c>
      <c r="U29" s="352">
        <v>4.0000000000000002E-4</v>
      </c>
      <c r="V29" s="348">
        <f t="shared" si="10"/>
        <v>-502.94840000000005</v>
      </c>
      <c r="X29" s="349">
        <f t="shared" si="11"/>
        <v>1401.1949999999999</v>
      </c>
      <c r="Z29" s="350">
        <f t="shared" si="12"/>
        <v>2667771.56</v>
      </c>
      <c r="AA29" s="353">
        <f t="shared" si="13"/>
        <v>5.4000000000000001E-4</v>
      </c>
      <c r="AB29" s="283">
        <f t="shared" si="14"/>
        <v>1440.5966424000001</v>
      </c>
      <c r="AC29" s="349">
        <f t="shared" si="15"/>
        <v>-39.401642400000128</v>
      </c>
      <c r="AD29" s="350">
        <f t="shared" si="16"/>
        <v>-98504.10600000032</v>
      </c>
      <c r="AE29" s="351">
        <f t="shared" si="17"/>
        <v>-2.8120027833385169E-2</v>
      </c>
    </row>
    <row r="30" spans="1:31">
      <c r="A30" s="180" t="s">
        <v>136</v>
      </c>
      <c r="B30" s="152"/>
      <c r="C30" s="181">
        <v>552000</v>
      </c>
      <c r="D30" s="181">
        <f>5733822.69-82194.14</f>
        <v>5651628.5500000007</v>
      </c>
      <c r="E30" s="183">
        <v>-6000627</v>
      </c>
      <c r="F30" s="183">
        <v>5557424</v>
      </c>
      <c r="G30" s="174">
        <f t="shared" si="7"/>
        <v>5208425.5500000007</v>
      </c>
      <c r="H30" s="174">
        <f t="shared" si="8"/>
        <v>18375.828099999999</v>
      </c>
      <c r="I30" s="174">
        <f t="shared" si="9"/>
        <v>5226801.3781000003</v>
      </c>
      <c r="J30" s="283"/>
      <c r="M30" s="1" t="s">
        <v>248</v>
      </c>
      <c r="O30" s="368">
        <v>221.04</v>
      </c>
      <c r="P30" s="345">
        <f>E11</f>
        <v>485646.72399999999</v>
      </c>
      <c r="Q30" s="345">
        <f>G11</f>
        <v>0</v>
      </c>
      <c r="R30" s="352">
        <v>5.4000000000000001E-4</v>
      </c>
      <c r="S30" s="347">
        <f t="shared" si="18"/>
        <v>0</v>
      </c>
      <c r="T30" s="345">
        <f>F11</f>
        <v>0</v>
      </c>
      <c r="U30" s="352">
        <v>4.0000000000000002E-4</v>
      </c>
      <c r="V30" s="348">
        <f t="shared" si="10"/>
        <v>0</v>
      </c>
      <c r="X30" s="349">
        <f t="shared" si="11"/>
        <v>221.04</v>
      </c>
      <c r="Z30" s="350">
        <f t="shared" si="12"/>
        <v>485646.72399999999</v>
      </c>
      <c r="AA30" s="353">
        <f t="shared" si="13"/>
        <v>5.4000000000000001E-4</v>
      </c>
      <c r="AB30" s="283">
        <f t="shared" si="14"/>
        <v>262.24923095999998</v>
      </c>
      <c r="AC30" s="349">
        <f t="shared" si="15"/>
        <v>-41.209230959999985</v>
      </c>
      <c r="AD30" s="350">
        <f t="shared" si="16"/>
        <v>-103023.07739999995</v>
      </c>
      <c r="AE30" s="351">
        <f t="shared" si="17"/>
        <v>-0.18643336482084685</v>
      </c>
    </row>
    <row r="31" spans="1:31">
      <c r="A31" s="180" t="s">
        <v>180</v>
      </c>
      <c r="B31" s="152"/>
      <c r="C31" s="181">
        <v>1020</v>
      </c>
      <c r="D31" s="181">
        <v>34704.410000000003</v>
      </c>
      <c r="E31" s="183">
        <v>0</v>
      </c>
      <c r="F31" s="183">
        <v>0</v>
      </c>
      <c r="G31" s="174">
        <f t="shared" si="7"/>
        <v>34704.410000000003</v>
      </c>
      <c r="H31" s="174">
        <f>-J70</f>
        <v>0</v>
      </c>
      <c r="I31" s="174">
        <f t="shared" si="9"/>
        <v>34704.410000000003</v>
      </c>
      <c r="M31" s="1" t="s">
        <v>249</v>
      </c>
      <c r="O31" s="368">
        <v>2390.23</v>
      </c>
      <c r="P31" s="345">
        <f>E12</f>
        <v>5515307.4369999999</v>
      </c>
      <c r="Q31" s="345">
        <f>G12</f>
        <v>3070656</v>
      </c>
      <c r="R31" s="352">
        <v>5.4000000000000001E-4</v>
      </c>
      <c r="S31" s="347">
        <f t="shared" si="18"/>
        <v>1658.1542400000001</v>
      </c>
      <c r="T31" s="345">
        <f>F12</f>
        <v>-4288578</v>
      </c>
      <c r="U31" s="352">
        <v>4.0000000000000002E-4</v>
      </c>
      <c r="V31" s="348">
        <f t="shared" si="10"/>
        <v>-1715.4312</v>
      </c>
      <c r="X31" s="349">
        <f>O31+S31+V31</f>
        <v>2332.9530400000003</v>
      </c>
      <c r="Z31" s="350">
        <f t="shared" si="12"/>
        <v>4297385.436999999</v>
      </c>
      <c r="AA31" s="353">
        <f t="shared" si="13"/>
        <v>5.4000000000000001E-4</v>
      </c>
      <c r="AB31" s="283">
        <f t="shared" si="14"/>
        <v>2320.5881359799996</v>
      </c>
      <c r="AC31" s="349">
        <f t="shared" si="15"/>
        <v>12.364904020000722</v>
      </c>
      <c r="AD31" s="350">
        <f t="shared" si="16"/>
        <v>30912.260050001805</v>
      </c>
      <c r="AE31" s="351">
        <f t="shared" si="17"/>
        <v>5.3001084068116178E-3</v>
      </c>
    </row>
    <row r="32" spans="1:31">
      <c r="A32" s="180" t="s">
        <v>137</v>
      </c>
      <c r="B32" s="152"/>
      <c r="C32" s="181">
        <v>28886.91</v>
      </c>
      <c r="D32" s="181">
        <v>487822.51</v>
      </c>
      <c r="E32" s="183">
        <v>-263201</v>
      </c>
      <c r="F32" s="183">
        <v>189294</v>
      </c>
      <c r="G32" s="174">
        <f t="shared" si="7"/>
        <v>413915.51</v>
      </c>
      <c r="H32" s="174">
        <f>-J71</f>
        <v>4575.7675799999988</v>
      </c>
      <c r="I32" s="174">
        <f t="shared" si="9"/>
        <v>418491.27757999999</v>
      </c>
      <c r="M32" s="1" t="s">
        <v>250</v>
      </c>
      <c r="O32" s="368">
        <v>129.55000000000001</v>
      </c>
      <c r="P32" s="345">
        <f>E13</f>
        <v>281631.11300000001</v>
      </c>
      <c r="Q32" s="345">
        <f>G13</f>
        <v>139136</v>
      </c>
      <c r="R32" s="352">
        <v>5.4000000000000001E-4</v>
      </c>
      <c r="S32" s="347">
        <f t="shared" si="18"/>
        <v>75.133440000000007</v>
      </c>
      <c r="T32" s="345">
        <f>F13</f>
        <v>-231486</v>
      </c>
      <c r="U32" s="352">
        <v>4.0000000000000002E-4</v>
      </c>
      <c r="V32" s="348">
        <f t="shared" si="10"/>
        <v>-92.594400000000007</v>
      </c>
      <c r="X32" s="349">
        <f t="shared" si="11"/>
        <v>112.08904000000001</v>
      </c>
      <c r="Z32" s="350">
        <f t="shared" si="12"/>
        <v>189281.11300000001</v>
      </c>
      <c r="AA32" s="353">
        <f t="shared" si="13"/>
        <v>5.4000000000000001E-4</v>
      </c>
      <c r="AB32" s="283">
        <f t="shared" si="14"/>
        <v>102.21180102000001</v>
      </c>
      <c r="AC32" s="349">
        <f t="shared" si="15"/>
        <v>9.8772389800000013</v>
      </c>
      <c r="AD32" s="350">
        <f t="shared" si="16"/>
        <v>24693.097450000001</v>
      </c>
      <c r="AE32" s="351">
        <f t="shared" si="17"/>
        <v>8.8119578684945465E-2</v>
      </c>
    </row>
    <row r="33" spans="1:31">
      <c r="A33" s="180" t="s">
        <v>138</v>
      </c>
      <c r="B33" s="152"/>
      <c r="C33" s="181">
        <v>25296.68</v>
      </c>
      <c r="D33" s="181">
        <v>50213.97</v>
      </c>
      <c r="E33" s="183">
        <v>-32250</v>
      </c>
      <c r="F33" s="183">
        <v>24735</v>
      </c>
      <c r="G33" s="174">
        <f t="shared" si="7"/>
        <v>42698.97</v>
      </c>
      <c r="H33" s="174">
        <f>-J72</f>
        <v>285.27595999999994</v>
      </c>
      <c r="I33" s="174">
        <f t="shared" si="9"/>
        <v>42984.24596</v>
      </c>
      <c r="O33" s="193">
        <f>SUM(O24:O32)</f>
        <v>448212.44</v>
      </c>
      <c r="P33" s="354">
        <f>SUM(P24:P32)</f>
        <v>344276739.19599992</v>
      </c>
      <c r="Q33" s="354">
        <f>SUM(Q24:Q32)</f>
        <v>216677080</v>
      </c>
      <c r="S33" s="193">
        <f>SUM(S24:S32)</f>
        <v>-77933.364899999986</v>
      </c>
      <c r="T33" s="354">
        <f>SUM(T24:T32)</f>
        <v>-172340848</v>
      </c>
      <c r="V33" s="193">
        <f>SUM(V24:V32)</f>
        <v>-402352.22470000002</v>
      </c>
      <c r="X33" s="193">
        <f>SUM(X24:X32)</f>
        <v>-32073.149600000004</v>
      </c>
      <c r="Z33" s="354">
        <f>SUM(Z24:Z32)</f>
        <v>388612971.19599992</v>
      </c>
      <c r="AB33" s="354">
        <f>SUM(AB24:AB32)</f>
        <v>-153201.53014976004</v>
      </c>
      <c r="AC33" s="193">
        <f>SUM(AC24:AC32)</f>
        <v>121128.38054976001</v>
      </c>
      <c r="AD33" s="354">
        <f>SUM(AD24:AD32)</f>
        <v>26001168.350993246</v>
      </c>
      <c r="AE33" s="351">
        <f t="shared" si="17"/>
        <v>-3.7766288019858205</v>
      </c>
    </row>
    <row r="34" spans="1:31">
      <c r="A34" s="180" t="s">
        <v>192</v>
      </c>
      <c r="B34" s="152"/>
      <c r="C34" s="174"/>
      <c r="D34" s="181">
        <v>557931.68000000005</v>
      </c>
      <c r="E34" s="181"/>
      <c r="F34" s="181"/>
      <c r="G34" s="174">
        <f>SUM(D34:F34)</f>
        <v>557931.68000000005</v>
      </c>
      <c r="H34" s="174"/>
      <c r="I34" s="174">
        <f t="shared" si="9"/>
        <v>557931.68000000005</v>
      </c>
      <c r="U34" s="355"/>
    </row>
    <row r="35" spans="1:31">
      <c r="A35" s="180" t="s">
        <v>193</v>
      </c>
      <c r="B35" s="152"/>
      <c r="C35" s="194"/>
      <c r="D35" s="181">
        <v>1912260.12</v>
      </c>
      <c r="E35" s="181"/>
      <c r="F35" s="181"/>
      <c r="G35" s="174"/>
      <c r="H35" s="174"/>
      <c r="I35" s="174"/>
      <c r="U35" s="355" t="s">
        <v>388</v>
      </c>
      <c r="V35" s="1" t="s">
        <v>252</v>
      </c>
      <c r="X35" s="194">
        <v>0.95444899999999999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1512847.06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-120323.53077317961</v>
      </c>
      <c r="Z36" s="1" t="s">
        <v>19</v>
      </c>
      <c r="AA36" s="189">
        <f>P24+P25+Q24+Q25+T24+T25</f>
        <v>213560314.46800005</v>
      </c>
      <c r="AB36" s="194">
        <v>-1.1100000000000001E-3</v>
      </c>
      <c r="AC36" s="349">
        <f>AA36*AB36</f>
        <v>-237051.94905948007</v>
      </c>
      <c r="AD36" s="349">
        <f>X36-AC36</f>
        <v>116728.41828630047</v>
      </c>
      <c r="AE36" s="351">
        <f>AD36/X36</f>
        <v>-0.97012128497412331</v>
      </c>
    </row>
    <row r="37" spans="1:31">
      <c r="A37" s="152"/>
      <c r="B37" s="152"/>
      <c r="C37" s="166">
        <f t="shared" ref="C37:I37" si="19">SUM(C24:C36)</f>
        <v>4187976.97</v>
      </c>
      <c r="D37" s="166">
        <f t="shared" si="19"/>
        <v>42610580.54999999</v>
      </c>
      <c r="E37" s="166">
        <f t="shared" si="19"/>
        <v>-22510273</v>
      </c>
      <c r="F37" s="166">
        <f t="shared" si="19"/>
        <v>25313559</v>
      </c>
      <c r="G37" s="166">
        <f t="shared" si="19"/>
        <v>41988759.36999999</v>
      </c>
      <c r="H37" s="166">
        <f t="shared" si="19"/>
        <v>352238.89676999993</v>
      </c>
      <c r="I37" s="166">
        <f t="shared" si="19"/>
        <v>42340998.26676999</v>
      </c>
      <c r="T37" s="1" t="s">
        <v>142</v>
      </c>
      <c r="U37" s="1" t="s">
        <v>257</v>
      </c>
      <c r="X37" s="356">
        <f>SUM(X26:X32)*X35</f>
        <v>89711.34521060923</v>
      </c>
      <c r="Z37" s="1" t="s">
        <v>184</v>
      </c>
      <c r="AA37" s="189">
        <f>SUM(P26:Q32,T26:T32)</f>
        <v>175052656.72800002</v>
      </c>
      <c r="AB37" s="194">
        <v>5.1999999999999995E-4</v>
      </c>
      <c r="AC37" s="349">
        <f>AA37*AB37</f>
        <v>91027.381498560004</v>
      </c>
      <c r="AD37" s="349">
        <f>X37-AC37</f>
        <v>-1316.0362879507738</v>
      </c>
      <c r="AE37" s="351">
        <f>AD37/X37</f>
        <v>-1.4669675110335319E-2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0">C24+C25</f>
        <v>1992500.5</v>
      </c>
      <c r="D39" s="168">
        <f t="shared" si="20"/>
        <v>16455443.569999998</v>
      </c>
      <c r="E39" s="168">
        <f t="shared" si="20"/>
        <v>-8043301</v>
      </c>
      <c r="F39" s="168">
        <f t="shared" si="20"/>
        <v>10215273</v>
      </c>
      <c r="G39" s="168">
        <f t="shared" si="20"/>
        <v>18627415.57</v>
      </c>
      <c r="H39" s="168">
        <f t="shared" si="20"/>
        <v>407717.83304</v>
      </c>
      <c r="I39" s="169">
        <f t="shared" si="20"/>
        <v>19035133.403039999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1643476.4699999997</v>
      </c>
      <c r="D41" s="176">
        <f t="shared" ref="D41:I41" si="21">SUM(D26:D29,D31:D33)</f>
        <v>16520469.57</v>
      </c>
      <c r="E41" s="176">
        <f t="shared" si="21"/>
        <v>-8466345</v>
      </c>
      <c r="F41" s="176">
        <f t="shared" si="21"/>
        <v>9540862</v>
      </c>
      <c r="G41" s="176">
        <f t="shared" si="21"/>
        <v>17594986.57</v>
      </c>
      <c r="H41" s="176">
        <f t="shared" si="21"/>
        <v>-73854.764370000004</v>
      </c>
      <c r="I41" s="175">
        <f t="shared" si="21"/>
        <v>17521131.805630002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2">
        <v>43040</v>
      </c>
      <c r="D43" s="192">
        <v>43252</v>
      </c>
      <c r="E43" s="374">
        <v>43040</v>
      </c>
      <c r="F43" s="374">
        <v>43405</v>
      </c>
      <c r="G43" s="192">
        <v>42278</v>
      </c>
      <c r="H43" s="192">
        <v>43344</v>
      </c>
      <c r="I43" s="192">
        <v>43374</v>
      </c>
      <c r="J43" s="192">
        <v>43282</v>
      </c>
      <c r="K43" s="375"/>
      <c r="L43" s="196"/>
      <c r="M43" s="1" t="s">
        <v>377</v>
      </c>
    </row>
    <row r="44" spans="1:31" ht="40.950000000000003" customHeight="1">
      <c r="A44" s="179" t="s">
        <v>195</v>
      </c>
      <c r="B44" s="154"/>
      <c r="C44" s="165" t="s">
        <v>196</v>
      </c>
      <c r="D44" s="165" t="s">
        <v>312</v>
      </c>
      <c r="E44" s="373" t="s">
        <v>213</v>
      </c>
      <c r="F44" s="373" t="s">
        <v>213</v>
      </c>
      <c r="G44" s="165" t="s">
        <v>197</v>
      </c>
      <c r="H44" s="165" t="s">
        <v>198</v>
      </c>
      <c r="I44" s="165" t="s">
        <v>199</v>
      </c>
      <c r="J44" s="165" t="s">
        <v>201</v>
      </c>
      <c r="K44" s="372"/>
      <c r="M44" s="211" t="s">
        <v>385</v>
      </c>
      <c r="N44" s="357" t="s">
        <v>386</v>
      </c>
      <c r="O44" s="344" t="s">
        <v>382</v>
      </c>
      <c r="P44" s="344" t="s">
        <v>383</v>
      </c>
      <c r="Q44" s="344" t="s">
        <v>384</v>
      </c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>
        <v>-1.16E-3</v>
      </c>
      <c r="G45" s="171"/>
      <c r="H45" s="171">
        <v>4.3299999999999996E-3</v>
      </c>
      <c r="I45" s="171">
        <v>1.15E-3</v>
      </c>
      <c r="J45" s="171">
        <v>-3.4000000000000002E-4</v>
      </c>
      <c r="K45" s="171"/>
      <c r="M45" s="171">
        <f>SUM(C45:E45,G45:J45)</f>
        <v>7.3599999999999994E-3</v>
      </c>
      <c r="N45" s="376">
        <f>SUM(C45:D45,F45:J45)</f>
        <v>1.7499999999999994E-3</v>
      </c>
      <c r="O45" s="348">
        <f>-F3*M45</f>
        <v>604726.83392</v>
      </c>
      <c r="P45" s="348">
        <f>G3*N45</f>
        <v>200253.25599999994</v>
      </c>
      <c r="Q45" s="349">
        <f>P45-O45</f>
        <v>-404473.57792000007</v>
      </c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-1.16E-3</v>
      </c>
      <c r="G46" s="171">
        <v>-3.1530000000000002E-2</v>
      </c>
      <c r="H46" s="171">
        <v>4.3299999999999996E-3</v>
      </c>
      <c r="I46" s="171">
        <v>1.15E-3</v>
      </c>
      <c r="J46" s="171">
        <v>-3.4000000000000002E-4</v>
      </c>
      <c r="K46" s="171"/>
      <c r="M46" s="171">
        <f t="shared" ref="M46:M57" si="22">SUM(C46:E46,G46:J46)</f>
        <v>-2.4170000000000004E-2</v>
      </c>
      <c r="N46" s="376">
        <f t="shared" ref="N46:N57" si="23">SUM(C46:D46,F46:J46)</f>
        <v>-2.9780000000000001E-2</v>
      </c>
      <c r="O46" s="348">
        <f t="shared" ref="O46:O57" si="24">-F4*M46</f>
        <v>-3889.8714600000008</v>
      </c>
      <c r="P46" s="348">
        <f t="shared" ref="P46:P57" si="25">G4*N46</f>
        <v>-7134.1265800000001</v>
      </c>
      <c r="Q46" s="349">
        <f t="shared" ref="Q46:Q57" si="26">P46-O46</f>
        <v>-3244.2551199999994</v>
      </c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>
        <v>5.4000000000000001E-4</v>
      </c>
      <c r="G47" s="171"/>
      <c r="H47" s="171">
        <v>5.9699999999999996E-3</v>
      </c>
      <c r="I47" s="171">
        <v>1.67E-3</v>
      </c>
      <c r="J47" s="171">
        <v>-3.6000000000000002E-4</v>
      </c>
      <c r="K47" s="171"/>
      <c r="M47" s="171">
        <f t="shared" si="22"/>
        <v>5.7999999999999987E-3</v>
      </c>
      <c r="N47" s="376">
        <f t="shared" si="23"/>
        <v>5.94E-3</v>
      </c>
      <c r="O47" s="348">
        <f t="shared" si="24"/>
        <v>132745.08139999997</v>
      </c>
      <c r="P47" s="348">
        <f t="shared" si="25"/>
        <v>161617.56336</v>
      </c>
      <c r="Q47" s="349">
        <f t="shared" si="26"/>
        <v>28872.481960000034</v>
      </c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>
        <v>5.4000000000000001E-4</v>
      </c>
      <c r="G48" s="171"/>
      <c r="H48" s="171">
        <v>5.9699999999999996E-3</v>
      </c>
      <c r="I48" s="171">
        <v>1.67E-3</v>
      </c>
      <c r="J48" s="171">
        <v>-3.6000000000000002E-4</v>
      </c>
      <c r="K48" s="171"/>
      <c r="M48" s="171">
        <f t="shared" si="22"/>
        <v>4.9900000000000005E-3</v>
      </c>
      <c r="N48" s="376">
        <f t="shared" si="23"/>
        <v>5.13E-3</v>
      </c>
      <c r="O48" s="348">
        <f t="shared" si="24"/>
        <v>10667.262720000001</v>
      </c>
      <c r="P48" s="348">
        <f t="shared" si="25"/>
        <v>14788.18944</v>
      </c>
      <c r="Q48" s="349">
        <f t="shared" si="26"/>
        <v>4120.9267199999995</v>
      </c>
    </row>
    <row r="49" spans="1:17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>
        <v>5.4000000000000001E-4</v>
      </c>
      <c r="G49" s="171"/>
      <c r="H49" s="171">
        <v>4.5999999999999999E-3</v>
      </c>
      <c r="I49" s="171">
        <v>1.2099999999999999E-3</v>
      </c>
      <c r="J49" s="171">
        <v>-3.6000000000000002E-4</v>
      </c>
      <c r="K49" s="171"/>
      <c r="M49" s="171">
        <f t="shared" si="22"/>
        <v>4.4099999999999999E-3</v>
      </c>
      <c r="N49" s="376">
        <f t="shared" si="23"/>
        <v>4.5499999999999994E-3</v>
      </c>
      <c r="O49" s="348">
        <f t="shared" si="24"/>
        <v>261132.38172</v>
      </c>
      <c r="P49" s="348">
        <f t="shared" si="25"/>
        <v>305691.99114999996</v>
      </c>
      <c r="Q49" s="349">
        <f t="shared" si="26"/>
        <v>44559.609429999953</v>
      </c>
    </row>
    <row r="50" spans="1:17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>
        <v>5.4000000000000001E-4</v>
      </c>
      <c r="G50" s="171"/>
      <c r="H50" s="171">
        <v>4.5999999999999999E-3</v>
      </c>
      <c r="I50" s="171">
        <v>1.2099999999999999E-3</v>
      </c>
      <c r="J50" s="171">
        <v>-3.6000000000000002E-4</v>
      </c>
      <c r="K50" s="171"/>
      <c r="M50" s="171">
        <f t="shared" si="22"/>
        <v>3.5999999999999999E-3</v>
      </c>
      <c r="N50" s="376">
        <f t="shared" si="23"/>
        <v>3.7399999999999994E-3</v>
      </c>
      <c r="O50" s="348">
        <f t="shared" si="24"/>
        <v>4526.5356000000002</v>
      </c>
      <c r="P50" s="348">
        <f t="shared" si="25"/>
        <v>5689.3253999999988</v>
      </c>
      <c r="Q50" s="349">
        <f t="shared" si="26"/>
        <v>1162.7897999999986</v>
      </c>
    </row>
    <row r="51" spans="1:17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>
        <v>0</v>
      </c>
      <c r="G51" s="171"/>
      <c r="H51" s="171">
        <v>2.97E-3</v>
      </c>
      <c r="I51" s="171">
        <v>7.6000000000000004E-4</v>
      </c>
      <c r="J51" s="171">
        <v>-3.5E-4</v>
      </c>
      <c r="K51" s="171"/>
      <c r="M51" s="171">
        <f t="shared" si="22"/>
        <v>2.4500000000000004E-3</v>
      </c>
      <c r="N51" s="376">
        <f t="shared" si="23"/>
        <v>2.4500000000000004E-3</v>
      </c>
      <c r="O51" s="348">
        <f t="shared" si="24"/>
        <v>147739.76035000003</v>
      </c>
      <c r="P51" s="348">
        <f t="shared" si="25"/>
        <v>129363.93225000001</v>
      </c>
      <c r="Q51" s="349">
        <f t="shared" si="26"/>
        <v>-18375.828100000013</v>
      </c>
    </row>
    <row r="52" spans="1:17">
      <c r="A52" s="180" t="s">
        <v>179</v>
      </c>
      <c r="B52" s="152"/>
      <c r="C52" s="171">
        <v>0</v>
      </c>
      <c r="D52" s="171">
        <v>-9.3000000000000005E-4</v>
      </c>
      <c r="E52" s="171">
        <v>0</v>
      </c>
      <c r="F52" s="171">
        <v>0</v>
      </c>
      <c r="G52" s="171"/>
      <c r="H52" s="171">
        <v>2.97E-3</v>
      </c>
      <c r="I52" s="171">
        <v>0</v>
      </c>
      <c r="J52" s="171">
        <v>-3.5E-4</v>
      </c>
      <c r="K52" s="171"/>
      <c r="M52" s="171">
        <f t="shared" si="22"/>
        <v>1.6900000000000001E-3</v>
      </c>
      <c r="N52" s="376">
        <f t="shared" si="23"/>
        <v>1.6900000000000001E-3</v>
      </c>
      <c r="O52" s="348">
        <f t="shared" si="24"/>
        <v>59150</v>
      </c>
      <c r="P52" s="348">
        <f t="shared" si="25"/>
        <v>59150</v>
      </c>
      <c r="Q52" s="349">
        <f t="shared" si="26"/>
        <v>0</v>
      </c>
    </row>
    <row r="53" spans="1:17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>
        <v>5.4000000000000001E-4</v>
      </c>
      <c r="G53" s="171"/>
      <c r="H53" s="171">
        <v>4.3299999999999996E-3</v>
      </c>
      <c r="I53" s="171">
        <v>1.0499999999999999E-3</v>
      </c>
      <c r="J53" s="171">
        <v>-3.6999999999999999E-4</v>
      </c>
      <c r="K53" s="171"/>
      <c r="M53" s="171">
        <f t="shared" si="22"/>
        <v>4.1099999999999999E-3</v>
      </c>
      <c r="N53" s="376">
        <f t="shared" si="23"/>
        <v>4.2500000000000003E-3</v>
      </c>
      <c r="O53" s="348">
        <f t="shared" si="24"/>
        <v>0</v>
      </c>
      <c r="P53" s="348">
        <f t="shared" si="25"/>
        <v>0</v>
      </c>
      <c r="Q53" s="349">
        <f t="shared" si="26"/>
        <v>0</v>
      </c>
    </row>
    <row r="54" spans="1:17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>
        <v>5.4000000000000001E-4</v>
      </c>
      <c r="G54" s="171"/>
      <c r="H54" s="171">
        <v>4.3299999999999996E-3</v>
      </c>
      <c r="I54" s="171">
        <v>1.0499999999999999E-3</v>
      </c>
      <c r="J54" s="171">
        <v>-3.6999999999999999E-4</v>
      </c>
      <c r="K54" s="171"/>
      <c r="M54" s="171">
        <f t="shared" si="22"/>
        <v>4.1099999999999999E-3</v>
      </c>
      <c r="N54" s="376">
        <f t="shared" si="23"/>
        <v>4.2500000000000003E-3</v>
      </c>
      <c r="O54" s="348">
        <f t="shared" si="24"/>
        <v>17626.05558</v>
      </c>
      <c r="P54" s="348">
        <f t="shared" si="25"/>
        <v>13050.288</v>
      </c>
      <c r="Q54" s="349">
        <f t="shared" si="26"/>
        <v>-4575.7675799999997</v>
      </c>
    </row>
    <row r="55" spans="1:17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>
        <v>5.4000000000000001E-4</v>
      </c>
      <c r="G55" s="171"/>
      <c r="H55" s="171">
        <v>4.3299999999999996E-3</v>
      </c>
      <c r="I55" s="171">
        <v>1.0499999999999999E-3</v>
      </c>
      <c r="J55" s="171">
        <v>-3.6999999999999999E-4</v>
      </c>
      <c r="K55" s="171"/>
      <c r="M55" s="171">
        <f t="shared" si="22"/>
        <v>3.2999999999999995E-3</v>
      </c>
      <c r="N55" s="376">
        <f t="shared" si="23"/>
        <v>3.4399999999999999E-3</v>
      </c>
      <c r="O55" s="348">
        <f t="shared" si="24"/>
        <v>763.90379999999993</v>
      </c>
      <c r="P55" s="348">
        <f t="shared" si="25"/>
        <v>478.62783999999999</v>
      </c>
      <c r="Q55" s="349">
        <f t="shared" si="26"/>
        <v>-285.27595999999994</v>
      </c>
    </row>
    <row r="56" spans="1:17" ht="15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>
        <v>0</v>
      </c>
      <c r="G56" s="171"/>
      <c r="H56" s="186">
        <v>1.013E-2</v>
      </c>
      <c r="I56" s="401" t="s">
        <v>375</v>
      </c>
      <c r="J56" s="186">
        <v>-4.8000000000000001E-4</v>
      </c>
      <c r="K56" s="186"/>
      <c r="M56" s="171">
        <f t="shared" si="22"/>
        <v>9.6500000000000006E-3</v>
      </c>
      <c r="N56" s="376">
        <f t="shared" si="23"/>
        <v>9.6500000000000006E-3</v>
      </c>
      <c r="O56" s="348">
        <f t="shared" si="24"/>
        <v>0</v>
      </c>
      <c r="P56" s="348">
        <f t="shared" si="25"/>
        <v>0</v>
      </c>
      <c r="Q56" s="349">
        <f t="shared" si="26"/>
        <v>0</v>
      </c>
    </row>
    <row r="57" spans="1:17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>
        <v>0</v>
      </c>
      <c r="G57" s="171"/>
      <c r="H57" s="186">
        <v>1.013E-2</v>
      </c>
      <c r="I57" s="401"/>
      <c r="J57" s="186">
        <v>-4.8000000000000001E-4</v>
      </c>
      <c r="K57" s="186"/>
      <c r="M57" s="171">
        <f t="shared" si="22"/>
        <v>8.8400000000000006E-3</v>
      </c>
      <c r="N57" s="376">
        <f t="shared" si="23"/>
        <v>8.8400000000000006E-3</v>
      </c>
      <c r="O57" s="348">
        <f t="shared" si="24"/>
        <v>0</v>
      </c>
      <c r="P57" s="348">
        <f t="shared" si="25"/>
        <v>0</v>
      </c>
      <c r="Q57" s="349">
        <f t="shared" si="26"/>
        <v>0</v>
      </c>
    </row>
    <row r="58" spans="1:17">
      <c r="A58" s="180"/>
      <c r="B58" s="152"/>
      <c r="C58" s="171"/>
      <c r="D58" s="171"/>
      <c r="E58" s="171"/>
      <c r="F58" s="171"/>
      <c r="G58" s="186"/>
      <c r="H58" s="371"/>
      <c r="I58" s="171"/>
      <c r="J58" s="186"/>
      <c r="K58" s="171"/>
      <c r="L58" s="212"/>
      <c r="M58" s="369"/>
      <c r="N58" s="194"/>
      <c r="O58" s="193">
        <f>SUM(O45:O57)</f>
        <v>1235187.9436299996</v>
      </c>
      <c r="P58" s="193">
        <f t="shared" ref="P58:Q58" si="27">SUM(P45:P57)</f>
        <v>882949.04685999989</v>
      </c>
      <c r="Q58" s="193">
        <f t="shared" si="27"/>
        <v>-352238.89677000011</v>
      </c>
    </row>
    <row r="59" spans="1:17" hidden="1">
      <c r="A59" s="180"/>
      <c r="B59" s="152"/>
      <c r="C59" s="171"/>
      <c r="D59" s="171"/>
      <c r="E59" s="171"/>
      <c r="F59" s="171"/>
      <c r="G59" s="186"/>
      <c r="H59" s="371"/>
      <c r="I59" s="171"/>
      <c r="J59" s="186"/>
      <c r="K59" s="171"/>
      <c r="L59" s="212"/>
      <c r="M59" s="335"/>
      <c r="N59" s="194"/>
    </row>
    <row r="60" spans="1:17" hidden="1">
      <c r="F60" s="152"/>
      <c r="M60" s="335"/>
      <c r="N60" s="335"/>
    </row>
    <row r="61" spans="1:17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207</v>
      </c>
      <c r="J61" s="172" t="s">
        <v>208</v>
      </c>
      <c r="M61" s="168"/>
    </row>
    <row r="62" spans="1:17">
      <c r="A62" s="180" t="s">
        <v>131</v>
      </c>
      <c r="C62" s="168">
        <f t="shared" ref="C62:D67" si="28">C45*$H3</f>
        <v>-26135.832599999998</v>
      </c>
      <c r="D62" s="168">
        <f t="shared" si="28"/>
        <v>-45818.373200000002</v>
      </c>
      <c r="E62" s="168">
        <f>E45*F3+F45*G3</f>
        <v>-498368.97652000003</v>
      </c>
      <c r="F62" s="168">
        <f t="shared" ref="F62:F72" si="29">$H3*G45</f>
        <v>0</v>
      </c>
      <c r="G62" s="168">
        <f t="shared" ref="G62:G72" si="30">(H3*H45)</f>
        <v>139713.77179999999</v>
      </c>
      <c r="H62" s="168">
        <f t="shared" ref="H62:H72" si="31">(I45*H3)</f>
        <v>37106.428999999996</v>
      </c>
      <c r="I62" s="168">
        <f t="shared" ref="I62:I72" si="32">J45*H3</f>
        <v>-10970.5964</v>
      </c>
      <c r="J62" s="168">
        <f t="shared" ref="J62:J68" si="33">SUM(C62:I62)</f>
        <v>-404473.57792000001</v>
      </c>
      <c r="M62" s="168"/>
    </row>
    <row r="63" spans="1:17">
      <c r="A63" s="180" t="s">
        <v>178</v>
      </c>
      <c r="C63" s="168">
        <f t="shared" si="28"/>
        <v>-63.684629999999999</v>
      </c>
      <c r="D63" s="168">
        <f t="shared" ref="D63" si="34">D46*$H4</f>
        <v>-111.64466</v>
      </c>
      <c r="E63" s="168">
        <f t="shared" ref="E63:E72" si="35">E46*F4+F46*G4</f>
        <v>-994.06485999999995</v>
      </c>
      <c r="F63" s="168">
        <f t="shared" si="29"/>
        <v>-2478.9831900000004</v>
      </c>
      <c r="G63" s="168">
        <f t="shared" si="30"/>
        <v>340.43759</v>
      </c>
      <c r="H63" s="168">
        <f t="shared" si="31"/>
        <v>90.416449999999998</v>
      </c>
      <c r="I63" s="168">
        <f t="shared" si="32"/>
        <v>-26.731820000000003</v>
      </c>
      <c r="J63" s="168">
        <f t="shared" si="33"/>
        <v>-3244.2551200000003</v>
      </c>
      <c r="M63" s="168"/>
    </row>
    <row r="64" spans="1:17">
      <c r="A64" s="180" t="s">
        <v>132</v>
      </c>
      <c r="C64" s="168">
        <f t="shared" si="28"/>
        <v>0</v>
      </c>
      <c r="D64" s="168">
        <f t="shared" ref="D64" si="36">D47*$H5</f>
        <v>-8123.9706799999994</v>
      </c>
      <c r="E64" s="168">
        <f t="shared" si="35"/>
        <v>5537.6725599999991</v>
      </c>
      <c r="F64" s="168">
        <f t="shared" si="29"/>
        <v>0</v>
      </c>
      <c r="G64" s="168">
        <f t="shared" si="30"/>
        <v>25797.928169999999</v>
      </c>
      <c r="H64" s="168">
        <f t="shared" si="31"/>
        <v>7216.50587</v>
      </c>
      <c r="I64" s="168">
        <f t="shared" si="32"/>
        <v>-1555.6539600000001</v>
      </c>
      <c r="J64" s="168">
        <f t="shared" si="33"/>
        <v>28872.481960000001</v>
      </c>
      <c r="M64" s="168"/>
    </row>
    <row r="65" spans="1:13">
      <c r="A65" s="180" t="s">
        <v>133</v>
      </c>
      <c r="C65" s="168">
        <f t="shared" si="28"/>
        <v>-603.41759999999999</v>
      </c>
      <c r="D65" s="168">
        <f t="shared" ref="D65" si="37">D48*$H6</f>
        <v>-1400.5247999999999</v>
      </c>
      <c r="E65" s="168">
        <f t="shared" si="35"/>
        <v>701.56032000000005</v>
      </c>
      <c r="F65" s="168">
        <f t="shared" si="29"/>
        <v>0</v>
      </c>
      <c r="G65" s="168">
        <f t="shared" si="30"/>
        <v>4447.4111999999996</v>
      </c>
      <c r="H65" s="168">
        <f t="shared" si="31"/>
        <v>1244.0832</v>
      </c>
      <c r="I65" s="168">
        <f t="shared" si="32"/>
        <v>-268.18560000000002</v>
      </c>
      <c r="J65" s="168">
        <f t="shared" si="33"/>
        <v>4120.9267200000004</v>
      </c>
      <c r="M65" s="168"/>
    </row>
    <row r="66" spans="1:13">
      <c r="A66" s="180" t="s">
        <v>134</v>
      </c>
      <c r="C66" s="168">
        <f t="shared" si="28"/>
        <v>0</v>
      </c>
      <c r="D66" s="168">
        <f t="shared" ref="D66" si="38">D49*$H7</f>
        <v>-11478.759840000001</v>
      </c>
      <c r="E66" s="168">
        <f t="shared" si="35"/>
        <v>12594.451819999998</v>
      </c>
      <c r="F66" s="168">
        <f t="shared" si="29"/>
        <v>0</v>
      </c>
      <c r="G66" s="168">
        <f t="shared" si="30"/>
        <v>36668.260600000001</v>
      </c>
      <c r="H66" s="168">
        <f t="shared" si="31"/>
        <v>9645.3468099999991</v>
      </c>
      <c r="I66" s="168">
        <f t="shared" si="32"/>
        <v>-2869.6899600000002</v>
      </c>
      <c r="J66" s="168">
        <f t="shared" si="33"/>
        <v>44559.609429999997</v>
      </c>
      <c r="M66" s="168"/>
    </row>
    <row r="67" spans="1:13">
      <c r="A67" s="180" t="s">
        <v>135</v>
      </c>
      <c r="C67" s="168">
        <f t="shared" si="28"/>
        <v>-213.70958999999999</v>
      </c>
      <c r="D67" s="168">
        <f t="shared" ref="D67" si="39">D50*$H8</f>
        <v>-379.92816000000005</v>
      </c>
      <c r="E67" s="168">
        <f t="shared" si="35"/>
        <v>318.50499999999994</v>
      </c>
      <c r="F67" s="168">
        <f t="shared" si="29"/>
        <v>0</v>
      </c>
      <c r="G67" s="168">
        <f t="shared" si="30"/>
        <v>1213.6594</v>
      </c>
      <c r="H67" s="168">
        <f t="shared" si="31"/>
        <v>319.24518999999998</v>
      </c>
      <c r="I67" s="168">
        <f t="shared" si="32"/>
        <v>-94.982040000000012</v>
      </c>
      <c r="J67" s="168">
        <f t="shared" si="33"/>
        <v>1162.7897999999998</v>
      </c>
      <c r="M67" s="168"/>
    </row>
    <row r="68" spans="1:13">
      <c r="A68" s="180" t="s">
        <v>136</v>
      </c>
      <c r="C68" s="168">
        <f t="shared" ref="C68:D68" si="40">C51*$H9</f>
        <v>0</v>
      </c>
      <c r="D68" s="168">
        <f t="shared" si="40"/>
        <v>6975.3143400000008</v>
      </c>
      <c r="E68" s="168">
        <f t="shared" si="35"/>
        <v>0</v>
      </c>
      <c r="F68" s="168">
        <f t="shared" si="29"/>
        <v>0</v>
      </c>
      <c r="G68" s="168">
        <f t="shared" si="30"/>
        <v>-22276.003860000001</v>
      </c>
      <c r="H68" s="168">
        <f t="shared" si="31"/>
        <v>-5700.2568799999999</v>
      </c>
      <c r="I68" s="168">
        <f t="shared" si="32"/>
        <v>2625.1183000000001</v>
      </c>
      <c r="J68" s="168">
        <f t="shared" si="33"/>
        <v>-18375.828099999999</v>
      </c>
      <c r="M68" s="168"/>
    </row>
    <row r="69" spans="1:13">
      <c r="A69" s="180" t="s">
        <v>179</v>
      </c>
      <c r="C69" s="168">
        <f t="shared" ref="C69:D69" si="41">C52*$H10</f>
        <v>0</v>
      </c>
      <c r="D69" s="168">
        <f t="shared" si="41"/>
        <v>0</v>
      </c>
      <c r="E69" s="168">
        <f t="shared" si="35"/>
        <v>0</v>
      </c>
      <c r="F69" s="168">
        <f t="shared" si="29"/>
        <v>0</v>
      </c>
      <c r="G69" s="168">
        <f t="shared" si="30"/>
        <v>0</v>
      </c>
      <c r="H69" s="168">
        <f t="shared" si="31"/>
        <v>0</v>
      </c>
      <c r="I69" s="168">
        <f t="shared" si="32"/>
        <v>0</v>
      </c>
      <c r="J69" s="168">
        <f t="shared" ref="J69:J70" si="42">SUM(C69:I69)</f>
        <v>0</v>
      </c>
      <c r="M69" s="168"/>
    </row>
    <row r="70" spans="1:13">
      <c r="A70" s="180" t="s">
        <v>180</v>
      </c>
      <c r="C70" s="168">
        <f t="shared" ref="C70:D70" si="43">C53*$H11</f>
        <v>0</v>
      </c>
      <c r="D70" s="168">
        <f t="shared" si="43"/>
        <v>0</v>
      </c>
      <c r="E70" s="168">
        <f t="shared" si="35"/>
        <v>0</v>
      </c>
      <c r="F70" s="168">
        <f t="shared" si="29"/>
        <v>0</v>
      </c>
      <c r="G70" s="168">
        <f t="shared" si="30"/>
        <v>0</v>
      </c>
      <c r="H70" s="168">
        <f t="shared" si="31"/>
        <v>0</v>
      </c>
      <c r="I70" s="168">
        <f t="shared" si="32"/>
        <v>0</v>
      </c>
      <c r="J70" s="168">
        <f t="shared" si="42"/>
        <v>0</v>
      </c>
      <c r="M70" s="168"/>
    </row>
    <row r="71" spans="1:13">
      <c r="A71" s="180" t="s">
        <v>137</v>
      </c>
      <c r="C71" s="168">
        <f t="shared" ref="C71:D71" si="44">C54*$H12</f>
        <v>0</v>
      </c>
      <c r="D71" s="168">
        <f t="shared" si="44"/>
        <v>1583.2985999999999</v>
      </c>
      <c r="E71" s="168">
        <f t="shared" si="35"/>
        <v>-57.276959999999917</v>
      </c>
      <c r="F71" s="168">
        <f t="shared" si="29"/>
        <v>0</v>
      </c>
      <c r="G71" s="168">
        <f t="shared" si="30"/>
        <v>-5273.6022599999997</v>
      </c>
      <c r="H71" s="168">
        <f t="shared" si="31"/>
        <v>-1278.8181</v>
      </c>
      <c r="I71" s="168">
        <f t="shared" si="32"/>
        <v>450.63114000000002</v>
      </c>
      <c r="J71" s="168">
        <f>SUM(C71:I71)</f>
        <v>-4575.7675799999988</v>
      </c>
      <c r="M71" s="168"/>
    </row>
    <row r="72" spans="1:13">
      <c r="A72" s="180" t="s">
        <v>138</v>
      </c>
      <c r="C72" s="168">
        <f t="shared" ref="C72:D72" si="45">C55*$H13</f>
        <v>74.8035</v>
      </c>
      <c r="D72" s="168">
        <f t="shared" si="45"/>
        <v>120.05499999999999</v>
      </c>
      <c r="E72" s="168">
        <f t="shared" si="35"/>
        <v>-17.46096</v>
      </c>
      <c r="F72" s="168">
        <f t="shared" si="29"/>
        <v>0</v>
      </c>
      <c r="G72" s="168">
        <f t="shared" si="30"/>
        <v>-399.87549999999999</v>
      </c>
      <c r="H72" s="168">
        <f t="shared" si="31"/>
        <v>-96.967499999999987</v>
      </c>
      <c r="I72" s="168">
        <f t="shared" si="32"/>
        <v>34.169499999999999</v>
      </c>
      <c r="J72" s="168">
        <f>SUM(C72:I72)</f>
        <v>-285.27595999999994</v>
      </c>
      <c r="M72" s="168"/>
    </row>
    <row r="73" spans="1:13">
      <c r="A73" s="180" t="s">
        <v>192</v>
      </c>
      <c r="C73" s="168">
        <f>($H14+$H15)*C56+$H16*C57</f>
        <v>0</v>
      </c>
      <c r="D73" s="168">
        <f>($H14+$H15)*D56+$H16*D57</f>
        <v>0</v>
      </c>
      <c r="E73" s="168">
        <f t="shared" ref="E73" si="46">E56*F14+F56*G14</f>
        <v>0</v>
      </c>
      <c r="F73" s="168">
        <f>($H14+$H15)*G56+$H16*G57</f>
        <v>0</v>
      </c>
      <c r="G73" s="168">
        <f>($H14+$H15)*H56+$H16*H57</f>
        <v>0</v>
      </c>
      <c r="H73" s="168">
        <v>0</v>
      </c>
      <c r="I73" s="168">
        <f>($H14+$H15)*J56+$H16*J57</f>
        <v>0</v>
      </c>
      <c r="J73" s="168">
        <f>SUM(C73:I73)</f>
        <v>0</v>
      </c>
    </row>
    <row r="74" spans="1:13">
      <c r="A74" s="157"/>
      <c r="C74" s="193">
        <f t="shared" ref="C74:J74" si="47">SUM(C62:C73)</f>
        <v>-26941.840919999995</v>
      </c>
      <c r="D74" s="193">
        <f t="shared" si="47"/>
        <v>-58634.5334</v>
      </c>
      <c r="E74" s="193">
        <f t="shared" si="47"/>
        <v>-480285.58960000001</v>
      </c>
      <c r="F74" s="193">
        <f t="shared" si="47"/>
        <v>-2478.9831900000004</v>
      </c>
      <c r="G74" s="337">
        <f t="shared" si="47"/>
        <v>180231.98714000001</v>
      </c>
      <c r="H74" s="193">
        <f t="shared" si="47"/>
        <v>48545.984040000003</v>
      </c>
      <c r="I74" s="193">
        <f t="shared" si="47"/>
        <v>-12675.920840000002</v>
      </c>
      <c r="J74" s="193">
        <f t="shared" si="47"/>
        <v>-352238.89676999993</v>
      </c>
    </row>
    <row r="76" spans="1:13">
      <c r="A76" s="152" t="s">
        <v>19</v>
      </c>
      <c r="B76" s="152"/>
      <c r="C76" s="168">
        <f t="shared" ref="C76:I76" si="48">C62+C63</f>
        <v>-26199.517229999998</v>
      </c>
      <c r="D76" s="168">
        <f t="shared" si="48"/>
        <v>-45930.01786</v>
      </c>
      <c r="E76" s="168">
        <f t="shared" si="48"/>
        <v>-499363.04138000001</v>
      </c>
      <c r="F76" s="168">
        <f t="shared" si="48"/>
        <v>-2478.9831900000004</v>
      </c>
      <c r="G76" s="168">
        <f t="shared" si="48"/>
        <v>140054.20938999997</v>
      </c>
      <c r="H76" s="168">
        <f t="shared" si="48"/>
        <v>37196.845449999993</v>
      </c>
      <c r="I76" s="168">
        <f t="shared" si="48"/>
        <v>-10997.328220000001</v>
      </c>
      <c r="J76" s="168">
        <f>J62+J63</f>
        <v>-407717.83304</v>
      </c>
    </row>
    <row r="77" spans="1:13">
      <c r="A77" s="152"/>
      <c r="B77" s="152"/>
      <c r="C77" s="168"/>
      <c r="D77" s="168"/>
      <c r="E77" s="168"/>
      <c r="F77" s="168"/>
      <c r="G77" s="168"/>
      <c r="H77" s="168"/>
      <c r="I77" s="168"/>
      <c r="J77" s="168"/>
    </row>
    <row r="78" spans="1:13" ht="15.75" customHeight="1">
      <c r="A78" s="152" t="s">
        <v>184</v>
      </c>
      <c r="B78" s="152"/>
      <c r="C78" s="176">
        <f t="shared" ref="C78:I78" si="49">SUM(C64:C67,C70:C72)</f>
        <v>-742.32368999999994</v>
      </c>
      <c r="D78" s="176">
        <f t="shared" si="49"/>
        <v>-19679.829880000001</v>
      </c>
      <c r="E78" s="176">
        <f t="shared" si="49"/>
        <v>19077.451779999999</v>
      </c>
      <c r="F78" s="176">
        <f t="shared" si="49"/>
        <v>0</v>
      </c>
      <c r="G78" s="176">
        <f t="shared" si="49"/>
        <v>62453.781609999998</v>
      </c>
      <c r="H78" s="176">
        <f t="shared" si="49"/>
        <v>17049.395469999999</v>
      </c>
      <c r="I78" s="176">
        <f t="shared" si="49"/>
        <v>-4303.7109199999995</v>
      </c>
      <c r="J78" s="176">
        <f>SUM(J64:J67,J70:J72)</f>
        <v>73854.764370000004</v>
      </c>
    </row>
    <row r="80" spans="1:13">
      <c r="A80" s="1" t="s">
        <v>215</v>
      </c>
    </row>
    <row r="81" spans="1:14">
      <c r="A81" s="1" t="s">
        <v>223</v>
      </c>
    </row>
    <row r="82" spans="1:14" ht="15.75" customHeight="1">
      <c r="A82" s="194" t="s">
        <v>222</v>
      </c>
      <c r="B82" s="194"/>
      <c r="C82" s="194"/>
      <c r="D82" s="194"/>
      <c r="E82" s="194"/>
    </row>
    <row r="83" spans="1:14" ht="29.4" customHeight="1">
      <c r="A83" s="194"/>
      <c r="B83" s="357" t="s">
        <v>216</v>
      </c>
      <c r="C83" s="357" t="s">
        <v>217</v>
      </c>
      <c r="D83" s="357" t="s">
        <v>218</v>
      </c>
      <c r="E83" s="357" t="s">
        <v>221</v>
      </c>
      <c r="G83" s="402" t="s">
        <v>391</v>
      </c>
      <c r="H83" s="402"/>
      <c r="I83" s="402"/>
      <c r="J83" s="402"/>
      <c r="M83" s="358"/>
      <c r="N83" s="358"/>
    </row>
    <row r="84" spans="1:14">
      <c r="A84" s="359" t="s">
        <v>390</v>
      </c>
      <c r="B84" s="361">
        <v>1</v>
      </c>
      <c r="C84" s="362">
        <v>836098.2</v>
      </c>
      <c r="D84" s="358">
        <f>74029.46-C84*N51</f>
        <v>71981.019410000008</v>
      </c>
      <c r="E84" s="358">
        <f>500*B84</f>
        <v>500</v>
      </c>
      <c r="F84" s="360" t="s">
        <v>219</v>
      </c>
      <c r="H84" s="361"/>
      <c r="I84" s="362"/>
      <c r="J84" s="380">
        <v>52841</v>
      </c>
      <c r="K84" s="358"/>
      <c r="L84" s="360"/>
    </row>
    <row r="85" spans="1:14">
      <c r="A85" s="363" t="s">
        <v>258</v>
      </c>
      <c r="B85" s="364">
        <f>SUM(B84:B84)</f>
        <v>1</v>
      </c>
      <c r="C85" s="365">
        <f>SUM(C84:C84)</f>
        <v>836098.2</v>
      </c>
      <c r="D85" s="366">
        <f>SUM(D84:D84)</f>
        <v>71981.019410000008</v>
      </c>
      <c r="E85" s="366">
        <f>SUM(E84:E84)</f>
        <v>500</v>
      </c>
    </row>
    <row r="86" spans="1:14">
      <c r="A86" s="194"/>
      <c r="B86" s="194"/>
      <c r="C86" s="194"/>
      <c r="D86" s="194"/>
      <c r="E86" s="194"/>
    </row>
    <row r="87" spans="1:14">
      <c r="A87" s="346"/>
      <c r="B87" s="361"/>
      <c r="C87" s="362"/>
      <c r="D87" s="358"/>
      <c r="E87" s="358"/>
    </row>
    <row r="88" spans="1:14">
      <c r="B88" s="361"/>
      <c r="C88" s="362"/>
      <c r="D88" s="358"/>
      <c r="E88" s="358"/>
    </row>
    <row r="89" spans="1:14" ht="9" customHeight="1"/>
  </sheetData>
  <mergeCells count="4">
    <mergeCell ref="G83:J83"/>
    <mergeCell ref="A1:I1"/>
    <mergeCell ref="J1:K1"/>
    <mergeCell ref="I56:I57"/>
  </mergeCells>
  <pageMargins left="0.7" right="0.7" top="0.75" bottom="0.75" header="0.3" footer="0.3"/>
  <pageSetup scale="78" fitToHeight="2" orientation="landscape" r:id="rId1"/>
  <headerFooter scaleWithDoc="0">
    <oddFooter>&amp;L&amp;F / &amp;A&amp;RPage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AE88"/>
  <sheetViews>
    <sheetView topLeftCell="A56" zoomScaleNormal="100" workbookViewId="0">
      <selection activeCell="A56" sqref="A1:XFD1048576"/>
    </sheetView>
  </sheetViews>
  <sheetFormatPr defaultColWidth="9.109375" defaultRowHeight="13.8"/>
  <cols>
    <col min="1" max="1" width="14.6640625" style="1" customWidth="1"/>
    <col min="2" max="2" width="10.332031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11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1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11">
      <c r="A3" s="180" t="s">
        <v>131</v>
      </c>
      <c r="B3" s="152"/>
      <c r="C3" s="158">
        <v>217990</v>
      </c>
      <c r="D3" s="282"/>
      <c r="E3" s="182">
        <v>149120500.433</v>
      </c>
      <c r="F3" s="182">
        <v>-71433400</v>
      </c>
      <c r="G3" s="182">
        <v>82163972</v>
      </c>
      <c r="H3" s="189">
        <f>SUM(F3:G3)</f>
        <v>10730572</v>
      </c>
      <c r="I3" s="159">
        <f>E3+H3</f>
        <v>159851072.433</v>
      </c>
      <c r="J3" s="370">
        <f t="shared" ref="J3:J8" si="0">I3/C3</f>
        <v>733.29543755676866</v>
      </c>
      <c r="K3" s="341">
        <f t="shared" ref="K3:K8" si="1">D24/E3</f>
        <v>9.1672414861174986E-2</v>
      </c>
    </row>
    <row r="4" spans="1:11">
      <c r="A4" s="180" t="s">
        <v>178</v>
      </c>
      <c r="B4" s="152"/>
      <c r="C4" s="158">
        <v>398</v>
      </c>
      <c r="D4" s="282"/>
      <c r="E4" s="182">
        <v>292086.625</v>
      </c>
      <c r="F4" s="182">
        <v>-119949</v>
      </c>
      <c r="G4" s="182">
        <v>160938</v>
      </c>
      <c r="H4" s="189">
        <f t="shared" ref="H4:H16" si="2">SUM(F4:G4)</f>
        <v>40989</v>
      </c>
      <c r="I4" s="159">
        <f t="shared" ref="I4:I16" si="3">E4+H4</f>
        <v>333075.625</v>
      </c>
      <c r="J4" s="370">
        <f t="shared" si="0"/>
        <v>836.8734296482412</v>
      </c>
      <c r="K4" s="341">
        <f t="shared" si="1"/>
        <v>9.0645369331786421E-2</v>
      </c>
    </row>
    <row r="5" spans="1:11">
      <c r="A5" s="180" t="s">
        <v>132</v>
      </c>
      <c r="B5" s="152"/>
      <c r="C5" s="158">
        <v>23411</v>
      </c>
      <c r="D5" s="282"/>
      <c r="E5" s="182">
        <v>41762126.43</v>
      </c>
      <c r="F5" s="182">
        <v>-19139293</v>
      </c>
      <c r="G5" s="182">
        <v>22887083</v>
      </c>
      <c r="H5" s="189">
        <f t="shared" si="2"/>
        <v>3747790</v>
      </c>
      <c r="I5" s="159">
        <f t="shared" si="3"/>
        <v>45509916.43</v>
      </c>
      <c r="J5" s="370">
        <f t="shared" si="0"/>
        <v>1943.9543987868951</v>
      </c>
      <c r="K5" s="341">
        <f t="shared" si="1"/>
        <v>0.1213182489280635</v>
      </c>
    </row>
    <row r="6" spans="1:11">
      <c r="A6" s="180" t="s">
        <v>133</v>
      </c>
      <c r="B6" s="152"/>
      <c r="C6" s="158">
        <v>9672</v>
      </c>
      <c r="D6" s="282"/>
      <c r="E6" s="182">
        <v>3879774.2489999998</v>
      </c>
      <c r="F6" s="182">
        <v>-1707404</v>
      </c>
      <c r="G6" s="182">
        <v>2137728</v>
      </c>
      <c r="H6" s="189">
        <f t="shared" si="2"/>
        <v>430324</v>
      </c>
      <c r="I6" s="159">
        <f t="shared" si="3"/>
        <v>4310098.2489999998</v>
      </c>
      <c r="J6" s="370">
        <f t="shared" si="0"/>
        <v>445.62636983043836</v>
      </c>
      <c r="K6" s="341">
        <f t="shared" si="1"/>
        <v>0.16179455806270032</v>
      </c>
    </row>
    <row r="7" spans="1:11">
      <c r="A7" s="180" t="s">
        <v>134</v>
      </c>
      <c r="B7" s="152"/>
      <c r="C7" s="158">
        <v>1891</v>
      </c>
      <c r="D7" s="282"/>
      <c r="E7" s="182">
        <v>108166165.94400001</v>
      </c>
      <c r="F7" s="182">
        <v>-47703446</v>
      </c>
      <c r="G7" s="182">
        <v>59213692</v>
      </c>
      <c r="H7" s="189">
        <f t="shared" si="2"/>
        <v>11510246</v>
      </c>
      <c r="I7" s="159">
        <f t="shared" si="3"/>
        <v>119676411.94400001</v>
      </c>
      <c r="J7" s="370">
        <f t="shared" si="0"/>
        <v>63287.367500793232</v>
      </c>
      <c r="K7" s="341">
        <f t="shared" si="1"/>
        <v>9.3155670741040378E-2</v>
      </c>
    </row>
    <row r="8" spans="1:11">
      <c r="A8" s="180" t="s">
        <v>135</v>
      </c>
      <c r="B8" s="152"/>
      <c r="C8" s="158">
        <v>49</v>
      </c>
      <c r="D8" s="282"/>
      <c r="E8" s="182">
        <v>2282010</v>
      </c>
      <c r="F8" s="182">
        <v>-1069536</v>
      </c>
      <c r="G8" s="182">
        <v>1257371</v>
      </c>
      <c r="H8" s="189">
        <f t="shared" si="2"/>
        <v>187835</v>
      </c>
      <c r="I8" s="159">
        <f t="shared" si="3"/>
        <v>2469845</v>
      </c>
      <c r="J8" s="370">
        <f t="shared" si="0"/>
        <v>50405</v>
      </c>
      <c r="K8" s="341">
        <f t="shared" si="1"/>
        <v>9.2705562201743197E-2</v>
      </c>
    </row>
    <row r="9" spans="1:11">
      <c r="A9" s="180" t="s">
        <v>136</v>
      </c>
      <c r="B9" s="152"/>
      <c r="C9" s="158">
        <v>23</v>
      </c>
      <c r="D9" s="194"/>
      <c r="E9" s="182">
        <f>89411353.701-E10</f>
        <v>57023575.701000005</v>
      </c>
      <c r="F9" s="182">
        <v>-54933574</v>
      </c>
      <c r="G9" s="182">
        <f>95301943-G10</f>
        <v>60301943</v>
      </c>
      <c r="H9" s="189">
        <f t="shared" si="2"/>
        <v>5368369</v>
      </c>
      <c r="I9" s="159">
        <f t="shared" si="3"/>
        <v>62391944.701000005</v>
      </c>
      <c r="J9" s="370">
        <f>(I9+I10)/C9</f>
        <v>4120857.5087391306</v>
      </c>
      <c r="K9" s="341">
        <f>I30/(I9+I10)</f>
        <v>5.9205541816918547E-2</v>
      </c>
    </row>
    <row r="10" spans="1:11">
      <c r="A10" s="180" t="s">
        <v>179</v>
      </c>
      <c r="B10" s="152"/>
      <c r="C10" s="158"/>
      <c r="D10" s="194"/>
      <c r="E10" s="182">
        <v>32387778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32387778</v>
      </c>
      <c r="J10" s="370"/>
    </row>
    <row r="11" spans="1:11">
      <c r="A11" s="180" t="s">
        <v>180</v>
      </c>
      <c r="B11" s="152"/>
      <c r="C11" s="158">
        <v>52</v>
      </c>
      <c r="D11" s="282"/>
      <c r="E11" s="182">
        <v>2982402.3650000002</v>
      </c>
      <c r="F11" s="182">
        <v>0</v>
      </c>
      <c r="G11" s="182">
        <v>0</v>
      </c>
      <c r="H11" s="189">
        <f t="shared" si="2"/>
        <v>0</v>
      </c>
      <c r="I11" s="159">
        <f t="shared" si="3"/>
        <v>2982402.3650000002</v>
      </c>
      <c r="J11" s="370">
        <f>I11/C11</f>
        <v>57353.891634615386</v>
      </c>
      <c r="K11" s="341">
        <f>I31/I11</f>
        <v>6.9708665886200769E-2</v>
      </c>
    </row>
    <row r="12" spans="1:11">
      <c r="A12" s="180" t="s">
        <v>137</v>
      </c>
      <c r="B12" s="152"/>
      <c r="C12" s="158">
        <v>1228</v>
      </c>
      <c r="D12" s="282"/>
      <c r="E12" s="182">
        <v>9329693.4230000004</v>
      </c>
      <c r="F12" s="182">
        <v>-5938288</v>
      </c>
      <c r="G12" s="182">
        <v>4288578</v>
      </c>
      <c r="H12" s="189">
        <f t="shared" si="2"/>
        <v>-1649710</v>
      </c>
      <c r="I12" s="159">
        <f t="shared" si="3"/>
        <v>7679983.4230000004</v>
      </c>
      <c r="J12" s="370">
        <f>I12/C12</f>
        <v>6254.058162052118</v>
      </c>
      <c r="K12" s="341">
        <f>I32/I12</f>
        <v>9.1567420585043108E-2</v>
      </c>
    </row>
    <row r="13" spans="1:11">
      <c r="A13" s="180" t="s">
        <v>138</v>
      </c>
      <c r="B13" s="152"/>
      <c r="C13" s="158">
        <v>1225</v>
      </c>
      <c r="D13" s="282"/>
      <c r="E13" s="182">
        <v>627608.14300000004</v>
      </c>
      <c r="F13" s="182">
        <v>-373828</v>
      </c>
      <c r="G13" s="182">
        <v>231486</v>
      </c>
      <c r="H13" s="189">
        <f t="shared" si="2"/>
        <v>-142342</v>
      </c>
      <c r="I13" s="159">
        <f t="shared" si="3"/>
        <v>485266.14300000004</v>
      </c>
      <c r="J13" s="370">
        <f>I13/C13</f>
        <v>396.13562693877554</v>
      </c>
      <c r="K13" s="341">
        <f>I33/I13</f>
        <v>0.14499555572744749</v>
      </c>
    </row>
    <row r="14" spans="1:11">
      <c r="A14" s="180" t="s">
        <v>181</v>
      </c>
      <c r="B14" s="152"/>
      <c r="C14" s="158">
        <v>429</v>
      </c>
      <c r="D14" s="194"/>
      <c r="E14" s="182">
        <v>920654.71799999988</v>
      </c>
      <c r="F14" s="182"/>
      <c r="G14" s="182"/>
      <c r="H14" s="189"/>
      <c r="I14" s="159">
        <f t="shared" si="3"/>
        <v>920654.71799999988</v>
      </c>
      <c r="J14" s="370">
        <f>I14/C14</f>
        <v>2146.0482937062934</v>
      </c>
      <c r="K14" s="341">
        <f>I34/I14</f>
        <v>0.60880725318783424</v>
      </c>
    </row>
    <row r="15" spans="1:11">
      <c r="A15" s="180" t="s">
        <v>182</v>
      </c>
      <c r="B15" s="152"/>
      <c r="C15" s="158"/>
      <c r="D15" s="194"/>
      <c r="E15" s="182">
        <v>401873.58100000001</v>
      </c>
      <c r="F15" s="182"/>
      <c r="G15" s="182"/>
      <c r="H15" s="189">
        <f t="shared" si="2"/>
        <v>0</v>
      </c>
      <c r="I15" s="159">
        <f t="shared" si="3"/>
        <v>401873.58100000001</v>
      </c>
      <c r="J15" s="282"/>
    </row>
    <row r="16" spans="1:11">
      <c r="A16" s="180" t="s">
        <v>183</v>
      </c>
      <c r="B16" s="152"/>
      <c r="C16" s="158"/>
      <c r="D16" s="195"/>
      <c r="E16" s="182">
        <v>212307.56299999999</v>
      </c>
      <c r="F16" s="182"/>
      <c r="G16" s="182"/>
      <c r="H16" s="189">
        <f t="shared" si="2"/>
        <v>0</v>
      </c>
      <c r="I16" s="159">
        <f t="shared" si="3"/>
        <v>212307.56299999999</v>
      </c>
      <c r="J16" s="282"/>
    </row>
    <row r="17" spans="1:31">
      <c r="A17" s="152"/>
      <c r="B17" s="152"/>
      <c r="C17" s="160">
        <f>SUM(C3:C16)</f>
        <v>256368</v>
      </c>
      <c r="E17" s="160">
        <f>SUM(E3:E16)</f>
        <v>409388557.17499995</v>
      </c>
      <c r="F17" s="160">
        <f>SUM(F3:F16)</f>
        <v>-237418718</v>
      </c>
      <c r="G17" s="160">
        <f>SUM(G3:G16)</f>
        <v>267642791</v>
      </c>
      <c r="H17" s="160">
        <f>SUM(H3:H16)</f>
        <v>30224073</v>
      </c>
      <c r="I17" s="160">
        <f>SUM(I3:I16)</f>
        <v>439612630.17499995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218388</v>
      </c>
      <c r="E19" s="162">
        <f>E3+E4</f>
        <v>149412587.058</v>
      </c>
      <c r="F19" s="162">
        <f>F3+F4</f>
        <v>-71553349</v>
      </c>
      <c r="G19" s="162">
        <f>G3+G4</f>
        <v>82324910</v>
      </c>
      <c r="H19" s="162">
        <f>H3+H4</f>
        <v>10771561</v>
      </c>
      <c r="I19" s="161">
        <f>I3+I4</f>
        <v>160184148.058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37528</v>
      </c>
      <c r="E21" s="178">
        <f>SUM(E5:E8,E11:E13)</f>
        <v>169029780.55400002</v>
      </c>
      <c r="F21" s="178">
        <f>SUM(F5:F8,F11:F13)</f>
        <v>-75931795</v>
      </c>
      <c r="G21" s="178">
        <f>SUM(G5:G8,G11:G13)</f>
        <v>90015938</v>
      </c>
      <c r="H21" s="178">
        <f>SUM(H5:H8,H11:H13)</f>
        <v>14084143</v>
      </c>
      <c r="I21" s="177">
        <f>SUM(I5:I8,I11:I13)</f>
        <v>183113923.55400002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234</v>
      </c>
      <c r="Z22" s="1" t="s">
        <v>235</v>
      </c>
      <c r="AA22" s="343" t="s">
        <v>299</v>
      </c>
      <c r="AC22" s="1" t="s">
        <v>237</v>
      </c>
      <c r="AD22" s="343" t="s">
        <v>298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October Billed Schedule 75 Revenue</v>
      </c>
      <c r="P23" s="344" t="str">
        <f>AA22&amp;" Billed kWhs"</f>
        <v>October Billed kWhs</v>
      </c>
      <c r="Q23" s="344" t="str">
        <f>AA22&amp;" Unbilled kWhs"</f>
        <v>October Unbilled kWhs</v>
      </c>
      <c r="R23" s="344" t="s">
        <v>238</v>
      </c>
      <c r="S23" s="344" t="s">
        <v>239</v>
      </c>
      <c r="T23" s="344" t="str">
        <f>AD22&amp;" Unbilled kWhs reversal"</f>
        <v>September Unbilled kWhs reversal</v>
      </c>
      <c r="U23" s="344" t="s">
        <v>238</v>
      </c>
      <c r="V23" s="344" t="str">
        <f>AD22&amp;" Schedule 75 Unbilled Reversal"</f>
        <v>September Schedule 75 Unbilled Reversal</v>
      </c>
      <c r="X23" s="344" t="str">
        <f>"Total "&amp;AA22&amp;" Schedule 75 Revenue"</f>
        <v>Total October Schedule 75 Revenue</v>
      </c>
      <c r="Z23" s="344" t="str">
        <f>"Calendar "&amp;AA22&amp;" Usage"</f>
        <v>Calendar October Usage</v>
      </c>
      <c r="AA23" s="344" t="str">
        <f>R23</f>
        <v>11/1/2017 rate</v>
      </c>
      <c r="AB23" s="344" t="s">
        <v>240</v>
      </c>
      <c r="AC23" s="344" t="s">
        <v>241</v>
      </c>
      <c r="AD23" s="344" t="str">
        <f>"implied "&amp;AD22&amp;" unbilled/Cancel-Rebill True-up kWhs"</f>
        <v>implied September unbilled/Cancel-Rebill True-up kWhs</v>
      </c>
    </row>
    <row r="24" spans="1:31">
      <c r="A24" s="180" t="s">
        <v>131</v>
      </c>
      <c r="B24" s="152"/>
      <c r="C24" s="181">
        <v>2013336.5</v>
      </c>
      <c r="D24" s="181">
        <v>13670236.380000001</v>
      </c>
      <c r="E24" s="183">
        <v>-7160987</v>
      </c>
      <c r="F24" s="183">
        <v>8032789</v>
      </c>
      <c r="G24" s="174">
        <f>SUM(D24:F24)</f>
        <v>14542038.380000001</v>
      </c>
      <c r="H24" s="174">
        <f>-K62</f>
        <v>-86120.349920000008</v>
      </c>
      <c r="I24" s="174">
        <f>SUM(G24:H24)</f>
        <v>14455918.03008</v>
      </c>
      <c r="M24" s="1" t="s">
        <v>242</v>
      </c>
      <c r="O24" s="368">
        <v>663614.48</v>
      </c>
      <c r="P24" s="345">
        <f t="shared" ref="P24:P29" si="4">E3</f>
        <v>149120500.433</v>
      </c>
      <c r="Q24" s="345">
        <f t="shared" ref="Q24:Q29" si="5">G3</f>
        <v>82163972</v>
      </c>
      <c r="R24" s="346">
        <v>4.45E-3</v>
      </c>
      <c r="S24" s="347">
        <f>Q24*R24</f>
        <v>365629.67540000001</v>
      </c>
      <c r="T24" s="345">
        <f t="shared" ref="T24:T29" si="6">F3</f>
        <v>-71433400</v>
      </c>
      <c r="U24" s="346">
        <v>4.45E-3</v>
      </c>
      <c r="V24" s="348">
        <f>T24*U24</f>
        <v>-317878.63</v>
      </c>
      <c r="X24" s="349">
        <f>O24+S24+V24</f>
        <v>711365.52540000004</v>
      </c>
      <c r="Z24" s="350">
        <f>P24+Q24+T24</f>
        <v>159851072.433</v>
      </c>
      <c r="AA24" s="194">
        <f>R24</f>
        <v>4.45E-3</v>
      </c>
      <c r="AB24" s="283">
        <f>Z24*AA24</f>
        <v>711337.27232684998</v>
      </c>
      <c r="AC24" s="349">
        <f>X24-AB24</f>
        <v>28.253073150059208</v>
      </c>
      <c r="AD24" s="350">
        <f>AC24/AA24</f>
        <v>6349.0052022604959</v>
      </c>
      <c r="AE24" s="351">
        <f>AC24/X24</f>
        <v>3.9716674678847469E-5</v>
      </c>
    </row>
    <row r="25" spans="1:31">
      <c r="A25" s="180" t="s">
        <v>178</v>
      </c>
      <c r="B25" s="152"/>
      <c r="C25" s="181">
        <v>3662.5</v>
      </c>
      <c r="D25" s="181">
        <v>26476.3</v>
      </c>
      <c r="E25" s="183">
        <v>-8415</v>
      </c>
      <c r="F25" s="183">
        <v>10512</v>
      </c>
      <c r="G25" s="174">
        <f t="shared" ref="G25:G33" si="7">SUM(D25:F25)</f>
        <v>28573.3</v>
      </c>
      <c r="H25" s="174">
        <f t="shared" ref="H25:H30" si="8">-K63</f>
        <v>978.70923000000005</v>
      </c>
      <c r="I25" s="174">
        <f t="shared" ref="I25:I34" si="9">SUM(G25:H25)</f>
        <v>29552.00923</v>
      </c>
      <c r="M25" s="1" t="s">
        <v>243</v>
      </c>
      <c r="O25" s="368">
        <v>1299.9000000000001</v>
      </c>
      <c r="P25" s="345">
        <f t="shared" si="4"/>
        <v>292086.625</v>
      </c>
      <c r="Q25" s="345">
        <f t="shared" si="5"/>
        <v>160938</v>
      </c>
      <c r="R25" s="346">
        <v>4.45E-3</v>
      </c>
      <c r="S25" s="347">
        <f>Q25*R25</f>
        <v>716.17409999999995</v>
      </c>
      <c r="T25" s="345">
        <f t="shared" si="6"/>
        <v>-119949</v>
      </c>
      <c r="U25" s="346">
        <v>4.45E-3</v>
      </c>
      <c r="V25" s="348">
        <f t="shared" ref="V25:V32" si="10">T25*U25</f>
        <v>-533.77305000000001</v>
      </c>
      <c r="X25" s="349">
        <f t="shared" ref="X25:X32" si="11">O25+S25+V25</f>
        <v>1482.30105</v>
      </c>
      <c r="Z25" s="350">
        <f t="shared" ref="Z25:Z32" si="12">P25+Q25+T25</f>
        <v>333075.625</v>
      </c>
      <c r="AA25" s="194">
        <f t="shared" ref="AA25:AA32" si="13">R25</f>
        <v>4.45E-3</v>
      </c>
      <c r="AB25" s="283">
        <f t="shared" ref="AB25:AB32" si="14">Z25*AA25</f>
        <v>1482.1865312499999</v>
      </c>
      <c r="AC25" s="349">
        <f t="shared" ref="AC25:AC32" si="15">X25-AB25</f>
        <v>0.11451875000011569</v>
      </c>
      <c r="AD25" s="350">
        <f t="shared" ref="AD25:AD32" si="16">AC25/AA25</f>
        <v>25.734550561823749</v>
      </c>
      <c r="AE25" s="351">
        <f t="shared" ref="AE25:AE33" si="17">AC25/X25</f>
        <v>7.7257416771117911E-5</v>
      </c>
    </row>
    <row r="26" spans="1:31">
      <c r="A26" s="180" t="s">
        <v>132</v>
      </c>
      <c r="B26" s="152"/>
      <c r="C26" s="181">
        <v>476228.03</v>
      </c>
      <c r="D26" s="181">
        <v>5066508.05</v>
      </c>
      <c r="E26" s="183">
        <v>-2301471</v>
      </c>
      <c r="F26" s="183">
        <v>2767968</v>
      </c>
      <c r="G26" s="174">
        <f t="shared" si="7"/>
        <v>5533005.0499999998</v>
      </c>
      <c r="H26" s="174">
        <f t="shared" si="8"/>
        <v>-24608.075950000006</v>
      </c>
      <c r="I26" s="174">
        <f t="shared" si="9"/>
        <v>5508396.9740499994</v>
      </c>
      <c r="M26" s="1" t="s">
        <v>244</v>
      </c>
      <c r="O26" s="368">
        <v>16703.509999999998</v>
      </c>
      <c r="P26" s="345">
        <f t="shared" si="4"/>
        <v>41762126.43</v>
      </c>
      <c r="Q26" s="345">
        <f t="shared" si="5"/>
        <v>22887083</v>
      </c>
      <c r="R26" s="352">
        <v>4.0000000000000002E-4</v>
      </c>
      <c r="S26" s="347">
        <f>Q26*R26</f>
        <v>9154.8332000000009</v>
      </c>
      <c r="T26" s="345">
        <f t="shared" si="6"/>
        <v>-19139293</v>
      </c>
      <c r="U26" s="352">
        <v>4.0000000000000002E-4</v>
      </c>
      <c r="V26" s="348">
        <f t="shared" si="10"/>
        <v>-7655.7172</v>
      </c>
      <c r="X26" s="349">
        <f t="shared" si="11"/>
        <v>18202.626</v>
      </c>
      <c r="Z26" s="350">
        <f t="shared" si="12"/>
        <v>45509916.43</v>
      </c>
      <c r="AA26" s="353">
        <f t="shared" si="13"/>
        <v>4.0000000000000002E-4</v>
      </c>
      <c r="AB26" s="283">
        <f t="shared" si="14"/>
        <v>18203.966572000001</v>
      </c>
      <c r="AC26" s="349">
        <f t="shared" si="15"/>
        <v>-1.3405720000009751</v>
      </c>
      <c r="AD26" s="350">
        <f t="shared" si="16"/>
        <v>-3351.4300000024377</v>
      </c>
      <c r="AE26" s="351">
        <f t="shared" si="17"/>
        <v>-7.3647175962466909E-5</v>
      </c>
    </row>
    <row r="27" spans="1:31">
      <c r="A27" s="180" t="s">
        <v>133</v>
      </c>
      <c r="B27" s="152"/>
      <c r="C27" s="181">
        <v>195797.76000000001</v>
      </c>
      <c r="D27" s="181">
        <v>627726.36</v>
      </c>
      <c r="E27" s="183">
        <v>-295992</v>
      </c>
      <c r="F27" s="183">
        <v>353185</v>
      </c>
      <c r="G27" s="174">
        <f t="shared" si="7"/>
        <v>684919.36</v>
      </c>
      <c r="H27" s="174">
        <f t="shared" si="8"/>
        <v>-2403.4273600000001</v>
      </c>
      <c r="I27" s="174">
        <f t="shared" si="9"/>
        <v>682515.93264000001</v>
      </c>
      <c r="M27" s="1" t="s">
        <v>245</v>
      </c>
      <c r="O27" s="368">
        <v>1550.88</v>
      </c>
      <c r="P27" s="345">
        <f t="shared" si="4"/>
        <v>3879774.2489999998</v>
      </c>
      <c r="Q27" s="345">
        <f t="shared" si="5"/>
        <v>2137728</v>
      </c>
      <c r="R27" s="352">
        <v>4.0000000000000002E-4</v>
      </c>
      <c r="S27" s="347">
        <f t="shared" ref="S27:S32" si="18">Q27*R27</f>
        <v>855.09120000000007</v>
      </c>
      <c r="T27" s="345">
        <f t="shared" si="6"/>
        <v>-1707404</v>
      </c>
      <c r="U27" s="352">
        <v>4.0000000000000002E-4</v>
      </c>
      <c r="V27" s="348">
        <f t="shared" si="10"/>
        <v>-682.96160000000009</v>
      </c>
      <c r="X27" s="349">
        <f t="shared" si="11"/>
        <v>1723.0095999999999</v>
      </c>
      <c r="Z27" s="350">
        <f t="shared" si="12"/>
        <v>4310098.2489999998</v>
      </c>
      <c r="AA27" s="353">
        <f t="shared" si="13"/>
        <v>4.0000000000000002E-4</v>
      </c>
      <c r="AB27" s="283">
        <f t="shared" si="14"/>
        <v>1724.0392996</v>
      </c>
      <c r="AC27" s="349">
        <f t="shared" si="15"/>
        <v>-1.0296996000001855</v>
      </c>
      <c r="AD27" s="350">
        <f t="shared" si="16"/>
        <v>-2574.2490000004636</v>
      </c>
      <c r="AE27" s="351">
        <f t="shared" si="17"/>
        <v>-5.9761686760200611E-4</v>
      </c>
    </row>
    <row r="28" spans="1:31">
      <c r="A28" s="180" t="s">
        <v>134</v>
      </c>
      <c r="B28" s="152"/>
      <c r="C28" s="181">
        <v>950373.3</v>
      </c>
      <c r="D28" s="181">
        <v>10076291.74</v>
      </c>
      <c r="E28" s="183">
        <v>-4029997</v>
      </c>
      <c r="F28" s="183">
        <v>4942171</v>
      </c>
      <c r="G28" s="174">
        <f t="shared" si="7"/>
        <v>10988465.74</v>
      </c>
      <c r="H28" s="174">
        <f t="shared" si="8"/>
        <v>-56007.563920000001</v>
      </c>
      <c r="I28" s="174">
        <f t="shared" si="9"/>
        <v>10932458.17608</v>
      </c>
      <c r="M28" s="1" t="s">
        <v>246</v>
      </c>
      <c r="O28" s="368">
        <v>43266.45</v>
      </c>
      <c r="P28" s="345">
        <f t="shared" si="4"/>
        <v>108166165.94400001</v>
      </c>
      <c r="Q28" s="345">
        <f t="shared" si="5"/>
        <v>59213692</v>
      </c>
      <c r="R28" s="352">
        <v>4.0000000000000002E-4</v>
      </c>
      <c r="S28" s="347">
        <f t="shared" si="18"/>
        <v>23685.4768</v>
      </c>
      <c r="T28" s="345">
        <f t="shared" si="6"/>
        <v>-47703446</v>
      </c>
      <c r="U28" s="352">
        <v>4.0000000000000002E-4</v>
      </c>
      <c r="V28" s="348">
        <f t="shared" si="10"/>
        <v>-19081.378400000001</v>
      </c>
      <c r="X28" s="349">
        <f t="shared" si="11"/>
        <v>47870.5484</v>
      </c>
      <c r="Z28" s="350">
        <f t="shared" si="12"/>
        <v>119676411.94400001</v>
      </c>
      <c r="AA28" s="353">
        <f t="shared" si="13"/>
        <v>4.0000000000000002E-4</v>
      </c>
      <c r="AB28" s="283">
        <f t="shared" si="14"/>
        <v>47870.564777600004</v>
      </c>
      <c r="AC28" s="349">
        <f t="shared" si="15"/>
        <v>-1.6377600004489068E-2</v>
      </c>
      <c r="AD28" s="350">
        <f t="shared" si="16"/>
        <v>-40.94400001122267</v>
      </c>
      <c r="AE28" s="351">
        <f t="shared" si="17"/>
        <v>-3.4212267358293035E-7</v>
      </c>
    </row>
    <row r="29" spans="1:31">
      <c r="A29" s="180" t="s">
        <v>135</v>
      </c>
      <c r="B29" s="152"/>
      <c r="C29" s="181">
        <v>24700</v>
      </c>
      <c r="D29" s="181">
        <v>211555.02</v>
      </c>
      <c r="E29" s="183">
        <v>-92924</v>
      </c>
      <c r="F29" s="183">
        <v>107570</v>
      </c>
      <c r="G29" s="174">
        <f t="shared" si="7"/>
        <v>226201.02</v>
      </c>
      <c r="H29" s="174">
        <f t="shared" si="8"/>
        <v>-793.85495999999966</v>
      </c>
      <c r="I29" s="174">
        <f t="shared" si="9"/>
        <v>225407.16503999999</v>
      </c>
      <c r="M29" s="1" t="s">
        <v>247</v>
      </c>
      <c r="O29" s="368">
        <v>912.81</v>
      </c>
      <c r="P29" s="345">
        <f t="shared" si="4"/>
        <v>2282010</v>
      </c>
      <c r="Q29" s="345">
        <f t="shared" si="5"/>
        <v>1257371</v>
      </c>
      <c r="R29" s="352">
        <v>4.0000000000000002E-4</v>
      </c>
      <c r="S29" s="347">
        <f t="shared" si="18"/>
        <v>502.94840000000005</v>
      </c>
      <c r="T29" s="345">
        <f t="shared" si="6"/>
        <v>-1069536</v>
      </c>
      <c r="U29" s="352">
        <v>4.0000000000000002E-4</v>
      </c>
      <c r="V29" s="348">
        <f t="shared" si="10"/>
        <v>-427.81440000000003</v>
      </c>
      <c r="X29" s="349">
        <f t="shared" si="11"/>
        <v>987.94399999999996</v>
      </c>
      <c r="Z29" s="350">
        <f t="shared" si="12"/>
        <v>2469845</v>
      </c>
      <c r="AA29" s="353">
        <f t="shared" si="13"/>
        <v>4.0000000000000002E-4</v>
      </c>
      <c r="AB29" s="283">
        <f t="shared" si="14"/>
        <v>987.9380000000001</v>
      </c>
      <c r="AC29" s="349">
        <f t="shared" si="15"/>
        <v>5.9999999998581188E-3</v>
      </c>
      <c r="AD29" s="350">
        <f t="shared" si="16"/>
        <v>14.999999999645297</v>
      </c>
      <c r="AE29" s="351">
        <f t="shared" si="17"/>
        <v>6.0732187248043606E-6</v>
      </c>
    </row>
    <row r="30" spans="1:31">
      <c r="A30" s="180" t="s">
        <v>136</v>
      </c>
      <c r="B30" s="152"/>
      <c r="C30" s="181">
        <v>552000</v>
      </c>
      <c r="D30" s="181">
        <f>5502132.06-84225.37</f>
        <v>5417906.6899999995</v>
      </c>
      <c r="E30" s="183">
        <v>-5790051</v>
      </c>
      <c r="F30" s="183">
        <v>6000627</v>
      </c>
      <c r="G30" s="174">
        <f t="shared" si="7"/>
        <v>5628482.6899999995</v>
      </c>
      <c r="H30" s="174">
        <f t="shared" si="8"/>
        <v>-16997.854230000004</v>
      </c>
      <c r="I30" s="174">
        <f t="shared" si="9"/>
        <v>5611484.8357699998</v>
      </c>
      <c r="J30" s="283"/>
      <c r="M30" s="1" t="s">
        <v>248</v>
      </c>
      <c r="O30" s="368">
        <v>1192.97</v>
      </c>
      <c r="P30" s="345">
        <f>E11</f>
        <v>2982402.3650000002</v>
      </c>
      <c r="Q30" s="345">
        <f>G11</f>
        <v>0</v>
      </c>
      <c r="R30" s="352">
        <v>4.0000000000000002E-4</v>
      </c>
      <c r="S30" s="347">
        <f t="shared" si="18"/>
        <v>0</v>
      </c>
      <c r="T30" s="345">
        <f>F11</f>
        <v>0</v>
      </c>
      <c r="U30" s="352">
        <v>4.0000000000000002E-4</v>
      </c>
      <c r="V30" s="348">
        <f t="shared" si="10"/>
        <v>0</v>
      </c>
      <c r="X30" s="349">
        <f t="shared" si="11"/>
        <v>1192.97</v>
      </c>
      <c r="Z30" s="350">
        <f t="shared" si="12"/>
        <v>2982402.3650000002</v>
      </c>
      <c r="AA30" s="353">
        <f t="shared" si="13"/>
        <v>4.0000000000000002E-4</v>
      </c>
      <c r="AB30" s="283">
        <f t="shared" si="14"/>
        <v>1192.9609460000001</v>
      </c>
      <c r="AC30" s="349">
        <f t="shared" si="15"/>
        <v>9.053999999878215E-3</v>
      </c>
      <c r="AD30" s="350">
        <f t="shared" si="16"/>
        <v>22.634999999695538</v>
      </c>
      <c r="AE30" s="351">
        <f t="shared" si="17"/>
        <v>7.5894615957469294E-6</v>
      </c>
    </row>
    <row r="31" spans="1:31">
      <c r="A31" s="180" t="s">
        <v>180</v>
      </c>
      <c r="B31" s="152"/>
      <c r="C31" s="181">
        <v>1040</v>
      </c>
      <c r="D31" s="181">
        <v>207899.29</v>
      </c>
      <c r="E31" s="183">
        <v>0</v>
      </c>
      <c r="F31" s="183">
        <v>0</v>
      </c>
      <c r="G31" s="174">
        <f t="shared" si="7"/>
        <v>207899.29</v>
      </c>
      <c r="H31" s="174">
        <f>-K69</f>
        <v>0</v>
      </c>
      <c r="I31" s="174">
        <f t="shared" si="9"/>
        <v>207899.29</v>
      </c>
      <c r="M31" s="1" t="s">
        <v>249</v>
      </c>
      <c r="O31" s="368">
        <v>3731.88</v>
      </c>
      <c r="P31" s="345">
        <f>E12</f>
        <v>9329693.4230000004</v>
      </c>
      <c r="Q31" s="345">
        <f>G12</f>
        <v>4288578</v>
      </c>
      <c r="R31" s="352">
        <v>4.0000000000000002E-4</v>
      </c>
      <c r="S31" s="347">
        <f t="shared" si="18"/>
        <v>1715.4312</v>
      </c>
      <c r="T31" s="345">
        <f>F12</f>
        <v>-5938288</v>
      </c>
      <c r="U31" s="352">
        <v>4.0000000000000002E-4</v>
      </c>
      <c r="V31" s="348">
        <f t="shared" si="10"/>
        <v>-2375.3152</v>
      </c>
      <c r="X31" s="349">
        <f>O31+S31+V31</f>
        <v>3071.9960000000001</v>
      </c>
      <c r="Z31" s="350">
        <f t="shared" si="12"/>
        <v>7679983.4230000004</v>
      </c>
      <c r="AA31" s="353">
        <f t="shared" si="13"/>
        <v>4.0000000000000002E-4</v>
      </c>
      <c r="AB31" s="283">
        <f t="shared" si="14"/>
        <v>3071.9933692000004</v>
      </c>
      <c r="AC31" s="349">
        <f t="shared" si="15"/>
        <v>2.6307999996788567E-3</v>
      </c>
      <c r="AD31" s="350">
        <f t="shared" si="16"/>
        <v>6.5769999991971417</v>
      </c>
      <c r="AE31" s="351">
        <f t="shared" si="17"/>
        <v>8.5638132330864248E-7</v>
      </c>
    </row>
    <row r="32" spans="1:31">
      <c r="A32" s="180" t="s">
        <v>137</v>
      </c>
      <c r="B32" s="152"/>
      <c r="C32" s="181">
        <v>24740</v>
      </c>
      <c r="D32" s="181">
        <v>789358.41</v>
      </c>
      <c r="E32" s="183">
        <v>-355569</v>
      </c>
      <c r="F32" s="183">
        <v>263201</v>
      </c>
      <c r="G32" s="174">
        <f t="shared" si="7"/>
        <v>696990.41</v>
      </c>
      <c r="H32" s="174">
        <f>-K70</f>
        <v>6245.8621799999992</v>
      </c>
      <c r="I32" s="174">
        <f t="shared" si="9"/>
        <v>703236.27218000009</v>
      </c>
      <c r="M32" s="1" t="s">
        <v>250</v>
      </c>
      <c r="O32" s="368">
        <v>250.85</v>
      </c>
      <c r="P32" s="345">
        <f>E13</f>
        <v>627608.14300000004</v>
      </c>
      <c r="Q32" s="345">
        <f>G13</f>
        <v>231486</v>
      </c>
      <c r="R32" s="352">
        <v>4.0000000000000002E-4</v>
      </c>
      <c r="S32" s="347">
        <f t="shared" si="18"/>
        <v>92.594400000000007</v>
      </c>
      <c r="T32" s="345">
        <f>F13</f>
        <v>-373828</v>
      </c>
      <c r="U32" s="352">
        <v>4.0000000000000002E-4</v>
      </c>
      <c r="V32" s="348">
        <f t="shared" si="10"/>
        <v>-149.53120000000001</v>
      </c>
      <c r="X32" s="349">
        <f t="shared" si="11"/>
        <v>193.91319999999996</v>
      </c>
      <c r="Z32" s="350">
        <f t="shared" si="12"/>
        <v>485266.14300000004</v>
      </c>
      <c r="AA32" s="353">
        <f t="shared" si="13"/>
        <v>4.0000000000000002E-4</v>
      </c>
      <c r="AB32" s="283">
        <f t="shared" si="14"/>
        <v>194.10645720000002</v>
      </c>
      <c r="AC32" s="349">
        <f t="shared" si="15"/>
        <v>-0.19325720000006186</v>
      </c>
      <c r="AD32" s="350">
        <f t="shared" si="16"/>
        <v>-483.14300000015464</v>
      </c>
      <c r="AE32" s="351">
        <f t="shared" si="17"/>
        <v>-9.966170430897015E-4</v>
      </c>
    </row>
    <row r="33" spans="1:31">
      <c r="A33" s="180" t="s">
        <v>138</v>
      </c>
      <c r="B33" s="152"/>
      <c r="C33" s="181">
        <v>24680</v>
      </c>
      <c r="D33" s="181">
        <v>79943.350000000006</v>
      </c>
      <c r="E33" s="183">
        <v>-42268</v>
      </c>
      <c r="F33" s="183">
        <v>32250</v>
      </c>
      <c r="G33" s="174">
        <f t="shared" si="7"/>
        <v>69925.350000000006</v>
      </c>
      <c r="H33" s="174">
        <f>-K71</f>
        <v>436.08407999999997</v>
      </c>
      <c r="I33" s="174">
        <f t="shared" si="9"/>
        <v>70361.434080000006</v>
      </c>
      <c r="O33" s="193">
        <f>SUM(O24:O32)</f>
        <v>732523.73</v>
      </c>
      <c r="P33" s="354">
        <f>SUM(P24:P32)</f>
        <v>318442367.61199999</v>
      </c>
      <c r="Q33" s="354">
        <f>SUM(Q24:Q32)</f>
        <v>172340848</v>
      </c>
      <c r="S33" s="193">
        <f>SUM(S24:S32)</f>
        <v>402352.22470000002</v>
      </c>
      <c r="T33" s="354">
        <f>SUM(T24:T32)</f>
        <v>-147485144</v>
      </c>
      <c r="V33" s="193">
        <f>SUM(V24:V32)</f>
        <v>-348785.12105000002</v>
      </c>
      <c r="X33" s="193">
        <f>SUM(X24:X32)</f>
        <v>786090.83365000004</v>
      </c>
      <c r="Z33" s="354">
        <f>SUM(Z24:Z32)</f>
        <v>343298071.61199999</v>
      </c>
      <c r="AB33" s="354">
        <f>SUM(AB24:AB32)</f>
        <v>786065.02827969985</v>
      </c>
      <c r="AC33" s="193">
        <f>SUM(AC24:AC32)</f>
        <v>25.805370300053028</v>
      </c>
      <c r="AD33" s="354">
        <f>SUM(AD24:AD32)</f>
        <v>-30.81424719342067</v>
      </c>
      <c r="AE33" s="351">
        <f t="shared" si="17"/>
        <v>3.2827466235972724E-5</v>
      </c>
    </row>
    <row r="34" spans="1:31">
      <c r="A34" s="180" t="s">
        <v>192</v>
      </c>
      <c r="B34" s="152"/>
      <c r="C34" s="174"/>
      <c r="D34" s="181">
        <v>560501.27</v>
      </c>
      <c r="E34" s="181"/>
      <c r="F34" s="181"/>
      <c r="G34" s="174">
        <f>SUM(D34:F34)</f>
        <v>560501.27</v>
      </c>
      <c r="H34" s="174"/>
      <c r="I34" s="174">
        <f t="shared" si="9"/>
        <v>560501.27</v>
      </c>
      <c r="U34" s="355"/>
    </row>
    <row r="35" spans="1:31">
      <c r="A35" s="180" t="s">
        <v>193</v>
      </c>
      <c r="B35" s="152"/>
      <c r="C35" s="194"/>
      <c r="D35" s="181">
        <v>2086704.03</v>
      </c>
      <c r="E35" s="181"/>
      <c r="F35" s="181"/>
      <c r="G35" s="174"/>
      <c r="H35" s="174"/>
      <c r="I35" s="174"/>
      <c r="U35" s="355" t="s">
        <v>251</v>
      </c>
      <c r="V35" s="1" t="s">
        <v>252</v>
      </c>
      <c r="X35" s="194">
        <v>0.95332300000000003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1446917.46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679574.22845479345</v>
      </c>
      <c r="Z36" s="1" t="s">
        <v>19</v>
      </c>
      <c r="AA36" s="189">
        <f>P24+P25+Q24+Q25+T24+T25</f>
        <v>160184148.058</v>
      </c>
      <c r="AB36" s="194">
        <v>4.2399999999999998E-3</v>
      </c>
      <c r="AC36" s="349">
        <f>AA36*AB36</f>
        <v>679180.78776591993</v>
      </c>
      <c r="AD36" s="349">
        <f>X36-AC36</f>
        <v>393.44068887352478</v>
      </c>
      <c r="AE36" s="351">
        <f>AD36/X36</f>
        <v>5.7895175008052446E-4</v>
      </c>
    </row>
    <row r="37" spans="1:31">
      <c r="A37" s="152"/>
      <c r="B37" s="152"/>
      <c r="C37" s="166">
        <f t="shared" ref="C37:I37" si="19">SUM(C24:C36)</f>
        <v>4266558.09</v>
      </c>
      <c r="D37" s="166">
        <f t="shared" si="19"/>
        <v>40268024.350000001</v>
      </c>
      <c r="E37" s="166">
        <f t="shared" si="19"/>
        <v>-20077674</v>
      </c>
      <c r="F37" s="166">
        <f t="shared" si="19"/>
        <v>22510273</v>
      </c>
      <c r="G37" s="166">
        <f t="shared" si="19"/>
        <v>39167001.859999999</v>
      </c>
      <c r="H37" s="166">
        <f t="shared" si="19"/>
        <v>-179270.47085000001</v>
      </c>
      <c r="I37" s="166">
        <f t="shared" si="19"/>
        <v>38987731.389150001</v>
      </c>
      <c r="T37" s="1" t="s">
        <v>142</v>
      </c>
      <c r="U37" s="1" t="s">
        <v>257</v>
      </c>
      <c r="X37" s="356">
        <f>SUM(X26:X32)*X35</f>
        <v>69824.243352925609</v>
      </c>
      <c r="Z37" s="1" t="s">
        <v>184</v>
      </c>
      <c r="AA37" s="189">
        <f>SUM(P26:Q32,T26:T32)</f>
        <v>183113923.55400005</v>
      </c>
      <c r="AB37" s="194">
        <v>3.8000000000000002E-4</v>
      </c>
      <c r="AC37" s="349">
        <f>AA37*AB37</f>
        <v>69583.290950520022</v>
      </c>
      <c r="AD37" s="349">
        <f>X37-AC37</f>
        <v>240.95240240558633</v>
      </c>
      <c r="AE37" s="351">
        <f>AD37/X37</f>
        <v>3.4508415821664683E-3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0">C24+C25</f>
        <v>2016999</v>
      </c>
      <c r="D39" s="168">
        <f t="shared" si="20"/>
        <v>13696712.680000002</v>
      </c>
      <c r="E39" s="168">
        <f t="shared" si="20"/>
        <v>-7169402</v>
      </c>
      <c r="F39" s="168">
        <f t="shared" si="20"/>
        <v>8043301</v>
      </c>
      <c r="G39" s="168">
        <f t="shared" si="20"/>
        <v>14570611.680000002</v>
      </c>
      <c r="H39" s="168">
        <f t="shared" si="20"/>
        <v>-85141.640690000015</v>
      </c>
      <c r="I39" s="169">
        <f t="shared" si="20"/>
        <v>14485470.039310001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1697559.09</v>
      </c>
      <c r="D41" s="176">
        <f t="shared" ref="D41:I41" si="21">SUM(D26:D29,D31:D33)</f>
        <v>17059282.219999999</v>
      </c>
      <c r="E41" s="176">
        <f t="shared" si="21"/>
        <v>-7118221</v>
      </c>
      <c r="F41" s="176">
        <f t="shared" si="21"/>
        <v>8466345</v>
      </c>
      <c r="G41" s="176">
        <f t="shared" si="21"/>
        <v>18407406.219999999</v>
      </c>
      <c r="H41" s="176">
        <f t="shared" si="21"/>
        <v>-77130.975930000015</v>
      </c>
      <c r="I41" s="175">
        <f t="shared" si="21"/>
        <v>18330275.244069997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1">
        <v>43040</v>
      </c>
      <c r="D43" s="191">
        <v>43252</v>
      </c>
      <c r="E43" s="196">
        <v>43040</v>
      </c>
      <c r="F43" s="192">
        <v>42278</v>
      </c>
      <c r="G43" s="191">
        <v>43344</v>
      </c>
      <c r="H43" s="191">
        <v>43009</v>
      </c>
      <c r="I43" s="191">
        <v>43374</v>
      </c>
      <c r="J43" s="191">
        <v>43282</v>
      </c>
      <c r="K43" s="191"/>
      <c r="L43" s="196"/>
      <c r="M43" s="1" t="s">
        <v>377</v>
      </c>
    </row>
    <row r="44" spans="1:31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199</v>
      </c>
      <c r="J44" s="165" t="s">
        <v>201</v>
      </c>
      <c r="K44" s="165"/>
      <c r="M44" s="211" t="s">
        <v>376</v>
      </c>
      <c r="N44" s="194"/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4.3299999999999996E-3</v>
      </c>
      <c r="H45" s="171">
        <v>1.0499999999999999E-3</v>
      </c>
      <c r="I45" s="171">
        <v>1.15E-3</v>
      </c>
      <c r="J45" s="171">
        <v>-3.4000000000000002E-4</v>
      </c>
      <c r="K45" s="171"/>
      <c r="M45" s="369">
        <f>SUM(C45:G45,J45)*H3+H45*F3+I45*G3</f>
        <v>86120.349920000008</v>
      </c>
      <c r="N45" s="335"/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4.3299999999999996E-3</v>
      </c>
      <c r="H46" s="171">
        <v>1.0499999999999999E-3</v>
      </c>
      <c r="I46" s="171">
        <v>1.15E-3</v>
      </c>
      <c r="J46" s="171">
        <v>-3.4000000000000002E-4</v>
      </c>
      <c r="K46" s="171"/>
      <c r="M46" s="369">
        <f t="shared" ref="M46:M55" si="22">SUM(C46:G46,J46)*H4+H46*F4+I46*G4</f>
        <v>-978.70922999999993</v>
      </c>
      <c r="N46" s="335"/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5.9699999999999996E-3</v>
      </c>
      <c r="H47" s="171">
        <v>1.5200000000000001E-3</v>
      </c>
      <c r="I47" s="171">
        <v>1.67E-3</v>
      </c>
      <c r="J47" s="171">
        <v>-3.6000000000000002E-4</v>
      </c>
      <c r="K47" s="171"/>
      <c r="M47" s="369">
        <f t="shared" si="22"/>
        <v>24608.075949999999</v>
      </c>
      <c r="N47" s="335"/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5.9699999999999996E-3</v>
      </c>
      <c r="H48" s="171">
        <v>1.5200000000000001E-3</v>
      </c>
      <c r="I48" s="171">
        <v>1.67E-3</v>
      </c>
      <c r="J48" s="171">
        <v>-3.6000000000000002E-4</v>
      </c>
      <c r="K48" s="171"/>
      <c r="M48" s="369">
        <f t="shared" si="22"/>
        <v>2403.4273599999997</v>
      </c>
      <c r="N48" s="335"/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4.5999999999999999E-3</v>
      </c>
      <c r="H49" s="171">
        <v>1.1000000000000001E-3</v>
      </c>
      <c r="I49" s="171">
        <v>1.2099999999999999E-3</v>
      </c>
      <c r="J49" s="171">
        <v>-3.6000000000000002E-4</v>
      </c>
      <c r="K49" s="171"/>
      <c r="M49" s="369">
        <f t="shared" si="22"/>
        <v>56007.563920000001</v>
      </c>
      <c r="N49" s="335"/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4.5999999999999999E-3</v>
      </c>
      <c r="H50" s="171">
        <v>1.1000000000000001E-3</v>
      </c>
      <c r="I50" s="171">
        <v>1.2099999999999999E-3</v>
      </c>
      <c r="J50" s="171">
        <v>-3.6000000000000002E-4</v>
      </c>
      <c r="K50" s="171"/>
      <c r="M50" s="369">
        <f t="shared" si="22"/>
        <v>793.85495999999966</v>
      </c>
      <c r="N50" s="335"/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2.97E-3</v>
      </c>
      <c r="H51" s="171">
        <v>6.8999999999999997E-4</v>
      </c>
      <c r="I51" s="171">
        <v>7.6000000000000004E-4</v>
      </c>
      <c r="J51" s="171">
        <v>-3.5E-4</v>
      </c>
      <c r="K51" s="171"/>
      <c r="M51" s="369">
        <f t="shared" si="22"/>
        <v>16997.854230000004</v>
      </c>
      <c r="N51" s="335"/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2.97E-3</v>
      </c>
      <c r="H52" s="171">
        <v>0</v>
      </c>
      <c r="I52" s="171">
        <v>0</v>
      </c>
      <c r="J52" s="171">
        <v>-3.5E-4</v>
      </c>
      <c r="K52" s="171"/>
      <c r="M52" s="369">
        <f t="shared" si="22"/>
        <v>0</v>
      </c>
      <c r="N52" s="335"/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4.3299999999999996E-3</v>
      </c>
      <c r="H53" s="171">
        <v>9.6000000000000002E-4</v>
      </c>
      <c r="I53" s="171">
        <v>1.0499999999999999E-3</v>
      </c>
      <c r="J53" s="171">
        <v>-3.6999999999999999E-4</v>
      </c>
      <c r="K53" s="171"/>
      <c r="M53" s="369">
        <f t="shared" si="22"/>
        <v>0</v>
      </c>
      <c r="N53" s="335"/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4.3299999999999996E-3</v>
      </c>
      <c r="H54" s="171">
        <v>9.6000000000000002E-4</v>
      </c>
      <c r="I54" s="171">
        <v>1.0499999999999999E-3</v>
      </c>
      <c r="J54" s="171">
        <v>-3.6999999999999999E-4</v>
      </c>
      <c r="K54" s="171"/>
      <c r="M54" s="369">
        <f t="shared" si="22"/>
        <v>-6245.862180000001</v>
      </c>
      <c r="N54" s="335"/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4.3299999999999996E-3</v>
      </c>
      <c r="H55" s="171">
        <v>9.6000000000000002E-4</v>
      </c>
      <c r="I55" s="171">
        <v>1.0499999999999999E-3</v>
      </c>
      <c r="J55" s="171">
        <v>-3.6999999999999999E-4</v>
      </c>
      <c r="K55" s="171"/>
      <c r="M55" s="369">
        <f t="shared" si="22"/>
        <v>-436.08407999999997</v>
      </c>
      <c r="N55" s="335"/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1.013E-2</v>
      </c>
      <c r="H56" s="401" t="s">
        <v>214</v>
      </c>
      <c r="I56" s="401" t="s">
        <v>375</v>
      </c>
      <c r="J56" s="186">
        <v>-4.8000000000000001E-4</v>
      </c>
      <c r="K56" s="186"/>
      <c r="M56" s="369"/>
      <c r="N56" s="335"/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1.013E-2</v>
      </c>
      <c r="H57" s="401"/>
      <c r="I57" s="401"/>
      <c r="J57" s="186">
        <v>-4.8000000000000001E-4</v>
      </c>
      <c r="K57" s="186"/>
      <c r="M57" s="369"/>
      <c r="N57" s="335"/>
    </row>
    <row r="58" spans="1:14">
      <c r="A58" s="180"/>
      <c r="B58" s="152"/>
      <c r="C58" s="171"/>
      <c r="D58" s="171"/>
      <c r="E58" s="171"/>
      <c r="F58" s="171"/>
      <c r="G58" s="186"/>
      <c r="H58" s="342"/>
      <c r="I58" s="171"/>
      <c r="J58" s="186"/>
      <c r="K58" s="171"/>
      <c r="L58" s="212"/>
      <c r="M58" s="369">
        <f>SUM(M45:M57)</f>
        <v>179270.47085000001</v>
      </c>
      <c r="N58" s="194"/>
    </row>
    <row r="59" spans="1:14">
      <c r="A59" s="180"/>
      <c r="B59" s="152"/>
      <c r="C59" s="171"/>
      <c r="D59" s="171"/>
      <c r="E59" s="171"/>
      <c r="F59" s="171"/>
      <c r="G59" s="186"/>
      <c r="H59" s="342"/>
      <c r="I59" s="171"/>
      <c r="J59" s="186"/>
      <c r="K59" s="171"/>
      <c r="L59" s="212"/>
      <c r="M59" s="335"/>
      <c r="N59" s="194"/>
    </row>
    <row r="60" spans="1:14">
      <c r="F60" s="152"/>
      <c r="M60" s="335"/>
      <c r="N60" s="335"/>
    </row>
    <row r="61" spans="1:14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3">C45*$H3</f>
        <v>-8691.76332</v>
      </c>
      <c r="D62" s="168">
        <f t="shared" si="23"/>
        <v>-15237.41224</v>
      </c>
      <c r="E62" s="168">
        <f t="shared" ref="E62:E67" si="24">E45*H3</f>
        <v>47751.045400000003</v>
      </c>
      <c r="F62" s="168">
        <f t="shared" ref="F62:F67" si="25">$H3*F45</f>
        <v>0</v>
      </c>
      <c r="G62" s="168">
        <f>(H3*G45)</f>
        <v>46463.376759999999</v>
      </c>
      <c r="H62" s="168">
        <f>($F3*H45)+(I45*G3)</f>
        <v>19483.497800000012</v>
      </c>
      <c r="I62" s="168">
        <v>0</v>
      </c>
      <c r="J62" s="168">
        <f t="shared" ref="J62:J67" si="26">J45*H3</f>
        <v>-3648.3944800000004</v>
      </c>
      <c r="K62" s="168">
        <f>SUM(C62:J62)</f>
        <v>86120.349920000008</v>
      </c>
      <c r="N62" s="168"/>
    </row>
    <row r="63" spans="1:14">
      <c r="A63" s="180" t="s">
        <v>178</v>
      </c>
      <c r="C63" s="168">
        <f t="shared" si="23"/>
        <v>-33.201090000000001</v>
      </c>
      <c r="D63" s="168">
        <f t="shared" si="23"/>
        <v>-58.20438</v>
      </c>
      <c r="E63" s="168">
        <f t="shared" si="24"/>
        <v>182.40105</v>
      </c>
      <c r="F63" s="168">
        <f t="shared" si="25"/>
        <v>-1292.3831700000001</v>
      </c>
      <c r="G63" s="168">
        <f t="shared" ref="G63:G67" si="27">(H4*G46)</f>
        <v>177.48236999999997</v>
      </c>
      <c r="H63" s="168">
        <f t="shared" ref="H63:H67" si="28">($F4*H46)+(I46*G4)</f>
        <v>59.132249999999999</v>
      </c>
      <c r="I63" s="168">
        <v>0</v>
      </c>
      <c r="J63" s="168">
        <f t="shared" si="26"/>
        <v>-13.936260000000001</v>
      </c>
      <c r="K63" s="168">
        <f t="shared" ref="K63:K72" si="29">SUM(C63:J63)</f>
        <v>-978.70923000000005</v>
      </c>
      <c r="N63" s="168"/>
    </row>
    <row r="64" spans="1:14">
      <c r="A64" s="180" t="s">
        <v>132</v>
      </c>
      <c r="C64" s="168">
        <f t="shared" si="23"/>
        <v>0</v>
      </c>
      <c r="D64" s="168">
        <f t="shared" si="23"/>
        <v>-7045.8451999999997</v>
      </c>
      <c r="E64" s="168">
        <f t="shared" si="24"/>
        <v>1499.116</v>
      </c>
      <c r="F64" s="168">
        <f t="shared" si="25"/>
        <v>0</v>
      </c>
      <c r="G64" s="168">
        <f t="shared" si="27"/>
        <v>22374.3063</v>
      </c>
      <c r="H64" s="168">
        <f t="shared" si="28"/>
        <v>9129.7032500000023</v>
      </c>
      <c r="I64" s="168">
        <v>0</v>
      </c>
      <c r="J64" s="168">
        <f t="shared" si="26"/>
        <v>-1349.2044000000001</v>
      </c>
      <c r="K64" s="168">
        <f t="shared" si="29"/>
        <v>24608.075950000006</v>
      </c>
      <c r="N64" s="168"/>
    </row>
    <row r="65" spans="1:14">
      <c r="A65" s="180" t="s">
        <v>133</v>
      </c>
      <c r="C65" s="168">
        <f t="shared" si="23"/>
        <v>-348.56243999999998</v>
      </c>
      <c r="D65" s="168">
        <f t="shared" si="23"/>
        <v>-809.00911999999994</v>
      </c>
      <c r="E65" s="168">
        <f t="shared" si="24"/>
        <v>172.12960000000001</v>
      </c>
      <c r="F65" s="168">
        <f t="shared" si="25"/>
        <v>0</v>
      </c>
      <c r="G65" s="168">
        <f t="shared" si="27"/>
        <v>2569.0342799999999</v>
      </c>
      <c r="H65" s="168">
        <f t="shared" si="28"/>
        <v>974.75167999999985</v>
      </c>
      <c r="I65" s="168">
        <v>0</v>
      </c>
      <c r="J65" s="168">
        <f t="shared" si="26"/>
        <v>-154.91664</v>
      </c>
      <c r="K65" s="168">
        <f t="shared" si="29"/>
        <v>2403.4273600000001</v>
      </c>
      <c r="N65" s="168"/>
    </row>
    <row r="66" spans="1:14">
      <c r="A66" s="180" t="s">
        <v>134</v>
      </c>
      <c r="C66" s="168">
        <f t="shared" si="23"/>
        <v>0</v>
      </c>
      <c r="D66" s="168">
        <f t="shared" si="23"/>
        <v>-16574.754240000002</v>
      </c>
      <c r="E66" s="168">
        <f t="shared" si="24"/>
        <v>4604.0983999999999</v>
      </c>
      <c r="F66" s="168">
        <f t="shared" si="25"/>
        <v>0</v>
      </c>
      <c r="G66" s="168">
        <f t="shared" si="27"/>
        <v>52947.131600000001</v>
      </c>
      <c r="H66" s="168">
        <f t="shared" si="28"/>
        <v>19174.776720000002</v>
      </c>
      <c r="I66" s="168">
        <v>0</v>
      </c>
      <c r="J66" s="168">
        <f t="shared" si="26"/>
        <v>-4143.6885600000005</v>
      </c>
      <c r="K66" s="168">
        <f t="shared" si="29"/>
        <v>56007.563920000001</v>
      </c>
      <c r="N66" s="168"/>
    </row>
    <row r="67" spans="1:14">
      <c r="A67" s="180" t="s">
        <v>135</v>
      </c>
      <c r="C67" s="168">
        <f t="shared" si="23"/>
        <v>-152.14634999999998</v>
      </c>
      <c r="D67" s="168">
        <f t="shared" si="23"/>
        <v>-270.48240000000004</v>
      </c>
      <c r="E67" s="168">
        <f t="shared" si="24"/>
        <v>75.134</v>
      </c>
      <c r="F67" s="168">
        <f t="shared" si="25"/>
        <v>0</v>
      </c>
      <c r="G67" s="168">
        <f t="shared" si="27"/>
        <v>864.04099999999994</v>
      </c>
      <c r="H67" s="168">
        <f t="shared" si="28"/>
        <v>344.92930999999976</v>
      </c>
      <c r="I67" s="168">
        <v>0</v>
      </c>
      <c r="J67" s="168">
        <f t="shared" si="26"/>
        <v>-67.62060000000001</v>
      </c>
      <c r="K67" s="168">
        <f t="shared" si="29"/>
        <v>793.85495999999966</v>
      </c>
      <c r="N67" s="168"/>
    </row>
    <row r="68" spans="1:14">
      <c r="A68" s="180" t="s">
        <v>136</v>
      </c>
      <c r="C68" s="168">
        <f t="shared" ref="C68:E68" si="30">$H9*C51+$H10*C52</f>
        <v>0</v>
      </c>
      <c r="D68" s="168">
        <f t="shared" si="30"/>
        <v>-4992.5831699999999</v>
      </c>
      <c r="E68" s="168">
        <f t="shared" si="30"/>
        <v>0</v>
      </c>
      <c r="F68" s="168">
        <f>$H9*F51+$H10*F52</f>
        <v>0</v>
      </c>
      <c r="G68" s="168">
        <f>$H9*G51+$H10*G52</f>
        <v>15944.05593</v>
      </c>
      <c r="H68" s="168">
        <f>($F9*H51)+(I51*G9)+(F10*H52)+(G10*I52)</f>
        <v>7925.3106200000038</v>
      </c>
      <c r="I68" s="168">
        <v>0</v>
      </c>
      <c r="J68" s="168">
        <f>$H9*J51+$H10*J52</f>
        <v>-1878.9291499999999</v>
      </c>
      <c r="K68" s="168">
        <f t="shared" si="29"/>
        <v>16997.854230000004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1">$H11*E53</f>
        <v>0</v>
      </c>
      <c r="F69" s="168">
        <f t="shared" si="31"/>
        <v>0</v>
      </c>
      <c r="G69" s="168">
        <f t="shared" ref="G69" si="32">$H11*G53</f>
        <v>0</v>
      </c>
      <c r="H69" s="168">
        <f>($F11*H52)+(I52*G11)</f>
        <v>0</v>
      </c>
      <c r="I69" s="168">
        <v>0</v>
      </c>
      <c r="J69" s="168">
        <f>$H11*J53</f>
        <v>0</v>
      </c>
      <c r="K69" s="168">
        <f t="shared" si="29"/>
        <v>0</v>
      </c>
      <c r="N69" s="168"/>
    </row>
    <row r="70" spans="1:14">
      <c r="A70" s="180" t="s">
        <v>137</v>
      </c>
      <c r="C70" s="168">
        <f t="shared" si="31"/>
        <v>0</v>
      </c>
      <c r="D70" s="168">
        <f t="shared" si="31"/>
        <v>2144.623</v>
      </c>
      <c r="E70" s="168">
        <f t="shared" si="31"/>
        <v>-659.88400000000001</v>
      </c>
      <c r="F70" s="168">
        <f t="shared" si="31"/>
        <v>0</v>
      </c>
      <c r="G70" s="168">
        <f t="shared" ref="G70" si="33">$H12*G54</f>
        <v>-7143.2442999999994</v>
      </c>
      <c r="H70" s="168">
        <f t="shared" ref="H70:H71" si="34">($F12*H53)+(I53*G12)</f>
        <v>-1197.7495800000006</v>
      </c>
      <c r="I70" s="168">
        <v>0</v>
      </c>
      <c r="J70" s="168">
        <f>$H12*J54</f>
        <v>610.39269999999999</v>
      </c>
      <c r="K70" s="168">
        <f t="shared" si="29"/>
        <v>-6245.8621799999992</v>
      </c>
      <c r="N70" s="168"/>
    </row>
    <row r="71" spans="1:14">
      <c r="A71" s="180" t="s">
        <v>138</v>
      </c>
      <c r="C71" s="168">
        <f t="shared" si="31"/>
        <v>115.29701999999999</v>
      </c>
      <c r="D71" s="168">
        <f t="shared" si="31"/>
        <v>185.0446</v>
      </c>
      <c r="E71" s="168">
        <f t="shared" si="31"/>
        <v>-56.936800000000005</v>
      </c>
      <c r="F71" s="168">
        <f t="shared" si="31"/>
        <v>0</v>
      </c>
      <c r="G71" s="168">
        <f t="shared" ref="G71" si="35">$H13*G55</f>
        <v>-616.34085999999991</v>
      </c>
      <c r="H71" s="168">
        <f t="shared" si="34"/>
        <v>-115.81458000000003</v>
      </c>
      <c r="I71" s="168">
        <v>0</v>
      </c>
      <c r="J71" s="168">
        <f>$H13*J55</f>
        <v>52.666539999999998</v>
      </c>
      <c r="K71" s="168">
        <f t="shared" si="29"/>
        <v>-436.08407999999997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>
        <v>0</v>
      </c>
      <c r="I72" s="168">
        <v>0</v>
      </c>
      <c r="J72" s="168">
        <f>($H14+$H15)*J56+$H16*J57</f>
        <v>0</v>
      </c>
      <c r="K72" s="168">
        <f t="shared" si="29"/>
        <v>0</v>
      </c>
    </row>
    <row r="73" spans="1:14">
      <c r="A73" s="157"/>
      <c r="C73" s="193">
        <f t="shared" ref="C73:J73" si="36">SUM(C62:C72)</f>
        <v>-9110.3761800000011</v>
      </c>
      <c r="D73" s="193">
        <f>SUM(D62:D72)</f>
        <v>-42658.623149999992</v>
      </c>
      <c r="E73" s="193">
        <f t="shared" si="36"/>
        <v>53567.103650000005</v>
      </c>
      <c r="F73" s="193">
        <f t="shared" si="36"/>
        <v>-1292.3831700000001</v>
      </c>
      <c r="G73" s="337">
        <f t="shared" si="36"/>
        <v>133579.84307999999</v>
      </c>
      <c r="H73" s="193">
        <f t="shared" si="36"/>
        <v>55778.537470000017</v>
      </c>
      <c r="I73" s="193">
        <f t="shared" si="36"/>
        <v>0</v>
      </c>
      <c r="J73" s="193">
        <f t="shared" si="36"/>
        <v>-10593.630850000001</v>
      </c>
      <c r="K73" s="193">
        <f>SUM(K62:K72)</f>
        <v>179270.47085000001</v>
      </c>
    </row>
    <row r="75" spans="1:14">
      <c r="A75" s="152" t="s">
        <v>19</v>
      </c>
      <c r="B75" s="152"/>
      <c r="C75" s="168">
        <f t="shared" ref="C75:J75" si="37">C62+C63</f>
        <v>-8724.9644100000005</v>
      </c>
      <c r="D75" s="168">
        <f t="shared" si="37"/>
        <v>-15295.616619999999</v>
      </c>
      <c r="E75" s="168">
        <f t="shared" si="37"/>
        <v>47933.446450000003</v>
      </c>
      <c r="F75" s="168">
        <f t="shared" si="37"/>
        <v>-1292.3831700000001</v>
      </c>
      <c r="G75" s="168">
        <f t="shared" si="37"/>
        <v>46640.859129999997</v>
      </c>
      <c r="H75" s="168">
        <f t="shared" si="37"/>
        <v>19542.630050000011</v>
      </c>
      <c r="I75" s="168">
        <f t="shared" si="37"/>
        <v>0</v>
      </c>
      <c r="J75" s="168">
        <f t="shared" si="37"/>
        <v>-3662.3307400000003</v>
      </c>
      <c r="K75" s="168">
        <f>K62+K63</f>
        <v>85141.640690000015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8">SUM(C64:C67,C69:C71)</f>
        <v>-385.41176999999999</v>
      </c>
      <c r="D77" s="176">
        <f>SUM(D64:D67,D69:D71)</f>
        <v>-22370.423360000001</v>
      </c>
      <c r="E77" s="176">
        <f>SUM(E64:E67,E69:E71)</f>
        <v>5633.6571999999996</v>
      </c>
      <c r="F77" s="176">
        <f>SUM(F64:F67,F69:F71)</f>
        <v>0</v>
      </c>
      <c r="G77" s="176">
        <f t="shared" si="38"/>
        <v>70994.928019999992</v>
      </c>
      <c r="H77" s="176">
        <f t="shared" si="38"/>
        <v>28310.596800000003</v>
      </c>
      <c r="I77" s="176">
        <f t="shared" si="38"/>
        <v>0</v>
      </c>
      <c r="J77" s="176">
        <f t="shared" si="38"/>
        <v>-5052.3709600000002</v>
      </c>
      <c r="K77" s="176">
        <f>SUM(K64:K67,K69:K71)</f>
        <v>77130.975930000015</v>
      </c>
    </row>
    <row r="79" spans="1:14">
      <c r="A79" s="1" t="s">
        <v>215</v>
      </c>
    </row>
    <row r="80" spans="1:14">
      <c r="A80" s="1" t="s">
        <v>223</v>
      </c>
    </row>
    <row r="81" spans="1:14" ht="15.75" customHeight="1">
      <c r="A81" s="194" t="s">
        <v>222</v>
      </c>
      <c r="B81" s="194"/>
      <c r="C81" s="194"/>
      <c r="D81" s="194"/>
      <c r="E81" s="194"/>
    </row>
    <row r="82" spans="1:14" ht="27.6">
      <c r="A82" s="194"/>
      <c r="B82" s="357" t="s">
        <v>216</v>
      </c>
      <c r="C82" s="357" t="s">
        <v>217</v>
      </c>
      <c r="D82" s="357" t="s">
        <v>218</v>
      </c>
      <c r="E82" s="357" t="s">
        <v>221</v>
      </c>
      <c r="G82" s="402" t="s">
        <v>381</v>
      </c>
      <c r="H82" s="402"/>
      <c r="I82" s="402"/>
      <c r="J82" s="402"/>
      <c r="M82" s="358"/>
      <c r="N82" s="358"/>
    </row>
    <row r="83" spans="1:14">
      <c r="A83" s="359" t="s">
        <v>370</v>
      </c>
      <c r="B83" s="361">
        <v>1</v>
      </c>
      <c r="C83" s="362">
        <v>873927.6</v>
      </c>
      <c r="D83" s="358">
        <f>75508.54-C83*SUM(C51:G51,I51:J51)</f>
        <v>73367.417379999999</v>
      </c>
      <c r="E83" s="358">
        <f>500*B83</f>
        <v>500</v>
      </c>
      <c r="F83" s="360" t="s">
        <v>219</v>
      </c>
      <c r="H83" s="361"/>
      <c r="I83" s="362"/>
      <c r="J83" s="358"/>
      <c r="K83" s="358"/>
      <c r="L83" s="360"/>
    </row>
    <row r="84" spans="1:14">
      <c r="A84" s="363" t="s">
        <v>258</v>
      </c>
      <c r="B84" s="364">
        <f>SUM(B83:B83)</f>
        <v>1</v>
      </c>
      <c r="C84" s="365">
        <f>SUM(C83:C83)</f>
        <v>873927.6</v>
      </c>
      <c r="D84" s="366">
        <f>SUM(D83:D83)</f>
        <v>73367.417379999999</v>
      </c>
      <c r="E84" s="366">
        <f>SUM(E83:E83)</f>
        <v>500</v>
      </c>
    </row>
    <row r="85" spans="1:14">
      <c r="A85" s="194"/>
      <c r="B85" s="194"/>
      <c r="C85" s="194"/>
      <c r="D85" s="194"/>
      <c r="E85" s="194"/>
    </row>
    <row r="86" spans="1:14">
      <c r="A86" s="346"/>
      <c r="B86" s="361"/>
      <c r="C86" s="362"/>
      <c r="D86" s="358"/>
      <c r="E86" s="358"/>
    </row>
    <row r="87" spans="1:14">
      <c r="B87" s="361"/>
      <c r="C87" s="362"/>
      <c r="D87" s="358"/>
      <c r="E87" s="358"/>
    </row>
    <row r="88" spans="1:14" ht="9" customHeight="1"/>
  </sheetData>
  <mergeCells count="5">
    <mergeCell ref="A1:I1"/>
    <mergeCell ref="H56:H57"/>
    <mergeCell ref="G82:J82"/>
    <mergeCell ref="I56:I57"/>
    <mergeCell ref="J1:K1"/>
  </mergeCells>
  <printOptions horizontalCentered="1"/>
  <pageMargins left="0.45" right="0.45" top="0.5" bottom="0.5" header="0.3" footer="0.3"/>
  <pageSetup scale="75" orientation="landscape" r:id="rId1"/>
  <headerFooter>
    <oddFooter>&amp;L&amp;F / &amp;A&amp;RPage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AE88"/>
  <sheetViews>
    <sheetView zoomScaleNormal="100" workbookViewId="0">
      <selection activeCell="J3" sqref="J3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3.109375" style="1" bestFit="1" customWidth="1"/>
    <col min="11" max="11" width="14.554687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3.6640625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298</v>
      </c>
      <c r="AB1" s="151"/>
      <c r="AC1" s="151" t="s">
        <v>237</v>
      </c>
      <c r="AD1" s="224" t="s">
        <v>297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September Billed Schedule 75 Revenue</v>
      </c>
      <c r="P2" s="287" t="str">
        <f>AA1&amp;" Billed kWhs"</f>
        <v>September Billed kWhs</v>
      </c>
      <c r="Q2" s="287" t="str">
        <f>AA1&amp;" Unbilled kWhs"</f>
        <v>September Unbilled kWhs</v>
      </c>
      <c r="R2" s="287" t="s">
        <v>238</v>
      </c>
      <c r="S2" s="287" t="s">
        <v>239</v>
      </c>
      <c r="T2" s="287" t="str">
        <f>AD1&amp;" Unbilled kWhs reversal"</f>
        <v>August Unbilled kWhs reversal</v>
      </c>
      <c r="U2" s="287" t="s">
        <v>238</v>
      </c>
      <c r="V2" s="287" t="str">
        <f>AD1&amp;" Schedule 75 Unbilled Reversal"</f>
        <v>August Schedule 75 Unbilled Reversal</v>
      </c>
      <c r="W2" s="151"/>
      <c r="X2" s="287" t="str">
        <f>"Total "&amp;AA1&amp;" Schedule 75 Revenue"</f>
        <v>Total September Schedule 75 Revenue</v>
      </c>
      <c r="Y2" s="151"/>
      <c r="Z2" s="287" t="str">
        <f>"Calendar "&amp;AA1&amp;" Usage"</f>
        <v>Calendar September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August unbilled/Cancel-Rebill True-up kWhs</v>
      </c>
      <c r="AE2" s="151"/>
    </row>
    <row r="3" spans="1:31" ht="14.4">
      <c r="A3" s="180" t="s">
        <v>131</v>
      </c>
      <c r="B3" s="152"/>
      <c r="C3" s="158">
        <v>213728</v>
      </c>
      <c r="D3" s="282"/>
      <c r="E3" s="182">
        <v>165623441.081</v>
      </c>
      <c r="F3" s="182">
        <v>-97955627</v>
      </c>
      <c r="G3" s="182">
        <v>71433400</v>
      </c>
      <c r="H3" s="189">
        <f>SUM(F3:G3)</f>
        <v>-26522227</v>
      </c>
      <c r="I3" s="159">
        <f>E3+H3</f>
        <v>139101214.081</v>
      </c>
      <c r="J3" s="282">
        <f>I3/C3</f>
        <v>650.83290013942951</v>
      </c>
      <c r="K3" s="341">
        <f>D24/E3</f>
        <v>9.1121886198579388E-2</v>
      </c>
      <c r="M3" s="151" t="s">
        <v>242</v>
      </c>
      <c r="N3" s="151"/>
      <c r="O3" s="214">
        <v>737048.88</v>
      </c>
      <c r="P3" s="225">
        <f t="shared" ref="P3:P8" si="0">E3</f>
        <v>165623441.081</v>
      </c>
      <c r="Q3" s="225">
        <f t="shared" ref="Q3:Q8" si="1">G3</f>
        <v>71433400</v>
      </c>
      <c r="R3" s="206">
        <v>4.45E-3</v>
      </c>
      <c r="S3" s="215">
        <f>Q3*R3</f>
        <v>317878.63</v>
      </c>
      <c r="T3" s="225">
        <f t="shared" ref="T3:T8" si="2">F3</f>
        <v>-97955627</v>
      </c>
      <c r="U3" s="206">
        <v>4.45E-3</v>
      </c>
      <c r="V3" s="216">
        <f>T3*U3</f>
        <v>-435902.54015000002</v>
      </c>
      <c r="W3" s="151"/>
      <c r="X3" s="150">
        <f>O3+S3+V3</f>
        <v>619024.96984999999</v>
      </c>
      <c r="Y3" s="151"/>
      <c r="Z3" s="95">
        <f>P3+Q3+T3</f>
        <v>139101214.081</v>
      </c>
      <c r="AA3" s="170">
        <f>R3</f>
        <v>4.45E-3</v>
      </c>
      <c r="AB3" s="217">
        <f>Z3*AA3</f>
        <v>619000.40266044997</v>
      </c>
      <c r="AC3" s="150">
        <f>X3-AB3</f>
        <v>24.567189550027251</v>
      </c>
      <c r="AD3" s="95">
        <f>AC3/AA3</f>
        <v>5520.7167528151131</v>
      </c>
      <c r="AE3" s="218">
        <f>AC3/X3</f>
        <v>3.968691207396737E-5</v>
      </c>
    </row>
    <row r="4" spans="1:31" ht="14.4">
      <c r="A4" s="180" t="s">
        <v>178</v>
      </c>
      <c r="B4" s="152"/>
      <c r="C4" s="158">
        <v>394</v>
      </c>
      <c r="D4" s="282"/>
      <c r="E4" s="182">
        <v>278108.527</v>
      </c>
      <c r="F4" s="182">
        <v>-160450</v>
      </c>
      <c r="G4" s="182">
        <v>119949</v>
      </c>
      <c r="H4" s="189">
        <f t="shared" ref="H4:H16" si="3">SUM(F4:G4)</f>
        <v>-40501</v>
      </c>
      <c r="I4" s="159">
        <f t="shared" ref="I4:I16" si="4">E4+H4</f>
        <v>237607.527</v>
      </c>
      <c r="J4" s="282">
        <f t="shared" ref="J4:J14" si="5">I4/C4</f>
        <v>603.06478934010158</v>
      </c>
      <c r="K4" s="341">
        <f t="shared" ref="K4:K8" si="6">D25/E4</f>
        <v>9.1305111259677413E-2</v>
      </c>
      <c r="M4" s="151" t="s">
        <v>243</v>
      </c>
      <c r="N4" s="151"/>
      <c r="O4" s="214">
        <v>1237.6099999999999</v>
      </c>
      <c r="P4" s="225">
        <f t="shared" si="0"/>
        <v>278108.527</v>
      </c>
      <c r="Q4" s="225">
        <f t="shared" si="1"/>
        <v>119949</v>
      </c>
      <c r="R4" s="206">
        <v>4.45E-3</v>
      </c>
      <c r="S4" s="215">
        <f>Q4*R4</f>
        <v>533.77305000000001</v>
      </c>
      <c r="T4" s="225">
        <f t="shared" si="2"/>
        <v>-160450</v>
      </c>
      <c r="U4" s="206">
        <v>4.45E-3</v>
      </c>
      <c r="V4" s="216">
        <f t="shared" ref="V4:V11" si="7">T4*U4</f>
        <v>-714.00249999999994</v>
      </c>
      <c r="W4" s="151"/>
      <c r="X4" s="150">
        <f t="shared" ref="X4:X11" si="8">O4+S4+V4</f>
        <v>1057.3805499999999</v>
      </c>
      <c r="Y4" s="151"/>
      <c r="Z4" s="95">
        <f t="shared" ref="Z4:Z11" si="9">P4+Q4+T4</f>
        <v>237607.527</v>
      </c>
      <c r="AA4" s="170">
        <f t="shared" ref="AA4:AA11" si="10">R4</f>
        <v>4.45E-3</v>
      </c>
      <c r="AB4" s="217">
        <f t="shared" ref="AB4:AB11" si="11">Z4*AA4</f>
        <v>1057.3534951500001</v>
      </c>
      <c r="AC4" s="150">
        <f t="shared" ref="AC4:AC11" si="12">X4-AB4</f>
        <v>2.7054849999785802E-2</v>
      </c>
      <c r="AD4" s="95">
        <f t="shared" ref="AD4:AD11" si="13">AC4/AA4</f>
        <v>6.0797415729855731</v>
      </c>
      <c r="AE4" s="218">
        <f t="shared" ref="AE4:AE12" si="14">AC4/X4</f>
        <v>2.5586672650433948E-5</v>
      </c>
    </row>
    <row r="5" spans="1:31" ht="14.4">
      <c r="A5" s="180" t="s">
        <v>132</v>
      </c>
      <c r="B5" s="152"/>
      <c r="C5" s="158">
        <v>22047</v>
      </c>
      <c r="D5" s="282"/>
      <c r="E5" s="182">
        <v>44553774.217</v>
      </c>
      <c r="F5" s="182">
        <v>-24350340</v>
      </c>
      <c r="G5" s="182">
        <v>19139293</v>
      </c>
      <c r="H5" s="189">
        <f t="shared" si="3"/>
        <v>-5211047</v>
      </c>
      <c r="I5" s="159">
        <f t="shared" si="4"/>
        <v>39342727.217</v>
      </c>
      <c r="J5" s="282">
        <f t="shared" si="5"/>
        <v>1784.4934556629021</v>
      </c>
      <c r="K5" s="341">
        <f t="shared" si="6"/>
        <v>0.11914979669611139</v>
      </c>
      <c r="M5" s="151" t="s">
        <v>244</v>
      </c>
      <c r="N5" s="151"/>
      <c r="O5" s="214">
        <v>17819.62</v>
      </c>
      <c r="P5" s="225">
        <f t="shared" si="0"/>
        <v>44553774.217</v>
      </c>
      <c r="Q5" s="225">
        <f t="shared" si="1"/>
        <v>19139293</v>
      </c>
      <c r="R5" s="219">
        <v>4.0000000000000002E-4</v>
      </c>
      <c r="S5" s="215">
        <f>Q5*R5</f>
        <v>7655.7172</v>
      </c>
      <c r="T5" s="225">
        <f t="shared" si="2"/>
        <v>-24350340</v>
      </c>
      <c r="U5" s="219">
        <v>4.0000000000000002E-4</v>
      </c>
      <c r="V5" s="216">
        <f t="shared" si="7"/>
        <v>-9740.1360000000004</v>
      </c>
      <c r="W5" s="151"/>
      <c r="X5" s="150">
        <f t="shared" si="8"/>
        <v>15735.201199999998</v>
      </c>
      <c r="Y5" s="151"/>
      <c r="Z5" s="95">
        <f t="shared" si="9"/>
        <v>39342727.217</v>
      </c>
      <c r="AA5" s="220">
        <f t="shared" si="10"/>
        <v>4.0000000000000002E-4</v>
      </c>
      <c r="AB5" s="217">
        <f t="shared" si="11"/>
        <v>15737.090886800001</v>
      </c>
      <c r="AC5" s="150">
        <f t="shared" si="12"/>
        <v>-1.8896868000028917</v>
      </c>
      <c r="AD5" s="95">
        <f t="shared" si="13"/>
        <v>-4724.2170000072292</v>
      </c>
      <c r="AE5" s="218">
        <f t="shared" si="14"/>
        <v>-1.2009295438833613E-4</v>
      </c>
    </row>
    <row r="6" spans="1:31" ht="14.4">
      <c r="A6" s="180" t="s">
        <v>133</v>
      </c>
      <c r="B6" s="152"/>
      <c r="C6" s="158">
        <v>9398</v>
      </c>
      <c r="D6" s="282"/>
      <c r="E6" s="182">
        <v>3958714.09</v>
      </c>
      <c r="F6" s="182">
        <v>-1988697</v>
      </c>
      <c r="G6" s="182">
        <v>1707404</v>
      </c>
      <c r="H6" s="189">
        <f t="shared" si="3"/>
        <v>-281293</v>
      </c>
      <c r="I6" s="159">
        <f t="shared" si="4"/>
        <v>3677421.09</v>
      </c>
      <c r="J6" s="282">
        <f t="shared" si="5"/>
        <v>391.29826452436686</v>
      </c>
      <c r="K6" s="341">
        <f t="shared" si="6"/>
        <v>0.15879991474706373</v>
      </c>
      <c r="M6" s="151" t="s">
        <v>245</v>
      </c>
      <c r="N6" s="151"/>
      <c r="O6" s="214">
        <v>1582.15</v>
      </c>
      <c r="P6" s="225">
        <f t="shared" si="0"/>
        <v>3958714.09</v>
      </c>
      <c r="Q6" s="225">
        <f t="shared" si="1"/>
        <v>1707404</v>
      </c>
      <c r="R6" s="219">
        <v>4.0000000000000002E-4</v>
      </c>
      <c r="S6" s="215">
        <f t="shared" ref="S6:S11" si="15">Q6*R6</f>
        <v>682.96160000000009</v>
      </c>
      <c r="T6" s="225">
        <f t="shared" si="2"/>
        <v>-1988697</v>
      </c>
      <c r="U6" s="219">
        <v>4.0000000000000002E-4</v>
      </c>
      <c r="V6" s="216">
        <f t="shared" si="7"/>
        <v>-795.47880000000009</v>
      </c>
      <c r="W6" s="151"/>
      <c r="X6" s="150">
        <f t="shared" si="8"/>
        <v>1469.6328000000001</v>
      </c>
      <c r="Y6" s="151"/>
      <c r="Z6" s="95">
        <f t="shared" si="9"/>
        <v>3677421.09</v>
      </c>
      <c r="AA6" s="220">
        <f t="shared" si="10"/>
        <v>4.0000000000000002E-4</v>
      </c>
      <c r="AB6" s="217">
        <f t="shared" si="11"/>
        <v>1470.9684360000001</v>
      </c>
      <c r="AC6" s="150">
        <f t="shared" si="12"/>
        <v>-1.3356360000000222</v>
      </c>
      <c r="AD6" s="95">
        <f t="shared" si="13"/>
        <v>-3339.0900000000556</v>
      </c>
      <c r="AE6" s="218">
        <f t="shared" si="14"/>
        <v>-9.0882293862794988E-4</v>
      </c>
    </row>
    <row r="7" spans="1:31" ht="14.4">
      <c r="A7" s="180" t="s">
        <v>134</v>
      </c>
      <c r="B7" s="152"/>
      <c r="C7" s="158">
        <v>1810</v>
      </c>
      <c r="D7" s="282"/>
      <c r="E7" s="182">
        <v>111231103.263</v>
      </c>
      <c r="F7" s="182">
        <v>-58149012</v>
      </c>
      <c r="G7" s="182">
        <v>47703446</v>
      </c>
      <c r="H7" s="189">
        <f t="shared" si="3"/>
        <v>-10445566</v>
      </c>
      <c r="I7" s="159">
        <f t="shared" si="4"/>
        <v>100785537.263</v>
      </c>
      <c r="J7" s="282">
        <f t="shared" si="5"/>
        <v>55682.61727237569</v>
      </c>
      <c r="K7" s="341">
        <f t="shared" si="6"/>
        <v>9.2546109928087053E-2</v>
      </c>
      <c r="M7" s="151" t="s">
        <v>246</v>
      </c>
      <c r="N7" s="151"/>
      <c r="O7" s="214">
        <v>44492.54</v>
      </c>
      <c r="P7" s="225">
        <f t="shared" si="0"/>
        <v>111231103.263</v>
      </c>
      <c r="Q7" s="225">
        <f t="shared" si="1"/>
        <v>47703446</v>
      </c>
      <c r="R7" s="219">
        <v>4.0000000000000002E-4</v>
      </c>
      <c r="S7" s="215">
        <f t="shared" si="15"/>
        <v>19081.378400000001</v>
      </c>
      <c r="T7" s="225">
        <f t="shared" si="2"/>
        <v>-58149012</v>
      </c>
      <c r="U7" s="219">
        <v>4.0000000000000002E-4</v>
      </c>
      <c r="V7" s="216">
        <f t="shared" si="7"/>
        <v>-23259.604800000001</v>
      </c>
      <c r="W7" s="151"/>
      <c r="X7" s="150">
        <f t="shared" si="8"/>
        <v>40314.313600000001</v>
      </c>
      <c r="Y7" s="151"/>
      <c r="Z7" s="95">
        <f t="shared" si="9"/>
        <v>100785537.26300001</v>
      </c>
      <c r="AA7" s="220">
        <f t="shared" si="10"/>
        <v>4.0000000000000002E-4</v>
      </c>
      <c r="AB7" s="217">
        <f t="shared" si="11"/>
        <v>40314.21490520001</v>
      </c>
      <c r="AC7" s="150">
        <f t="shared" si="12"/>
        <v>9.8694799991790205E-2</v>
      </c>
      <c r="AD7" s="95">
        <f t="shared" si="13"/>
        <v>246.73699997947551</v>
      </c>
      <c r="AE7" s="218">
        <f t="shared" si="14"/>
        <v>2.4481329626753265E-6</v>
      </c>
    </row>
    <row r="8" spans="1:31" ht="14.4">
      <c r="A8" s="180" t="s">
        <v>135</v>
      </c>
      <c r="B8" s="152"/>
      <c r="C8" s="158">
        <v>49</v>
      </c>
      <c r="D8" s="282"/>
      <c r="E8" s="182">
        <v>2479779.6800000002</v>
      </c>
      <c r="F8" s="182">
        <v>-1228440</v>
      </c>
      <c r="G8" s="182">
        <v>1069536</v>
      </c>
      <c r="H8" s="189">
        <f t="shared" si="3"/>
        <v>-158904</v>
      </c>
      <c r="I8" s="159">
        <f t="shared" si="4"/>
        <v>2320875.6800000002</v>
      </c>
      <c r="J8" s="282">
        <f t="shared" si="5"/>
        <v>47364.809795918372</v>
      </c>
      <c r="K8" s="341">
        <f t="shared" si="6"/>
        <v>9.1171970567965929E-2</v>
      </c>
      <c r="M8" s="151" t="s">
        <v>247</v>
      </c>
      <c r="N8" s="151"/>
      <c r="O8" s="214">
        <v>991.89</v>
      </c>
      <c r="P8" s="225">
        <f t="shared" si="0"/>
        <v>2479779.6800000002</v>
      </c>
      <c r="Q8" s="225">
        <f t="shared" si="1"/>
        <v>1069536</v>
      </c>
      <c r="R8" s="219">
        <v>4.0000000000000002E-4</v>
      </c>
      <c r="S8" s="215">
        <f t="shared" si="15"/>
        <v>427.81440000000003</v>
      </c>
      <c r="T8" s="225">
        <f t="shared" si="2"/>
        <v>-1228440</v>
      </c>
      <c r="U8" s="219">
        <v>4.0000000000000002E-4</v>
      </c>
      <c r="V8" s="216">
        <f t="shared" si="7"/>
        <v>-491.37600000000003</v>
      </c>
      <c r="W8" s="151"/>
      <c r="X8" s="150">
        <f t="shared" si="8"/>
        <v>928.3284000000001</v>
      </c>
      <c r="Y8" s="151"/>
      <c r="Z8" s="95">
        <f t="shared" si="9"/>
        <v>2320875.6800000002</v>
      </c>
      <c r="AA8" s="220">
        <f t="shared" si="10"/>
        <v>4.0000000000000002E-4</v>
      </c>
      <c r="AB8" s="217">
        <f t="shared" si="11"/>
        <v>928.35027200000013</v>
      </c>
      <c r="AC8" s="150">
        <f t="shared" si="12"/>
        <v>-2.1872000000030312E-2</v>
      </c>
      <c r="AD8" s="95">
        <f t="shared" si="13"/>
        <v>-54.680000000075779</v>
      </c>
      <c r="AE8" s="218">
        <f t="shared" si="14"/>
        <v>-2.356062789852202E-5</v>
      </c>
    </row>
    <row r="9" spans="1:31" ht="14.4">
      <c r="A9" s="180" t="s">
        <v>136</v>
      </c>
      <c r="B9" s="152"/>
      <c r="C9" s="158">
        <v>23</v>
      </c>
      <c r="D9" s="194"/>
      <c r="E9" s="182">
        <f>98727948.69-E10</f>
        <v>63279545.089999996</v>
      </c>
      <c r="F9" s="182">
        <v>-63894442</v>
      </c>
      <c r="G9" s="182">
        <f>89933574-G10</f>
        <v>54933574</v>
      </c>
      <c r="H9" s="189">
        <f t="shared" si="3"/>
        <v>-8960868</v>
      </c>
      <c r="I9" s="159">
        <f t="shared" si="4"/>
        <v>54318677.089999996</v>
      </c>
      <c r="J9" s="282">
        <f>(I9+I10)/C9</f>
        <v>3902916.5517391302</v>
      </c>
      <c r="K9" s="341">
        <f>I30/(I9+I10)</f>
        <v>6.1021759161988848E-2</v>
      </c>
      <c r="M9" s="151" t="s">
        <v>248</v>
      </c>
      <c r="N9" s="151"/>
      <c r="O9" s="214">
        <v>2303.09</v>
      </c>
      <c r="P9" s="225">
        <f>E11</f>
        <v>5757755.392</v>
      </c>
      <c r="Q9" s="225">
        <f>G11</f>
        <v>0</v>
      </c>
      <c r="R9" s="219">
        <v>4.0000000000000002E-4</v>
      </c>
      <c r="S9" s="215">
        <f t="shared" si="15"/>
        <v>0</v>
      </c>
      <c r="T9" s="225">
        <f>F11</f>
        <v>0</v>
      </c>
      <c r="U9" s="219">
        <v>4.0000000000000002E-4</v>
      </c>
      <c r="V9" s="216">
        <f t="shared" si="7"/>
        <v>0</v>
      </c>
      <c r="W9" s="151"/>
      <c r="X9" s="150">
        <f t="shared" si="8"/>
        <v>2303.09</v>
      </c>
      <c r="Y9" s="151"/>
      <c r="Z9" s="95">
        <f t="shared" si="9"/>
        <v>5757755.392</v>
      </c>
      <c r="AA9" s="220">
        <f t="shared" si="10"/>
        <v>4.0000000000000002E-4</v>
      </c>
      <c r="AB9" s="217">
        <f t="shared" si="11"/>
        <v>2303.1021568000001</v>
      </c>
      <c r="AC9" s="150">
        <f t="shared" si="12"/>
        <v>-1.2156799999957002E-2</v>
      </c>
      <c r="AD9" s="95">
        <f t="shared" si="13"/>
        <v>-30.391999999892505</v>
      </c>
      <c r="AE9" s="218">
        <f t="shared" si="14"/>
        <v>-5.2784737027024572E-6</v>
      </c>
    </row>
    <row r="10" spans="1:31" ht="14.4">
      <c r="A10" s="180" t="s">
        <v>179</v>
      </c>
      <c r="B10" s="152"/>
      <c r="C10" s="158"/>
      <c r="D10" s="194"/>
      <c r="E10" s="182">
        <v>35448403.600000001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35448403.600000001</v>
      </c>
      <c r="J10" s="282"/>
      <c r="M10" s="151" t="s">
        <v>249</v>
      </c>
      <c r="N10" s="151"/>
      <c r="O10" s="214">
        <v>6713.83</v>
      </c>
      <c r="P10" s="225">
        <f>E12</f>
        <v>16784962.872000001</v>
      </c>
      <c r="Q10" s="225">
        <f>G12</f>
        <v>5938288</v>
      </c>
      <c r="R10" s="219">
        <v>4.0000000000000002E-4</v>
      </c>
      <c r="S10" s="215">
        <f t="shared" si="15"/>
        <v>2375.3152</v>
      </c>
      <c r="T10" s="225">
        <f>F12</f>
        <v>-7219225</v>
      </c>
      <c r="U10" s="219">
        <v>4.0000000000000002E-4</v>
      </c>
      <c r="V10" s="216">
        <f t="shared" si="7"/>
        <v>-2887.69</v>
      </c>
      <c r="W10" s="151"/>
      <c r="X10" s="150">
        <f>O10+S10+V10</f>
        <v>6201.4551999999985</v>
      </c>
      <c r="Y10" s="151"/>
      <c r="Z10" s="95">
        <f t="shared" si="9"/>
        <v>15504025.872000001</v>
      </c>
      <c r="AA10" s="220">
        <f t="shared" si="10"/>
        <v>4.0000000000000002E-4</v>
      </c>
      <c r="AB10" s="217">
        <f t="shared" si="11"/>
        <v>6201.6103488000008</v>
      </c>
      <c r="AC10" s="150">
        <f t="shared" si="12"/>
        <v>-0.15514880000228004</v>
      </c>
      <c r="AD10" s="95">
        <f t="shared" si="13"/>
        <v>-387.8720000057001</v>
      </c>
      <c r="AE10" s="218">
        <f t="shared" si="14"/>
        <v>-2.5018128003614391E-5</v>
      </c>
    </row>
    <row r="11" spans="1:31" ht="14.4">
      <c r="A11" s="180" t="s">
        <v>180</v>
      </c>
      <c r="B11" s="152"/>
      <c r="C11" s="158">
        <v>49</v>
      </c>
      <c r="D11" s="282"/>
      <c r="E11" s="182">
        <v>5757755.392</v>
      </c>
      <c r="F11" s="182">
        <v>0</v>
      </c>
      <c r="G11" s="182">
        <v>0</v>
      </c>
      <c r="H11" s="189">
        <f t="shared" si="3"/>
        <v>0</v>
      </c>
      <c r="I11" s="159">
        <f t="shared" si="4"/>
        <v>5757755.392</v>
      </c>
      <c r="J11" s="282">
        <f t="shared" si="5"/>
        <v>117505.21208163265</v>
      </c>
      <c r="K11" s="341">
        <f>I31/I11</f>
        <v>6.9530201049569001E-2</v>
      </c>
      <c r="M11" s="151" t="s">
        <v>250</v>
      </c>
      <c r="N11" s="151"/>
      <c r="O11" s="214">
        <v>502.44</v>
      </c>
      <c r="P11" s="225">
        <f>E13</f>
        <v>1256229.7250000001</v>
      </c>
      <c r="Q11" s="225">
        <f>G13</f>
        <v>373828</v>
      </c>
      <c r="R11" s="219">
        <v>4.0000000000000002E-4</v>
      </c>
      <c r="S11" s="215">
        <f t="shared" si="15"/>
        <v>149.53120000000001</v>
      </c>
      <c r="T11" s="225">
        <f>F13</f>
        <v>-623328</v>
      </c>
      <c r="U11" s="219">
        <v>4.0000000000000002E-4</v>
      </c>
      <c r="V11" s="216">
        <f t="shared" si="7"/>
        <v>-249.33120000000002</v>
      </c>
      <c r="W11" s="151"/>
      <c r="X11" s="150">
        <f t="shared" si="8"/>
        <v>402.63999999999993</v>
      </c>
      <c r="Y11" s="151"/>
      <c r="Z11" s="95">
        <f t="shared" si="9"/>
        <v>1006729.7250000001</v>
      </c>
      <c r="AA11" s="220">
        <f t="shared" si="10"/>
        <v>4.0000000000000002E-4</v>
      </c>
      <c r="AB11" s="217">
        <f t="shared" si="11"/>
        <v>402.69189000000006</v>
      </c>
      <c r="AC11" s="150">
        <f t="shared" si="12"/>
        <v>-5.1890000000128111E-2</v>
      </c>
      <c r="AD11" s="95">
        <f t="shared" si="13"/>
        <v>-129.72500000032028</v>
      </c>
      <c r="AE11" s="218">
        <f t="shared" si="14"/>
        <v>-1.2887442877043543E-4</v>
      </c>
    </row>
    <row r="12" spans="1:31" ht="14.4">
      <c r="A12" s="180" t="s">
        <v>137</v>
      </c>
      <c r="B12" s="152"/>
      <c r="C12" s="158">
        <v>1181</v>
      </c>
      <c r="D12" s="282"/>
      <c r="E12" s="182">
        <v>16784962.872000001</v>
      </c>
      <c r="F12" s="182">
        <v>-7219225</v>
      </c>
      <c r="G12" s="182">
        <v>5938288</v>
      </c>
      <c r="H12" s="189">
        <f t="shared" si="3"/>
        <v>-1280937</v>
      </c>
      <c r="I12" s="159">
        <f t="shared" si="4"/>
        <v>15504025.872000001</v>
      </c>
      <c r="J12" s="282">
        <f t="shared" si="5"/>
        <v>13127.879654530061</v>
      </c>
      <c r="K12" s="341">
        <f t="shared" ref="K12:K14" si="16">I32/I12</f>
        <v>8.2158344565228927E-2</v>
      </c>
      <c r="M12" s="151"/>
      <c r="N12" s="151"/>
      <c r="O12" s="221">
        <f>SUM(O3:O11)</f>
        <v>812692.04999999993</v>
      </c>
      <c r="P12" s="51">
        <f>SUM(P3:P11)</f>
        <v>351923868.84700006</v>
      </c>
      <c r="Q12" s="51">
        <f>SUM(Q3:Q11)</f>
        <v>147485144</v>
      </c>
      <c r="R12" s="151"/>
      <c r="S12" s="221">
        <f>SUM(S3:S11)</f>
        <v>348785.12105000002</v>
      </c>
      <c r="T12" s="51">
        <f>SUM(T3:T11)</f>
        <v>-191675119</v>
      </c>
      <c r="U12" s="151"/>
      <c r="V12" s="221">
        <f>SUM(V3:V11)</f>
        <v>-474040.15945000004</v>
      </c>
      <c r="W12" s="151"/>
      <c r="X12" s="221">
        <f>SUM(X3:X11)</f>
        <v>687437.01159999997</v>
      </c>
      <c r="Y12" s="151"/>
      <c r="Z12" s="51">
        <f>SUM(Z3:Z11)</f>
        <v>307733893.84700006</v>
      </c>
      <c r="AA12" s="151"/>
      <c r="AB12" s="51">
        <f>SUM(AB3:AB11)</f>
        <v>687415.78505119996</v>
      </c>
      <c r="AC12" s="221">
        <f>SUM(AC3:AC11)</f>
        <v>21.226548800013518</v>
      </c>
      <c r="AD12" s="51">
        <f>SUM(AD3:AD11)</f>
        <v>-2892.4425056456994</v>
      </c>
      <c r="AE12" s="218">
        <f t="shared" si="14"/>
        <v>3.087780908189541E-5</v>
      </c>
    </row>
    <row r="13" spans="1:31" ht="14.4">
      <c r="A13" s="180" t="s">
        <v>138</v>
      </c>
      <c r="B13" s="152"/>
      <c r="C13" s="158">
        <v>1184</v>
      </c>
      <c r="D13" s="282"/>
      <c r="E13" s="182">
        <v>1256229.7250000001</v>
      </c>
      <c r="F13" s="182">
        <v>-623328</v>
      </c>
      <c r="G13" s="182">
        <v>373828</v>
      </c>
      <c r="H13" s="189">
        <f t="shared" si="3"/>
        <v>-249500</v>
      </c>
      <c r="I13" s="159">
        <f t="shared" si="4"/>
        <v>1006729.7250000001</v>
      </c>
      <c r="J13" s="282">
        <f t="shared" si="5"/>
        <v>850.2784839527028</v>
      </c>
      <c r="K13" s="341">
        <f t="shared" si="16"/>
        <v>0.11085159250661838</v>
      </c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421</v>
      </c>
      <c r="D14" s="194"/>
      <c r="E14" s="182">
        <v>895809.2</v>
      </c>
      <c r="F14" s="182"/>
      <c r="G14" s="182"/>
      <c r="H14" s="189"/>
      <c r="I14" s="159">
        <f t="shared" si="4"/>
        <v>895809.2</v>
      </c>
      <c r="J14" s="282">
        <f t="shared" si="5"/>
        <v>2127.8128266033254</v>
      </c>
      <c r="K14" s="341">
        <f t="shared" si="16"/>
        <v>0.61627743943688007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422618.8</v>
      </c>
      <c r="F15" s="182"/>
      <c r="G15" s="182"/>
      <c r="H15" s="189">
        <f t="shared" si="3"/>
        <v>0</v>
      </c>
      <c r="I15" s="159">
        <f t="shared" si="4"/>
        <v>422618.8</v>
      </c>
      <c r="J15" s="282"/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591138.76653037919</v>
      </c>
      <c r="Y15" s="151"/>
      <c r="Z15" s="151" t="s">
        <v>19</v>
      </c>
      <c r="AA15" s="50">
        <f>P3+P4+Q3+Q4+T3+T4</f>
        <v>139338821.60800001</v>
      </c>
      <c r="AB15" s="170">
        <v>4.2399999999999998E-3</v>
      </c>
      <c r="AC15" s="150">
        <f>AA15*AB15</f>
        <v>590796.60361792007</v>
      </c>
      <c r="AD15" s="150">
        <f>X15-AC15</f>
        <v>342.1629124591127</v>
      </c>
      <c r="AE15" s="218">
        <f>AD15/X15</f>
        <v>5.7881995198419899E-4</v>
      </c>
    </row>
    <row r="16" spans="1:31" ht="14.4">
      <c r="A16" s="180" t="s">
        <v>183</v>
      </c>
      <c r="B16" s="152"/>
      <c r="C16" s="158"/>
      <c r="D16" s="195"/>
      <c r="E16" s="182">
        <v>217027.03</v>
      </c>
      <c r="F16" s="182"/>
      <c r="G16" s="182"/>
      <c r="H16" s="189">
        <f t="shared" si="3"/>
        <v>0</v>
      </c>
      <c r="I16" s="159">
        <f t="shared" si="4"/>
        <v>217027.03</v>
      </c>
      <c r="J16" s="282"/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64210.747679167587</v>
      </c>
      <c r="Y16" s="151"/>
      <c r="Z16" s="151" t="s">
        <v>184</v>
      </c>
      <c r="AA16" s="50">
        <f>SUM(P5:Q11,T5:T11)</f>
        <v>168395072.23899999</v>
      </c>
      <c r="AB16" s="170">
        <v>3.8000000000000002E-4</v>
      </c>
      <c r="AC16" s="150">
        <f>AA16*AB16</f>
        <v>63990.12745082</v>
      </c>
      <c r="AD16" s="150">
        <f>X16-AC16</f>
        <v>220.62022834758682</v>
      </c>
      <c r="AE16" s="218">
        <f>AD16/X16</f>
        <v>3.4358769570777699E-3</v>
      </c>
    </row>
    <row r="17" spans="1:26" ht="14.4">
      <c r="A17" s="152"/>
      <c r="B17" s="152"/>
      <c r="C17" s="160">
        <f>SUM(C3:C16)</f>
        <v>250284</v>
      </c>
      <c r="E17" s="160">
        <f>SUM(E3:E16)</f>
        <v>452187272.56700003</v>
      </c>
      <c r="F17" s="160">
        <f>SUM(F3:F16)</f>
        <v>-290569561</v>
      </c>
      <c r="G17" s="160">
        <f>SUM(G3:G16)</f>
        <v>237418718</v>
      </c>
      <c r="H17" s="160">
        <f>SUM(H3:H16)</f>
        <v>-53150843</v>
      </c>
      <c r="I17" s="160">
        <f>SUM(I3:I16)</f>
        <v>399036429.56700003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214122</v>
      </c>
      <c r="E19" s="162">
        <f>E3+E4</f>
        <v>165901549.60800001</v>
      </c>
      <c r="F19" s="162">
        <f>F3+F4</f>
        <v>-98116077</v>
      </c>
      <c r="G19" s="162">
        <f>G3+G4</f>
        <v>71553349</v>
      </c>
      <c r="H19" s="162">
        <f>H3+H4</f>
        <v>-26562728</v>
      </c>
      <c r="I19" s="161">
        <f>I3+I4</f>
        <v>139338821.60800001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35718</v>
      </c>
      <c r="E21" s="178">
        <f>SUM(E5:E8,E11:E13)</f>
        <v>186022319.23899999</v>
      </c>
      <c r="F21" s="178">
        <f>SUM(F5:F8,F11:F13)</f>
        <v>-93559042</v>
      </c>
      <c r="G21" s="178">
        <f>SUM(G5:G8,G11:G13)</f>
        <v>75931795</v>
      </c>
      <c r="H21" s="178">
        <f>SUM(H5:H8,H11:H13)</f>
        <v>-17627247</v>
      </c>
      <c r="I21" s="177">
        <f>SUM(I5:I8,I11:I13)</f>
        <v>168395072.23899999</v>
      </c>
    </row>
    <row r="22" spans="1:26">
      <c r="A22" s="152"/>
      <c r="B22" s="152"/>
      <c r="C22" s="152"/>
      <c r="D22" s="152"/>
      <c r="E22" s="152"/>
    </row>
    <row r="23" spans="1:26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1971933.5</v>
      </c>
      <c r="D24" s="181">
        <v>15091920.35</v>
      </c>
      <c r="E24" s="183">
        <v>-9325368</v>
      </c>
      <c r="F24" s="183">
        <v>7160987</v>
      </c>
      <c r="G24" s="174">
        <f>SUM(D24:F24)</f>
        <v>12927539.35</v>
      </c>
      <c r="H24" s="174">
        <f>-K62</f>
        <v>105370.85999</v>
      </c>
      <c r="I24" s="174">
        <f>SUM(G24:H24)</f>
        <v>13032910.20999</v>
      </c>
    </row>
    <row r="25" spans="1:26">
      <c r="A25" s="180" t="s">
        <v>178</v>
      </c>
      <c r="B25" s="152"/>
      <c r="C25" s="181">
        <v>3600</v>
      </c>
      <c r="D25" s="181">
        <v>25392.73</v>
      </c>
      <c r="E25" s="183">
        <v>-10431</v>
      </c>
      <c r="F25" s="183">
        <v>8415</v>
      </c>
      <c r="G25" s="174">
        <f t="shared" ref="G25:G33" si="17">SUM(D25:F25)</f>
        <v>23376.73</v>
      </c>
      <c r="H25" s="174">
        <f t="shared" ref="H25:H30" si="18">-K63</f>
        <v>-1125.7597700000001</v>
      </c>
      <c r="I25" s="174">
        <f t="shared" ref="I25:I34" si="19">SUM(G25:H25)</f>
        <v>22250.970229999999</v>
      </c>
    </row>
    <row r="26" spans="1:26">
      <c r="A26" s="180" t="s">
        <v>132</v>
      </c>
      <c r="B26" s="152"/>
      <c r="C26" s="181">
        <v>449658.68</v>
      </c>
      <c r="D26" s="181">
        <v>5308573.1399999997</v>
      </c>
      <c r="E26" s="183">
        <v>-2833870</v>
      </c>
      <c r="F26" s="183">
        <v>2301471</v>
      </c>
      <c r="G26" s="174">
        <f t="shared" si="17"/>
        <v>4776174.1399999997</v>
      </c>
      <c r="H26" s="174">
        <f t="shared" si="18"/>
        <v>-3187.0400500000078</v>
      </c>
      <c r="I26" s="174">
        <f t="shared" si="19"/>
        <v>4772987.0999499997</v>
      </c>
    </row>
    <row r="27" spans="1:26">
      <c r="A27" s="180" t="s">
        <v>133</v>
      </c>
      <c r="B27" s="152"/>
      <c r="C27" s="181">
        <v>189997.3</v>
      </c>
      <c r="D27" s="181">
        <v>628643.46</v>
      </c>
      <c r="E27" s="183">
        <v>-323447</v>
      </c>
      <c r="F27" s="183">
        <v>295992</v>
      </c>
      <c r="G27" s="174">
        <f t="shared" si="17"/>
        <v>601188.46</v>
      </c>
      <c r="H27" s="174">
        <f t="shared" si="18"/>
        <v>-1303.3958600000001</v>
      </c>
      <c r="I27" s="174">
        <f t="shared" si="19"/>
        <v>599885.06413999991</v>
      </c>
    </row>
    <row r="28" spans="1:26">
      <c r="A28" s="180" t="s">
        <v>134</v>
      </c>
      <c r="B28" s="152"/>
      <c r="C28" s="181">
        <v>906956.66</v>
      </c>
      <c r="D28" s="181">
        <v>10294005.91</v>
      </c>
      <c r="E28" s="183">
        <v>-4748079</v>
      </c>
      <c r="F28" s="183">
        <v>4029997</v>
      </c>
      <c r="G28" s="174">
        <f t="shared" si="17"/>
        <v>9575923.9100000001</v>
      </c>
      <c r="H28" s="174">
        <f t="shared" si="18"/>
        <v>-9744.1374800000012</v>
      </c>
      <c r="I28" s="174">
        <f t="shared" si="19"/>
        <v>9566179.7725200001</v>
      </c>
    </row>
    <row r="29" spans="1:26">
      <c r="A29" s="180" t="s">
        <v>135</v>
      </c>
      <c r="B29" s="152"/>
      <c r="C29" s="181">
        <v>24316.67</v>
      </c>
      <c r="D29" s="181">
        <v>226086.39999999999</v>
      </c>
      <c r="E29" s="183">
        <v>-102634</v>
      </c>
      <c r="F29" s="183">
        <v>92924</v>
      </c>
      <c r="G29" s="174">
        <f t="shared" si="17"/>
        <v>216376.4</v>
      </c>
      <c r="H29" s="174">
        <f t="shared" si="18"/>
        <v>-600.15863999999999</v>
      </c>
      <c r="I29" s="174">
        <f t="shared" si="19"/>
        <v>215776.24135999999</v>
      </c>
    </row>
    <row r="30" spans="1:26">
      <c r="A30" s="180" t="s">
        <v>136</v>
      </c>
      <c r="B30" s="152"/>
      <c r="C30" s="181">
        <v>552000</v>
      </c>
      <c r="D30" s="181">
        <f>5971730.13-82017.43</f>
        <v>5889712.7000000002</v>
      </c>
      <c r="E30" s="183">
        <v>-6159064</v>
      </c>
      <c r="F30" s="183">
        <v>5790051</v>
      </c>
      <c r="G30" s="174">
        <f t="shared" si="17"/>
        <v>5520699.7000000002</v>
      </c>
      <c r="H30" s="174">
        <f t="shared" si="18"/>
        <v>-42954.521459999996</v>
      </c>
      <c r="I30" s="174">
        <f t="shared" si="19"/>
        <v>5477745.1785399998</v>
      </c>
      <c r="J30" s="283"/>
    </row>
    <row r="31" spans="1:26">
      <c r="A31" s="180" t="s">
        <v>180</v>
      </c>
      <c r="B31" s="152"/>
      <c r="C31" s="181">
        <v>980</v>
      </c>
      <c r="D31" s="181">
        <v>400337.89</v>
      </c>
      <c r="E31" s="183">
        <v>0</v>
      </c>
      <c r="F31" s="183">
        <v>0</v>
      </c>
      <c r="G31" s="174">
        <f t="shared" si="17"/>
        <v>400337.89</v>
      </c>
      <c r="H31" s="174">
        <f>-K69</f>
        <v>0</v>
      </c>
      <c r="I31" s="174">
        <f t="shared" si="19"/>
        <v>400337.89</v>
      </c>
    </row>
    <row r="32" spans="1:26">
      <c r="A32" s="180" t="s">
        <v>137</v>
      </c>
      <c r="B32" s="152"/>
      <c r="C32" s="181">
        <v>23700</v>
      </c>
      <c r="D32" s="181">
        <v>1342462.42</v>
      </c>
      <c r="E32" s="183">
        <v>-422754</v>
      </c>
      <c r="F32" s="183">
        <v>355569</v>
      </c>
      <c r="G32" s="174">
        <f t="shared" si="17"/>
        <v>1275277.42</v>
      </c>
      <c r="H32" s="174">
        <f>-K70</f>
        <v>-1492.3202600000006</v>
      </c>
      <c r="I32" s="174">
        <f t="shared" si="19"/>
        <v>1273785.09974</v>
      </c>
    </row>
    <row r="33" spans="1:15">
      <c r="A33" s="180" t="s">
        <v>138</v>
      </c>
      <c r="B33" s="152"/>
      <c r="C33" s="181">
        <v>23880</v>
      </c>
      <c r="D33" s="181">
        <v>130157.16</v>
      </c>
      <c r="E33" s="183">
        <v>-61055</v>
      </c>
      <c r="F33" s="183">
        <v>42268</v>
      </c>
      <c r="G33" s="174">
        <f t="shared" si="17"/>
        <v>111370.16</v>
      </c>
      <c r="H33" s="174">
        <f>-K71</f>
        <v>227.43324000000024</v>
      </c>
      <c r="I33" s="174">
        <f t="shared" si="19"/>
        <v>111597.59324</v>
      </c>
    </row>
    <row r="34" spans="1:15">
      <c r="A34" s="180" t="s">
        <v>192</v>
      </c>
      <c r="B34" s="152"/>
      <c r="C34" s="174"/>
      <c r="D34" s="181">
        <v>552067</v>
      </c>
      <c r="E34" s="181"/>
      <c r="F34" s="181"/>
      <c r="G34" s="174">
        <f>SUM(D34:F34)</f>
        <v>552067</v>
      </c>
      <c r="H34" s="174"/>
      <c r="I34" s="174">
        <f t="shared" si="19"/>
        <v>552067</v>
      </c>
    </row>
    <row r="35" spans="1:15">
      <c r="A35" s="180" t="s">
        <v>193</v>
      </c>
      <c r="B35" s="152"/>
      <c r="C35" s="194"/>
      <c r="D35" s="181">
        <v>2015524.82</v>
      </c>
      <c r="E35" s="181"/>
      <c r="F35" s="181"/>
      <c r="G35" s="174"/>
      <c r="H35" s="174"/>
      <c r="I35" s="174"/>
    </row>
    <row r="36" spans="1:15">
      <c r="A36" s="180" t="s">
        <v>194</v>
      </c>
      <c r="B36" s="152"/>
      <c r="C36" s="194"/>
      <c r="D36" s="181">
        <v>1565796.01</v>
      </c>
      <c r="E36" s="181"/>
      <c r="F36" s="181"/>
      <c r="G36" s="174"/>
      <c r="H36" s="174"/>
      <c r="I36" s="174"/>
    </row>
    <row r="37" spans="1:15">
      <c r="A37" s="152"/>
      <c r="B37" s="152"/>
      <c r="C37" s="166">
        <f t="shared" ref="C37:I37" si="20">SUM(C24:C36)</f>
        <v>4147022.81</v>
      </c>
      <c r="D37" s="166">
        <f t="shared" si="20"/>
        <v>43470679.989999995</v>
      </c>
      <c r="E37" s="166">
        <f t="shared" si="20"/>
        <v>-23986702</v>
      </c>
      <c r="F37" s="166">
        <f t="shared" si="20"/>
        <v>20077674</v>
      </c>
      <c r="G37" s="166">
        <f t="shared" si="20"/>
        <v>35980331.159999996</v>
      </c>
      <c r="H37" s="166">
        <f t="shared" si="20"/>
        <v>45190.959709999981</v>
      </c>
      <c r="I37" s="166">
        <f t="shared" si="20"/>
        <v>36025522.119709998</v>
      </c>
    </row>
    <row r="38" spans="1:15" ht="14.4" thickBot="1">
      <c r="A38" s="152"/>
      <c r="B38" s="152"/>
      <c r="D38" s="167"/>
      <c r="E38" s="152"/>
      <c r="F38" s="152"/>
    </row>
    <row r="39" spans="1:15">
      <c r="A39" s="152" t="s">
        <v>19</v>
      </c>
      <c r="B39" s="152"/>
      <c r="C39" s="169">
        <f t="shared" ref="C39:I39" si="21">C24+C25</f>
        <v>1975533.5</v>
      </c>
      <c r="D39" s="168">
        <f t="shared" si="21"/>
        <v>15117313.08</v>
      </c>
      <c r="E39" s="168">
        <f t="shared" si="21"/>
        <v>-9335799</v>
      </c>
      <c r="F39" s="168">
        <f t="shared" si="21"/>
        <v>7169402</v>
      </c>
      <c r="G39" s="168">
        <f t="shared" si="21"/>
        <v>12950916.08</v>
      </c>
      <c r="H39" s="168">
        <f t="shared" si="21"/>
        <v>104245.10021999999</v>
      </c>
      <c r="I39" s="169">
        <f t="shared" si="21"/>
        <v>13055161.18022</v>
      </c>
    </row>
    <row r="40" spans="1:15" ht="6" customHeight="1">
      <c r="A40" s="152"/>
      <c r="B40" s="152"/>
      <c r="C40" s="173"/>
      <c r="D40" s="168"/>
      <c r="E40" s="152"/>
      <c r="F40" s="152"/>
      <c r="I40" s="190"/>
    </row>
    <row r="41" spans="1:15" ht="14.4" thickBot="1">
      <c r="A41" s="152" t="s">
        <v>184</v>
      </c>
      <c r="B41" s="152"/>
      <c r="C41" s="175">
        <f>SUM(C26:C29,C31:C33)</f>
        <v>1619489.31</v>
      </c>
      <c r="D41" s="176">
        <f t="shared" ref="D41:I41" si="22">SUM(D26:D29,D31:D33)</f>
        <v>18330266.379999999</v>
      </c>
      <c r="E41" s="176">
        <f t="shared" si="22"/>
        <v>-8491839</v>
      </c>
      <c r="F41" s="176">
        <f t="shared" si="22"/>
        <v>7118221</v>
      </c>
      <c r="G41" s="176">
        <f t="shared" si="22"/>
        <v>16956648.379999999</v>
      </c>
      <c r="H41" s="176">
        <f t="shared" si="22"/>
        <v>-16099.619050000008</v>
      </c>
      <c r="I41" s="175">
        <f t="shared" si="22"/>
        <v>16940548.760949999</v>
      </c>
    </row>
    <row r="42" spans="1:15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5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43344</v>
      </c>
      <c r="I43" s="191">
        <v>43009</v>
      </c>
      <c r="J43" s="191">
        <v>42380</v>
      </c>
      <c r="K43" s="191">
        <v>43282</v>
      </c>
      <c r="L43" s="191"/>
      <c r="M43" s="196"/>
    </row>
    <row r="44" spans="1:15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198</v>
      </c>
      <c r="I44" s="165" t="s">
        <v>199</v>
      </c>
      <c r="J44" s="165" t="s">
        <v>200</v>
      </c>
      <c r="K44" s="165" t="s">
        <v>201</v>
      </c>
      <c r="L44" s="165"/>
      <c r="N44" s="211" t="s">
        <v>229</v>
      </c>
      <c r="O44" s="194" t="s">
        <v>230</v>
      </c>
    </row>
    <row r="45" spans="1:15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4.3299999999999996E-3</v>
      </c>
      <c r="I45" s="171">
        <v>1.0499999999999999E-3</v>
      </c>
      <c r="J45" s="171">
        <v>0</v>
      </c>
      <c r="K45" s="171">
        <v>-3.4000000000000002E-4</v>
      </c>
      <c r="L45" s="171"/>
      <c r="N45" s="171">
        <f>SUM(B45:K45)-G45-H45</f>
        <v>2.9299999999999994E-3</v>
      </c>
      <c r="O45" s="335">
        <f>N45*H3+F3*G45+G3*H45</f>
        <v>-105370.85998999997</v>
      </c>
    </row>
    <row r="46" spans="1:15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4.3299999999999996E-3</v>
      </c>
      <c r="I46" s="171">
        <v>1.0499999999999999E-3</v>
      </c>
      <c r="J46" s="171">
        <v>0</v>
      </c>
      <c r="K46" s="171">
        <v>-3.4000000000000002E-4</v>
      </c>
      <c r="L46" s="171"/>
      <c r="N46" s="171">
        <f t="shared" ref="N46:N57" si="23">SUM(B46:K46)-G46-H46</f>
        <v>-2.8600000000000004E-2</v>
      </c>
      <c r="O46" s="335">
        <f t="shared" ref="O46:O57" si="24">N46*H4+F4*G46+G4*H46</f>
        <v>1125.7597700000001</v>
      </c>
    </row>
    <row r="47" spans="1:15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5.9699999999999996E-3</v>
      </c>
      <c r="I47" s="171">
        <v>1.5200000000000001E-3</v>
      </c>
      <c r="J47" s="171">
        <v>0</v>
      </c>
      <c r="K47" s="171">
        <v>-3.6000000000000002E-4</v>
      </c>
      <c r="L47" s="171"/>
      <c r="N47" s="171">
        <f t="shared" si="23"/>
        <v>-3.1999999999999824E-4</v>
      </c>
      <c r="O47" s="335">
        <f t="shared" si="24"/>
        <v>3187.040049999996</v>
      </c>
    </row>
    <row r="48" spans="1:15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5.9699999999999996E-3</v>
      </c>
      <c r="I48" s="171">
        <v>1.5200000000000001E-3</v>
      </c>
      <c r="J48" s="171">
        <v>0</v>
      </c>
      <c r="K48" s="171">
        <v>-3.6000000000000002E-4</v>
      </c>
      <c r="L48" s="171"/>
      <c r="N48" s="171">
        <f t="shared" si="23"/>
        <v>-1.1299999999999982E-3</v>
      </c>
      <c r="O48" s="335">
        <f t="shared" si="24"/>
        <v>1303.3958600000005</v>
      </c>
    </row>
    <row r="49" spans="1:15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4.5999999999999999E-3</v>
      </c>
      <c r="I49" s="171">
        <v>1.1000000000000001E-3</v>
      </c>
      <c r="J49" s="171">
        <v>0</v>
      </c>
      <c r="K49" s="171">
        <v>-3.6000000000000002E-4</v>
      </c>
      <c r="L49" s="171"/>
      <c r="N49" s="171">
        <f t="shared" si="23"/>
        <v>-2.9999999999999992E-4</v>
      </c>
      <c r="O49" s="335">
        <f t="shared" si="24"/>
        <v>9744.1374800000049</v>
      </c>
    </row>
    <row r="50" spans="1:15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4.5999999999999999E-3</v>
      </c>
      <c r="I50" s="171">
        <v>1.1000000000000001E-3</v>
      </c>
      <c r="J50" s="171">
        <v>0</v>
      </c>
      <c r="K50" s="171">
        <v>-3.6000000000000002E-4</v>
      </c>
      <c r="L50" s="171"/>
      <c r="N50" s="171">
        <f t="shared" si="23"/>
        <v>-1.1099999999999999E-3</v>
      </c>
      <c r="O50" s="335">
        <f t="shared" si="24"/>
        <v>600.15863999999965</v>
      </c>
    </row>
    <row r="51" spans="1:15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2.97E-3</v>
      </c>
      <c r="I51" s="171">
        <v>6.8999999999999997E-4</v>
      </c>
      <c r="J51" s="171">
        <v>0</v>
      </c>
      <c r="K51" s="171">
        <v>-3.5E-4</v>
      </c>
      <c r="L51" s="171"/>
      <c r="N51" s="171">
        <f t="shared" si="23"/>
        <v>-5.8999999999999981E-4</v>
      </c>
      <c r="O51" s="335">
        <f t="shared" si="24"/>
        <v>20204.521459999989</v>
      </c>
    </row>
    <row r="52" spans="1:15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2.97E-3</v>
      </c>
      <c r="I52" s="171">
        <v>0</v>
      </c>
      <c r="J52" s="171">
        <v>0</v>
      </c>
      <c r="K52" s="171">
        <v>-3.5E-4</v>
      </c>
      <c r="L52" s="171"/>
      <c r="N52" s="171">
        <f t="shared" si="23"/>
        <v>-3.5000000000000005E-4</v>
      </c>
      <c r="O52" s="335">
        <f t="shared" si="24"/>
        <v>22750</v>
      </c>
    </row>
    <row r="53" spans="1:15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4.3299999999999996E-3</v>
      </c>
      <c r="I53" s="171">
        <v>9.6000000000000002E-4</v>
      </c>
      <c r="J53" s="171">
        <v>0</v>
      </c>
      <c r="K53" s="171">
        <v>-3.6999999999999999E-4</v>
      </c>
      <c r="L53" s="171"/>
      <c r="N53" s="171">
        <f t="shared" si="23"/>
        <v>-3.0999999999999951E-4</v>
      </c>
      <c r="O53" s="335">
        <f t="shared" si="24"/>
        <v>0</v>
      </c>
    </row>
    <row r="54" spans="1:15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4.3299999999999996E-3</v>
      </c>
      <c r="I54" s="171">
        <v>9.6000000000000002E-4</v>
      </c>
      <c r="J54" s="171">
        <v>0</v>
      </c>
      <c r="K54" s="171">
        <v>-3.6999999999999999E-4</v>
      </c>
      <c r="L54" s="171"/>
      <c r="N54" s="171">
        <f t="shared" si="23"/>
        <v>-3.0999999999999951E-4</v>
      </c>
      <c r="O54" s="335">
        <f t="shared" si="24"/>
        <v>1492.3202600000004</v>
      </c>
    </row>
    <row r="55" spans="1:15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4.3299999999999996E-3</v>
      </c>
      <c r="I55" s="171">
        <v>9.6000000000000002E-4</v>
      </c>
      <c r="J55" s="171">
        <v>0</v>
      </c>
      <c r="K55" s="171">
        <v>-3.6999999999999999E-4</v>
      </c>
      <c r="L55" s="171"/>
      <c r="N55" s="171">
        <f t="shared" si="23"/>
        <v>-1.1199999999999995E-3</v>
      </c>
      <c r="O55" s="335">
        <f t="shared" si="24"/>
        <v>-227.4332400000003</v>
      </c>
    </row>
    <row r="56" spans="1:15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186">
        <v>1.013E-2</v>
      </c>
      <c r="I56" s="401" t="s">
        <v>214</v>
      </c>
      <c r="J56" s="171">
        <v>0</v>
      </c>
      <c r="K56" s="186">
        <v>-4.8000000000000001E-4</v>
      </c>
      <c r="L56" s="186"/>
      <c r="N56" s="171">
        <f t="shared" si="23"/>
        <v>-4.7999999999999952E-4</v>
      </c>
      <c r="O56" s="335">
        <f t="shared" si="24"/>
        <v>0</v>
      </c>
    </row>
    <row r="57" spans="1:15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186">
        <v>1.013E-2</v>
      </c>
      <c r="I57" s="401"/>
      <c r="J57" s="171">
        <v>0</v>
      </c>
      <c r="K57" s="186">
        <v>-4.8000000000000001E-4</v>
      </c>
      <c r="L57" s="186"/>
      <c r="N57" s="171">
        <f t="shared" si="23"/>
        <v>-1.2900000000000012E-3</v>
      </c>
      <c r="O57" s="335">
        <f t="shared" si="24"/>
        <v>0</v>
      </c>
    </row>
    <row r="58" spans="1:15">
      <c r="A58" s="180"/>
      <c r="B58" s="152"/>
      <c r="C58" s="171"/>
      <c r="D58" s="171"/>
      <c r="E58" s="171"/>
      <c r="F58" s="171"/>
      <c r="G58" s="186"/>
      <c r="H58" s="336"/>
      <c r="I58" s="171"/>
      <c r="J58" s="186"/>
      <c r="K58" s="171"/>
      <c r="L58" s="212"/>
      <c r="M58" s="335"/>
      <c r="N58" s="194"/>
    </row>
    <row r="59" spans="1:15">
      <c r="A59" s="180"/>
      <c r="B59" s="152"/>
      <c r="C59" s="171"/>
      <c r="D59" s="171"/>
      <c r="E59" s="171"/>
      <c r="F59" s="171"/>
      <c r="G59" s="186"/>
      <c r="H59" s="336"/>
      <c r="I59" s="171"/>
      <c r="J59" s="186"/>
      <c r="K59" s="171"/>
      <c r="L59" s="212"/>
      <c r="M59" s="335"/>
      <c r="N59" s="194"/>
    </row>
    <row r="60" spans="1:15">
      <c r="F60" s="152"/>
      <c r="M60" s="335"/>
      <c r="N60" s="335">
        <f>SUM(O45:O57)</f>
        <v>-45190.959709999974</v>
      </c>
    </row>
    <row r="61" spans="1:15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5">
      <c r="A62" s="180" t="s">
        <v>131</v>
      </c>
      <c r="C62" s="168">
        <f t="shared" ref="C62:D67" si="25">C45*$H3</f>
        <v>21483.00387</v>
      </c>
      <c r="D62" s="168">
        <f t="shared" si="25"/>
        <v>37661.562340000004</v>
      </c>
      <c r="E62" s="168">
        <f t="shared" ref="E62:E67" si="26">E45*H3</f>
        <v>-118023.91015</v>
      </c>
      <c r="F62" s="168">
        <f t="shared" ref="F62:F67" si="27">$H3*F45</f>
        <v>0</v>
      </c>
      <c r="G62" s="168">
        <f>($F3*G45)+(G3*H45)</f>
        <v>-27660.734880000004</v>
      </c>
      <c r="H62" s="168">
        <f t="shared" ref="H62:H67" si="28">($H3*I45)</f>
        <v>-27848.338349999998</v>
      </c>
      <c r="I62" s="168">
        <f t="shared" ref="I62:I67" si="29">$H3*J45</f>
        <v>0</v>
      </c>
      <c r="J62" s="168">
        <f t="shared" ref="J62:J67" si="30">K45*H3</f>
        <v>9017.5571799999998</v>
      </c>
      <c r="K62" s="168">
        <f>SUM(C62:J62)</f>
        <v>-105370.85999</v>
      </c>
      <c r="N62" s="168"/>
    </row>
    <row r="63" spans="1:15">
      <c r="A63" s="180" t="s">
        <v>178</v>
      </c>
      <c r="C63" s="168">
        <f t="shared" si="25"/>
        <v>32.805810000000001</v>
      </c>
      <c r="D63" s="168">
        <f t="shared" si="25"/>
        <v>57.511420000000001</v>
      </c>
      <c r="E63" s="168">
        <f t="shared" si="26"/>
        <v>-180.22944999999999</v>
      </c>
      <c r="F63" s="168">
        <f t="shared" si="27"/>
        <v>1276.9965300000001</v>
      </c>
      <c r="G63" s="168">
        <f t="shared" ref="G63:G67" si="31">($F4*G46)+(G4*H46)</f>
        <v>-32.568830000000048</v>
      </c>
      <c r="H63" s="168">
        <f t="shared" si="28"/>
        <v>-42.526049999999998</v>
      </c>
      <c r="I63" s="168">
        <f t="shared" si="29"/>
        <v>0</v>
      </c>
      <c r="J63" s="168">
        <f t="shared" si="30"/>
        <v>13.770340000000001</v>
      </c>
      <c r="K63" s="168">
        <f t="shared" ref="K63:K72" si="32">SUM(C63:J63)</f>
        <v>1125.7597700000001</v>
      </c>
      <c r="N63" s="168"/>
    </row>
    <row r="64" spans="1:15">
      <c r="A64" s="180" t="s">
        <v>132</v>
      </c>
      <c r="C64" s="168">
        <f t="shared" si="25"/>
        <v>0</v>
      </c>
      <c r="D64" s="168">
        <f t="shared" si="25"/>
        <v>9796.76836</v>
      </c>
      <c r="E64" s="168">
        <f t="shared" si="26"/>
        <v>-2084.4187999999999</v>
      </c>
      <c r="F64" s="168">
        <f t="shared" si="27"/>
        <v>0</v>
      </c>
      <c r="G64" s="168">
        <f t="shared" si="31"/>
        <v>1519.505010000008</v>
      </c>
      <c r="H64" s="168">
        <f t="shared" si="28"/>
        <v>-7920.7914400000009</v>
      </c>
      <c r="I64" s="168">
        <f t="shared" si="29"/>
        <v>0</v>
      </c>
      <c r="J64" s="168">
        <f t="shared" si="30"/>
        <v>1875.9769200000001</v>
      </c>
      <c r="K64" s="168">
        <f t="shared" si="32"/>
        <v>3187.0400500000078</v>
      </c>
      <c r="N64" s="168"/>
    </row>
    <row r="65" spans="1:14">
      <c r="A65" s="180" t="s">
        <v>133</v>
      </c>
      <c r="C65" s="168">
        <f t="shared" si="25"/>
        <v>227.84733</v>
      </c>
      <c r="D65" s="168">
        <f t="shared" si="25"/>
        <v>528.83083999999997</v>
      </c>
      <c r="E65" s="168">
        <f t="shared" si="26"/>
        <v>-112.5172</v>
      </c>
      <c r="F65" s="168">
        <f t="shared" si="27"/>
        <v>0</v>
      </c>
      <c r="G65" s="168">
        <f t="shared" si="31"/>
        <v>985.53477000000021</v>
      </c>
      <c r="H65" s="168">
        <f t="shared" si="28"/>
        <v>-427.56536</v>
      </c>
      <c r="I65" s="168">
        <f t="shared" si="29"/>
        <v>0</v>
      </c>
      <c r="J65" s="168">
        <f t="shared" si="30"/>
        <v>101.26548000000001</v>
      </c>
      <c r="K65" s="168">
        <f t="shared" si="32"/>
        <v>1303.3958600000001</v>
      </c>
      <c r="N65" s="168"/>
    </row>
    <row r="66" spans="1:14">
      <c r="A66" s="180" t="s">
        <v>134</v>
      </c>
      <c r="C66" s="168">
        <f t="shared" si="25"/>
        <v>0</v>
      </c>
      <c r="D66" s="168">
        <f t="shared" si="25"/>
        <v>15041.615040000001</v>
      </c>
      <c r="E66" s="168">
        <f t="shared" si="26"/>
        <v>-4178.2264000000005</v>
      </c>
      <c r="F66" s="168">
        <f t="shared" si="27"/>
        <v>0</v>
      </c>
      <c r="G66" s="168">
        <f t="shared" si="31"/>
        <v>6610.4676800000016</v>
      </c>
      <c r="H66" s="168">
        <f t="shared" si="28"/>
        <v>-11490.122600000001</v>
      </c>
      <c r="I66" s="168">
        <f t="shared" si="29"/>
        <v>0</v>
      </c>
      <c r="J66" s="168">
        <f t="shared" si="30"/>
        <v>3760.4037600000001</v>
      </c>
      <c r="K66" s="168">
        <f t="shared" si="32"/>
        <v>9744.1374800000012</v>
      </c>
      <c r="N66" s="168"/>
    </row>
    <row r="67" spans="1:14">
      <c r="A67" s="180" t="s">
        <v>135</v>
      </c>
      <c r="C67" s="168">
        <f t="shared" si="25"/>
        <v>128.71223999999998</v>
      </c>
      <c r="D67" s="168">
        <f t="shared" si="25"/>
        <v>228.82176000000001</v>
      </c>
      <c r="E67" s="168">
        <f t="shared" si="26"/>
        <v>-63.561600000000006</v>
      </c>
      <c r="F67" s="168">
        <f t="shared" si="27"/>
        <v>0</v>
      </c>
      <c r="G67" s="168">
        <f t="shared" si="31"/>
        <v>423.77520000000004</v>
      </c>
      <c r="H67" s="168">
        <f t="shared" si="28"/>
        <v>-174.79440000000002</v>
      </c>
      <c r="I67" s="168">
        <f t="shared" si="29"/>
        <v>0</v>
      </c>
      <c r="J67" s="168">
        <f t="shared" si="30"/>
        <v>57.205440000000003</v>
      </c>
      <c r="K67" s="168">
        <f t="shared" si="32"/>
        <v>600.15863999999999</v>
      </c>
      <c r="N67" s="168"/>
    </row>
    <row r="68" spans="1:14">
      <c r="A68" s="180" t="s">
        <v>136</v>
      </c>
      <c r="C68" s="168">
        <f t="shared" ref="C68:E68" si="33">$H9*C51+$H10*C52</f>
        <v>0</v>
      </c>
      <c r="D68" s="168">
        <f t="shared" si="33"/>
        <v>8333.6072400000012</v>
      </c>
      <c r="E68" s="168">
        <f t="shared" si="33"/>
        <v>0</v>
      </c>
      <c r="F68" s="168">
        <f>$H9*F51+$H10*F52</f>
        <v>0</v>
      </c>
      <c r="G68" s="168">
        <f>($F9*G51)+(G9*H51)+(F10*G52)+(G10*H52)</f>
        <v>37667.609339999995</v>
      </c>
      <c r="H68" s="168">
        <f>$H9*I51+$H10*I52</f>
        <v>-6182.99892</v>
      </c>
      <c r="I68" s="168">
        <f>$H9*J51+$H10*J52</f>
        <v>0</v>
      </c>
      <c r="J68" s="168">
        <f>$H9*K51+$H10*K52</f>
        <v>3136.3038000000001</v>
      </c>
      <c r="K68" s="168">
        <f t="shared" si="32"/>
        <v>42954.521459999996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4">$H11*E53</f>
        <v>0</v>
      </c>
      <c r="F69" s="168">
        <f t="shared" si="34"/>
        <v>0</v>
      </c>
      <c r="G69" s="168">
        <f>($F11*G53)+(G11*H53)</f>
        <v>0</v>
      </c>
      <c r="H69" s="168">
        <f>($H11*I53)</f>
        <v>0</v>
      </c>
      <c r="I69" s="168">
        <f t="shared" ref="I69:J71" si="35">$H11*J53</f>
        <v>0</v>
      </c>
      <c r="J69" s="168">
        <f t="shared" si="35"/>
        <v>0</v>
      </c>
      <c r="K69" s="168">
        <f t="shared" si="32"/>
        <v>0</v>
      </c>
      <c r="N69" s="168"/>
    </row>
    <row r="70" spans="1:14">
      <c r="A70" s="180" t="s">
        <v>137</v>
      </c>
      <c r="C70" s="168">
        <f t="shared" si="34"/>
        <v>0</v>
      </c>
      <c r="D70" s="168">
        <f t="shared" si="34"/>
        <v>1665.2180999999998</v>
      </c>
      <c r="E70" s="168">
        <f t="shared" si="34"/>
        <v>-512.37480000000005</v>
      </c>
      <c r="F70" s="168">
        <f t="shared" si="34"/>
        <v>0</v>
      </c>
      <c r="G70" s="168">
        <f t="shared" ref="G70" si="36">($F12*G54)+(G12*H54)</f>
        <v>1095.2297900000012</v>
      </c>
      <c r="H70" s="168">
        <f>($H12*I54)</f>
        <v>-1229.6995200000001</v>
      </c>
      <c r="I70" s="168">
        <f t="shared" si="35"/>
        <v>0</v>
      </c>
      <c r="J70" s="168">
        <f t="shared" si="35"/>
        <v>473.94668999999999</v>
      </c>
      <c r="K70" s="168">
        <f t="shared" si="32"/>
        <v>1492.3202600000006</v>
      </c>
      <c r="N70" s="168"/>
    </row>
    <row r="71" spans="1:14">
      <c r="A71" s="180" t="s">
        <v>138</v>
      </c>
      <c r="C71" s="168">
        <f t="shared" si="34"/>
        <v>202.095</v>
      </c>
      <c r="D71" s="168">
        <f t="shared" si="34"/>
        <v>324.34999999999997</v>
      </c>
      <c r="E71" s="168">
        <f t="shared" si="34"/>
        <v>-99.800000000000011</v>
      </c>
      <c r="F71" s="168">
        <f t="shared" si="34"/>
        <v>0</v>
      </c>
      <c r="G71" s="168">
        <f>($F13*G55)+(G13*H55)</f>
        <v>-506.87324000000012</v>
      </c>
      <c r="H71" s="168">
        <f>($H13*I55)</f>
        <v>-239.52</v>
      </c>
      <c r="I71" s="168">
        <f t="shared" si="35"/>
        <v>0</v>
      </c>
      <c r="J71" s="168">
        <f t="shared" si="35"/>
        <v>92.314999999999998</v>
      </c>
      <c r="K71" s="168">
        <f t="shared" si="32"/>
        <v>-227.43324000000024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($F14*G56)+(G14*H56)</f>
        <v>0</v>
      </c>
      <c r="H72" s="168"/>
      <c r="I72" s="168">
        <f>($H14+$H15)*J56+$H16*J57</f>
        <v>0</v>
      </c>
      <c r="J72" s="168">
        <f>($H14+$H15)*K56+$H16*K57</f>
        <v>0</v>
      </c>
      <c r="K72" s="168">
        <f t="shared" si="32"/>
        <v>0</v>
      </c>
    </row>
    <row r="73" spans="1:14">
      <c r="A73" s="157"/>
      <c r="C73" s="193">
        <f t="shared" ref="C73:J73" si="37">SUM(C62:C72)</f>
        <v>22074.464250000005</v>
      </c>
      <c r="D73" s="193">
        <f>SUM(D62:D72)</f>
        <v>73638.285100000023</v>
      </c>
      <c r="E73" s="193">
        <f t="shared" si="37"/>
        <v>-125255.0384</v>
      </c>
      <c r="F73" s="193">
        <f t="shared" si="37"/>
        <v>1276.9965300000001</v>
      </c>
      <c r="G73" s="337">
        <f t="shared" si="37"/>
        <v>20101.944840000004</v>
      </c>
      <c r="H73" s="193">
        <f t="shared" si="37"/>
        <v>-55556.356639999998</v>
      </c>
      <c r="I73" s="193">
        <f t="shared" si="37"/>
        <v>0</v>
      </c>
      <c r="J73" s="193">
        <f t="shared" si="37"/>
        <v>18528.744609999998</v>
      </c>
      <c r="K73" s="193">
        <f>SUM(K62:K72)</f>
        <v>-45190.959709999981</v>
      </c>
    </row>
    <row r="75" spans="1:14">
      <c r="A75" s="152" t="s">
        <v>19</v>
      </c>
      <c r="B75" s="152"/>
      <c r="C75" s="168">
        <f t="shared" ref="C75:J75" si="38">C62+C63</f>
        <v>21515.809680000002</v>
      </c>
      <c r="D75" s="168">
        <f t="shared" si="38"/>
        <v>37719.073760000007</v>
      </c>
      <c r="E75" s="168">
        <f t="shared" si="38"/>
        <v>-118204.13959999999</v>
      </c>
      <c r="F75" s="168">
        <f t="shared" si="38"/>
        <v>1276.9965300000001</v>
      </c>
      <c r="G75" s="168">
        <f t="shared" si="38"/>
        <v>-27693.303710000004</v>
      </c>
      <c r="H75" s="168">
        <f t="shared" si="38"/>
        <v>-27890.864399999999</v>
      </c>
      <c r="I75" s="168">
        <f t="shared" si="38"/>
        <v>0</v>
      </c>
      <c r="J75" s="168">
        <f t="shared" si="38"/>
        <v>9031.3275199999989</v>
      </c>
      <c r="K75" s="168">
        <f>K62+K63</f>
        <v>-104245.10021999999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9">SUM(C64:C67,C69:C71)</f>
        <v>558.65457000000004</v>
      </c>
      <c r="D77" s="176">
        <f>SUM(D64:D67,D69:D71)</f>
        <v>27585.604099999997</v>
      </c>
      <c r="E77" s="176">
        <f>SUM(E64:E67,E69:E71)</f>
        <v>-7050.8987999999999</v>
      </c>
      <c r="F77" s="176">
        <f>SUM(F64:F67,F69:F71)</f>
        <v>0</v>
      </c>
      <c r="G77" s="176">
        <f t="shared" si="39"/>
        <v>10127.63921000001</v>
      </c>
      <c r="H77" s="176">
        <f t="shared" si="39"/>
        <v>-21482.493320000005</v>
      </c>
      <c r="I77" s="176">
        <f t="shared" si="39"/>
        <v>0</v>
      </c>
      <c r="J77" s="176">
        <f t="shared" si="39"/>
        <v>6361.1132899999993</v>
      </c>
      <c r="K77" s="176">
        <f>SUM(K64:K67,K69:K71)</f>
        <v>16099.619050000008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374</v>
      </c>
      <c r="H82" s="403"/>
      <c r="I82" s="403"/>
      <c r="J82" s="403"/>
      <c r="M82" s="200"/>
      <c r="N82" s="200"/>
    </row>
    <row r="83" spans="1:14" ht="14.4">
      <c r="A83" s="329" t="s">
        <v>370</v>
      </c>
      <c r="B83" s="198">
        <v>1</v>
      </c>
      <c r="C83" s="199">
        <v>779045</v>
      </c>
      <c r="D83" s="200">
        <f>70547.97-C83*SUM(N51,H51)</f>
        <v>68693.842900000003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779045</v>
      </c>
      <c r="D84" s="205">
        <f>SUM(D83:D83)</f>
        <v>68693.842900000003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198"/>
      <c r="C86" s="199"/>
      <c r="D86" s="200"/>
      <c r="E86" s="200"/>
      <c r="F86" s="151"/>
    </row>
    <row r="87" spans="1:14" ht="14.4">
      <c r="B87" s="198"/>
      <c r="C87" s="199"/>
      <c r="D87" s="200"/>
      <c r="E87" s="200"/>
    </row>
    <row r="88" spans="1:14" ht="9" customHeight="1"/>
  </sheetData>
  <mergeCells count="3">
    <mergeCell ref="A1:I1"/>
    <mergeCell ref="I56:I57"/>
    <mergeCell ref="G82:J82"/>
  </mergeCells>
  <printOptions horizontalCentered="1"/>
  <pageMargins left="0.7" right="0.7" top="0.5" bottom="0.5" header="0.3" footer="0.3"/>
  <pageSetup scale="75" fitToHeight="3" orientation="landscape" r:id="rId1"/>
  <headerFooter>
    <oddFooter>&amp;L&amp;F / &amp;A&amp;RPage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AE88"/>
  <sheetViews>
    <sheetView zoomScaleNormal="100" workbookViewId="0">
      <selection activeCell="A35" sqref="A1:XFD1048576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2.109375" style="1" bestFit="1" customWidth="1"/>
    <col min="11" max="11" width="12.664062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3.6640625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297</v>
      </c>
      <c r="AB1" s="151"/>
      <c r="AC1" s="151" t="s">
        <v>237</v>
      </c>
      <c r="AD1" s="224" t="s">
        <v>296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August Billed Schedule 75 Revenue</v>
      </c>
      <c r="P2" s="287" t="str">
        <f>AA1&amp;" Billed kWhs"</f>
        <v>August Billed kWhs</v>
      </c>
      <c r="Q2" s="287" t="str">
        <f>AA1&amp;" Unbilled kWhs"</f>
        <v>August Unbilled kWhs</v>
      </c>
      <c r="R2" s="287" t="s">
        <v>238</v>
      </c>
      <c r="S2" s="287" t="s">
        <v>239</v>
      </c>
      <c r="T2" s="287" t="str">
        <f>AD1&amp;" Unbilled kWhs reversal"</f>
        <v>July Unbilled kWhs reversal</v>
      </c>
      <c r="U2" s="287" t="s">
        <v>238</v>
      </c>
      <c r="V2" s="287" t="str">
        <f>AD1&amp;" Schedule 75 Unbilled Reversal"</f>
        <v>July Schedule 75 Unbilled Reversal</v>
      </c>
      <c r="W2" s="151"/>
      <c r="X2" s="287" t="str">
        <f>"Total "&amp;AA1&amp;" Schedule 75 Revenue"</f>
        <v>Total August Schedule 75 Revenue</v>
      </c>
      <c r="Y2" s="151"/>
      <c r="Z2" s="287" t="str">
        <f>"Calendar "&amp;AA1&amp;" Usage"</f>
        <v>Calendar August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July unbilled/Cancel-Rebill True-up kWhs</v>
      </c>
      <c r="AE2" s="151"/>
    </row>
    <row r="3" spans="1:31" ht="14.4">
      <c r="A3" s="180" t="s">
        <v>131</v>
      </c>
      <c r="B3" s="152"/>
      <c r="C3" s="158">
        <v>215250</v>
      </c>
      <c r="D3" s="282"/>
      <c r="E3" s="182">
        <v>204769910.78900999</v>
      </c>
      <c r="F3" s="182">
        <v>-100822517</v>
      </c>
      <c r="G3" s="182">
        <f>103479910-5524283</f>
        <v>97955627</v>
      </c>
      <c r="H3" s="189">
        <f>SUM(F3:G3)</f>
        <v>-2866890</v>
      </c>
      <c r="I3" s="159">
        <f>E3+H3</f>
        <v>201903020.78900999</v>
      </c>
      <c r="J3" s="282"/>
      <c r="M3" s="151" t="s">
        <v>242</v>
      </c>
      <c r="N3" s="151"/>
      <c r="O3" s="214">
        <v>911249.75</v>
      </c>
      <c r="P3" s="225">
        <f t="shared" ref="P3:P8" si="0">E3</f>
        <v>204769910.78900999</v>
      </c>
      <c r="Q3" s="225">
        <f t="shared" ref="Q3:Q8" si="1">G3</f>
        <v>97955627</v>
      </c>
      <c r="R3" s="206">
        <v>4.45E-3</v>
      </c>
      <c r="S3" s="215">
        <f>Q3*R3</f>
        <v>435902.54015000002</v>
      </c>
      <c r="T3" s="225">
        <f t="shared" ref="T3:T8" si="2">F3</f>
        <v>-100822517</v>
      </c>
      <c r="U3" s="206">
        <v>4.45E-3</v>
      </c>
      <c r="V3" s="216">
        <f>T3*U3</f>
        <v>-448660.20065000001</v>
      </c>
      <c r="W3" s="151"/>
      <c r="X3" s="150">
        <f>O3+S3+V3</f>
        <v>898492.0895</v>
      </c>
      <c r="Y3" s="151"/>
      <c r="Z3" s="95">
        <f>P3+Q3+T3</f>
        <v>201903020.78900999</v>
      </c>
      <c r="AA3" s="170">
        <f>R3</f>
        <v>4.45E-3</v>
      </c>
      <c r="AB3" s="217">
        <f>Z3*AA3</f>
        <v>898468.44251109438</v>
      </c>
      <c r="AC3" s="150">
        <f>X3-AB3</f>
        <v>23.646988905617036</v>
      </c>
      <c r="AD3" s="95">
        <f>AC3/AA3</f>
        <v>5313.9300911498958</v>
      </c>
      <c r="AE3" s="218">
        <f>AC3/X3</f>
        <v>2.6318527655347863E-5</v>
      </c>
    </row>
    <row r="4" spans="1:31" ht="14.4">
      <c r="A4" s="180" t="s">
        <v>178</v>
      </c>
      <c r="B4" s="152"/>
      <c r="C4" s="158">
        <v>398</v>
      </c>
      <c r="D4" s="282"/>
      <c r="E4" s="182">
        <v>335409.13400000002</v>
      </c>
      <c r="F4" s="182">
        <v>-173265</v>
      </c>
      <c r="G4" s="182">
        <v>160450</v>
      </c>
      <c r="H4" s="189">
        <f t="shared" ref="H4:H16" si="3">SUM(F4:G4)</f>
        <v>-12815</v>
      </c>
      <c r="I4" s="159">
        <f t="shared" ref="I4:I16" si="4">E4+H4</f>
        <v>322594.13400000002</v>
      </c>
      <c r="J4" s="282"/>
      <c r="M4" s="151" t="s">
        <v>243</v>
      </c>
      <c r="N4" s="151"/>
      <c r="O4" s="214">
        <v>1492.65</v>
      </c>
      <c r="P4" s="225">
        <f t="shared" si="0"/>
        <v>335409.13400000002</v>
      </c>
      <c r="Q4" s="225">
        <f t="shared" si="1"/>
        <v>160450</v>
      </c>
      <c r="R4" s="206">
        <v>4.45E-3</v>
      </c>
      <c r="S4" s="215">
        <f>Q4*R4</f>
        <v>714.00249999999994</v>
      </c>
      <c r="T4" s="225">
        <f t="shared" si="2"/>
        <v>-173265</v>
      </c>
      <c r="U4" s="206">
        <v>4.45E-3</v>
      </c>
      <c r="V4" s="216">
        <f t="shared" ref="V4:V11" si="5">T4*U4</f>
        <v>-771.02925000000005</v>
      </c>
      <c r="W4" s="151"/>
      <c r="X4" s="150">
        <f t="shared" ref="X4:X11" si="6">O4+S4+V4</f>
        <v>1435.6232500000001</v>
      </c>
      <c r="Y4" s="151"/>
      <c r="Z4" s="95">
        <f t="shared" ref="Z4:Z11" si="7">P4+Q4+T4</f>
        <v>322594.13400000002</v>
      </c>
      <c r="AA4" s="170">
        <f t="shared" ref="AA4:AA11" si="8">R4</f>
        <v>4.45E-3</v>
      </c>
      <c r="AB4" s="217">
        <f t="shared" ref="AB4:AB11" si="9">Z4*AA4</f>
        <v>1435.5438963000001</v>
      </c>
      <c r="AC4" s="150">
        <f t="shared" ref="AC4:AC11" si="10">X4-AB4</f>
        <v>7.9353699999956007E-2</v>
      </c>
      <c r="AD4" s="95">
        <f t="shared" ref="AD4:AD11" si="11">AC4/AA4</f>
        <v>17.832292134821575</v>
      </c>
      <c r="AE4" s="218">
        <f t="shared" ref="AE4:AE12" si="12">AC4/X4</f>
        <v>5.5274738689245941E-5</v>
      </c>
    </row>
    <row r="5" spans="1:31" ht="14.4">
      <c r="A5" s="180" t="s">
        <v>132</v>
      </c>
      <c r="B5" s="152"/>
      <c r="C5" s="158">
        <v>22870</v>
      </c>
      <c r="D5" s="282"/>
      <c r="E5" s="182">
        <v>51053201.441</v>
      </c>
      <c r="F5" s="182">
        <v>-27487278</v>
      </c>
      <c r="G5" s="182">
        <v>24350340</v>
      </c>
      <c r="H5" s="189">
        <f t="shared" si="3"/>
        <v>-3136938</v>
      </c>
      <c r="I5" s="159">
        <f t="shared" si="4"/>
        <v>47916263.441</v>
      </c>
      <c r="J5" s="282"/>
      <c r="M5" s="151" t="s">
        <v>244</v>
      </c>
      <c r="N5" s="151"/>
      <c r="O5" s="214">
        <v>20420.080000000002</v>
      </c>
      <c r="P5" s="225">
        <f t="shared" si="0"/>
        <v>51053201.441</v>
      </c>
      <c r="Q5" s="225">
        <f t="shared" si="1"/>
        <v>24350340</v>
      </c>
      <c r="R5" s="219">
        <v>4.0000000000000002E-4</v>
      </c>
      <c r="S5" s="215">
        <f>Q5*R5</f>
        <v>9740.1360000000004</v>
      </c>
      <c r="T5" s="225">
        <f t="shared" si="2"/>
        <v>-27487278</v>
      </c>
      <c r="U5" s="219">
        <v>4.0000000000000002E-4</v>
      </c>
      <c r="V5" s="216">
        <f t="shared" si="5"/>
        <v>-10994.9112</v>
      </c>
      <c r="W5" s="151"/>
      <c r="X5" s="150">
        <f t="shared" si="6"/>
        <v>19165.304799999998</v>
      </c>
      <c r="Y5" s="151"/>
      <c r="Z5" s="95">
        <f t="shared" si="7"/>
        <v>47916263.441</v>
      </c>
      <c r="AA5" s="220">
        <f t="shared" si="8"/>
        <v>4.0000000000000002E-4</v>
      </c>
      <c r="AB5" s="217">
        <f t="shared" si="9"/>
        <v>19166.5053764</v>
      </c>
      <c r="AC5" s="150">
        <f t="shared" si="10"/>
        <v>-1.2005764000023191</v>
      </c>
      <c r="AD5" s="95">
        <f t="shared" si="11"/>
        <v>-3001.4410000057978</v>
      </c>
      <c r="AE5" s="218">
        <f t="shared" si="12"/>
        <v>-6.2643219741661461E-5</v>
      </c>
    </row>
    <row r="6" spans="1:31" ht="14.4">
      <c r="A6" s="180" t="s">
        <v>133</v>
      </c>
      <c r="B6" s="152"/>
      <c r="C6" s="158">
        <v>9482</v>
      </c>
      <c r="D6" s="282"/>
      <c r="E6" s="182">
        <v>4157216.8590000002</v>
      </c>
      <c r="F6" s="182">
        <v>-2278873</v>
      </c>
      <c r="G6" s="182">
        <v>1988697</v>
      </c>
      <c r="H6" s="189">
        <f t="shared" si="3"/>
        <v>-290176</v>
      </c>
      <c r="I6" s="159">
        <f t="shared" si="4"/>
        <v>3867040.8590000002</v>
      </c>
      <c r="J6" s="282"/>
      <c r="M6" s="151" t="s">
        <v>245</v>
      </c>
      <c r="N6" s="151"/>
      <c r="O6" s="214">
        <v>1662.17</v>
      </c>
      <c r="P6" s="225">
        <f t="shared" si="0"/>
        <v>4157216.8590000002</v>
      </c>
      <c r="Q6" s="225">
        <f t="shared" si="1"/>
        <v>1988697</v>
      </c>
      <c r="R6" s="219">
        <v>4.0000000000000002E-4</v>
      </c>
      <c r="S6" s="215">
        <f t="shared" ref="S6:S11" si="13">Q6*R6</f>
        <v>795.47880000000009</v>
      </c>
      <c r="T6" s="225">
        <f t="shared" si="2"/>
        <v>-2278873</v>
      </c>
      <c r="U6" s="219">
        <v>4.0000000000000002E-4</v>
      </c>
      <c r="V6" s="216">
        <f t="shared" si="5"/>
        <v>-911.54920000000004</v>
      </c>
      <c r="W6" s="151"/>
      <c r="X6" s="150">
        <f t="shared" si="6"/>
        <v>1546.0996</v>
      </c>
      <c r="Y6" s="151"/>
      <c r="Z6" s="95">
        <f t="shared" si="7"/>
        <v>3867040.8590000002</v>
      </c>
      <c r="AA6" s="220">
        <f t="shared" si="8"/>
        <v>4.0000000000000002E-4</v>
      </c>
      <c r="AB6" s="217">
        <f t="shared" si="9"/>
        <v>1546.8163436000002</v>
      </c>
      <c r="AC6" s="150">
        <f t="shared" si="10"/>
        <v>-0.71674360000019988</v>
      </c>
      <c r="AD6" s="95">
        <f t="shared" si="11"/>
        <v>-1791.8590000004997</v>
      </c>
      <c r="AE6" s="218">
        <f t="shared" si="12"/>
        <v>-4.6358177700854449E-4</v>
      </c>
    </row>
    <row r="7" spans="1:31" ht="14.4">
      <c r="A7" s="180" t="s">
        <v>134</v>
      </c>
      <c r="B7" s="152"/>
      <c r="C7" s="158">
        <v>1857</v>
      </c>
      <c r="D7" s="282"/>
      <c r="E7" s="182">
        <v>122191477.355</v>
      </c>
      <c r="F7" s="182">
        <v>-69470717</v>
      </c>
      <c r="G7" s="182">
        <v>58149012</v>
      </c>
      <c r="H7" s="189">
        <f t="shared" si="3"/>
        <v>-11321705</v>
      </c>
      <c r="I7" s="159">
        <f t="shared" si="4"/>
        <v>110869772.355</v>
      </c>
      <c r="J7" s="282"/>
      <c r="M7" s="151" t="s">
        <v>246</v>
      </c>
      <c r="N7" s="151"/>
      <c r="O7" s="214">
        <v>48876.46</v>
      </c>
      <c r="P7" s="225">
        <f t="shared" si="0"/>
        <v>122191477.355</v>
      </c>
      <c r="Q7" s="225">
        <f t="shared" si="1"/>
        <v>58149012</v>
      </c>
      <c r="R7" s="219">
        <v>4.0000000000000002E-4</v>
      </c>
      <c r="S7" s="215">
        <f t="shared" si="13"/>
        <v>23259.604800000001</v>
      </c>
      <c r="T7" s="225">
        <f t="shared" si="2"/>
        <v>-69470717</v>
      </c>
      <c r="U7" s="219">
        <v>4.0000000000000002E-4</v>
      </c>
      <c r="V7" s="216">
        <f t="shared" si="5"/>
        <v>-27788.286800000002</v>
      </c>
      <c r="W7" s="151"/>
      <c r="X7" s="150">
        <f t="shared" si="6"/>
        <v>44347.777999999991</v>
      </c>
      <c r="Y7" s="151"/>
      <c r="Z7" s="95">
        <f t="shared" si="7"/>
        <v>110869772.35500002</v>
      </c>
      <c r="AA7" s="220">
        <f t="shared" si="8"/>
        <v>4.0000000000000002E-4</v>
      </c>
      <c r="AB7" s="217">
        <f t="shared" si="9"/>
        <v>44347.908942000009</v>
      </c>
      <c r="AC7" s="150">
        <f t="shared" si="10"/>
        <v>-0.13094200001796708</v>
      </c>
      <c r="AD7" s="95">
        <f t="shared" si="11"/>
        <v>-327.35500004491769</v>
      </c>
      <c r="AE7" s="218">
        <f t="shared" si="12"/>
        <v>-2.9526169274583973E-6</v>
      </c>
    </row>
    <row r="8" spans="1:31" ht="14.4">
      <c r="A8" s="180" t="s">
        <v>135</v>
      </c>
      <c r="B8" s="152"/>
      <c r="C8" s="158">
        <v>47</v>
      </c>
      <c r="D8" s="282"/>
      <c r="E8" s="182">
        <v>2567959.92</v>
      </c>
      <c r="F8" s="182">
        <v>-1380771</v>
      </c>
      <c r="G8" s="182">
        <v>1228440</v>
      </c>
      <c r="H8" s="189">
        <f t="shared" si="3"/>
        <v>-152331</v>
      </c>
      <c r="I8" s="159">
        <f t="shared" si="4"/>
        <v>2415628.92</v>
      </c>
      <c r="J8" s="282"/>
      <c r="M8" s="151" t="s">
        <v>247</v>
      </c>
      <c r="N8" s="151"/>
      <c r="O8" s="214">
        <v>1027.19</v>
      </c>
      <c r="P8" s="225">
        <f t="shared" si="0"/>
        <v>2567959.92</v>
      </c>
      <c r="Q8" s="225">
        <f t="shared" si="1"/>
        <v>1228440</v>
      </c>
      <c r="R8" s="219">
        <v>4.0000000000000002E-4</v>
      </c>
      <c r="S8" s="215">
        <f t="shared" si="13"/>
        <v>491.37600000000003</v>
      </c>
      <c r="T8" s="225">
        <f t="shared" si="2"/>
        <v>-1380771</v>
      </c>
      <c r="U8" s="219">
        <v>4.0000000000000002E-4</v>
      </c>
      <c r="V8" s="216">
        <f t="shared" si="5"/>
        <v>-552.30840000000001</v>
      </c>
      <c r="W8" s="151"/>
      <c r="X8" s="150">
        <f t="shared" si="6"/>
        <v>966.25760000000002</v>
      </c>
      <c r="Y8" s="151"/>
      <c r="Z8" s="95">
        <f t="shared" si="7"/>
        <v>2415628.92</v>
      </c>
      <c r="AA8" s="220">
        <f t="shared" si="8"/>
        <v>4.0000000000000002E-4</v>
      </c>
      <c r="AB8" s="217">
        <f t="shared" si="9"/>
        <v>966.25156800000002</v>
      </c>
      <c r="AC8" s="150">
        <f t="shared" si="10"/>
        <v>6.0320000000047003E-3</v>
      </c>
      <c r="AD8" s="95">
        <f t="shared" si="11"/>
        <v>15.080000000011751</v>
      </c>
      <c r="AE8" s="218">
        <f t="shared" si="12"/>
        <v>6.2426417137673222E-6</v>
      </c>
    </row>
    <row r="9" spans="1:31" ht="14.4">
      <c r="A9" s="180" t="s">
        <v>136</v>
      </c>
      <c r="B9" s="152"/>
      <c r="C9" s="158">
        <v>23</v>
      </c>
      <c r="D9" s="194"/>
      <c r="E9" s="182">
        <f>95462593.19-E10</f>
        <v>60685021.189999998</v>
      </c>
      <c r="F9" s="182">
        <f>-95141639-F10</f>
        <v>-60141639</v>
      </c>
      <c r="G9" s="182">
        <f>98894442-G10</f>
        <v>63894442</v>
      </c>
      <c r="H9" s="189">
        <f t="shared" si="3"/>
        <v>3752803</v>
      </c>
      <c r="I9" s="159">
        <f t="shared" si="4"/>
        <v>64437824.189999998</v>
      </c>
      <c r="J9" s="282"/>
      <c r="M9" s="151" t="s">
        <v>248</v>
      </c>
      <c r="N9" s="151"/>
      <c r="O9" s="214">
        <v>2525.34</v>
      </c>
      <c r="P9" s="225">
        <f>E11</f>
        <v>6313288.5669999998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2525.34</v>
      </c>
      <c r="Y9" s="151"/>
      <c r="Z9" s="95">
        <f t="shared" si="7"/>
        <v>6313288.5669999998</v>
      </c>
      <c r="AA9" s="220">
        <f t="shared" si="8"/>
        <v>4.0000000000000002E-4</v>
      </c>
      <c r="AB9" s="217">
        <f t="shared" si="9"/>
        <v>2525.3154267999998</v>
      </c>
      <c r="AC9" s="150">
        <f t="shared" si="10"/>
        <v>2.4573200000304496E-2</v>
      </c>
      <c r="AD9" s="95">
        <f t="shared" si="11"/>
        <v>61.43300000076124</v>
      </c>
      <c r="AE9" s="218">
        <f t="shared" si="12"/>
        <v>9.730650130400063E-6</v>
      </c>
    </row>
    <row r="10" spans="1:31" ht="14.4">
      <c r="A10" s="180" t="s">
        <v>179</v>
      </c>
      <c r="B10" s="152"/>
      <c r="C10" s="158"/>
      <c r="D10" s="194"/>
      <c r="E10" s="182">
        <v>34777572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34777572</v>
      </c>
      <c r="J10" s="282"/>
      <c r="M10" s="151" t="s">
        <v>249</v>
      </c>
      <c r="N10" s="151"/>
      <c r="O10" s="214">
        <v>7928.43</v>
      </c>
      <c r="P10" s="225">
        <f>E12</f>
        <v>19821419.405000001</v>
      </c>
      <c r="Q10" s="225">
        <f>G12</f>
        <v>7219225</v>
      </c>
      <c r="R10" s="219">
        <v>4.0000000000000002E-4</v>
      </c>
      <c r="S10" s="215">
        <f t="shared" si="13"/>
        <v>2887.69</v>
      </c>
      <c r="T10" s="225">
        <f>F12</f>
        <v>-6510007</v>
      </c>
      <c r="U10" s="219">
        <v>4.0000000000000002E-4</v>
      </c>
      <c r="V10" s="216">
        <f t="shared" si="5"/>
        <v>-2604.0028000000002</v>
      </c>
      <c r="W10" s="151"/>
      <c r="X10" s="150">
        <f>O10+S10+V10</f>
        <v>8212.1172000000006</v>
      </c>
      <c r="Y10" s="151"/>
      <c r="Z10" s="95">
        <f t="shared" si="7"/>
        <v>20530637.405000001</v>
      </c>
      <c r="AA10" s="220">
        <f t="shared" si="8"/>
        <v>4.0000000000000002E-4</v>
      </c>
      <c r="AB10" s="217">
        <f t="shared" si="9"/>
        <v>8212.2549620000009</v>
      </c>
      <c r="AC10" s="150">
        <f t="shared" si="10"/>
        <v>-0.13776200000029348</v>
      </c>
      <c r="AD10" s="95">
        <f t="shared" si="11"/>
        <v>-344.40500000073371</v>
      </c>
      <c r="AE10" s="218">
        <f t="shared" si="12"/>
        <v>-1.6775454690331682E-5</v>
      </c>
    </row>
    <row r="11" spans="1:31" ht="14.4">
      <c r="A11" s="180" t="s">
        <v>180</v>
      </c>
      <c r="B11" s="152"/>
      <c r="C11" s="158">
        <v>50</v>
      </c>
      <c r="D11" s="282"/>
      <c r="E11" s="182">
        <v>6313288.5669999998</v>
      </c>
      <c r="F11" s="182">
        <v>0</v>
      </c>
      <c r="G11" s="182">
        <v>0</v>
      </c>
      <c r="H11" s="189">
        <f t="shared" si="3"/>
        <v>0</v>
      </c>
      <c r="I11" s="159">
        <f t="shared" si="4"/>
        <v>6313288.5669999998</v>
      </c>
      <c r="J11" s="282"/>
      <c r="M11" s="151" t="s">
        <v>250</v>
      </c>
      <c r="N11" s="151"/>
      <c r="O11" s="214">
        <v>752.44</v>
      </c>
      <c r="P11" s="225">
        <f>E13</f>
        <v>1881129.7009999999</v>
      </c>
      <c r="Q11" s="225">
        <f>G13</f>
        <v>623328</v>
      </c>
      <c r="R11" s="219">
        <v>4.0000000000000002E-4</v>
      </c>
      <c r="S11" s="215">
        <f t="shared" si="13"/>
        <v>249.33120000000002</v>
      </c>
      <c r="T11" s="225">
        <f>F13</f>
        <v>-605650</v>
      </c>
      <c r="U11" s="219">
        <v>4.0000000000000002E-4</v>
      </c>
      <c r="V11" s="216">
        <f t="shared" si="5"/>
        <v>-242.26000000000002</v>
      </c>
      <c r="W11" s="151"/>
      <c r="X11" s="150">
        <f t="shared" si="6"/>
        <v>759.51120000000014</v>
      </c>
      <c r="Y11" s="151"/>
      <c r="Z11" s="95">
        <f t="shared" si="7"/>
        <v>1898807.7009999999</v>
      </c>
      <c r="AA11" s="220">
        <f t="shared" si="8"/>
        <v>4.0000000000000002E-4</v>
      </c>
      <c r="AB11" s="217">
        <f t="shared" si="9"/>
        <v>759.52308040000003</v>
      </c>
      <c r="AC11" s="150">
        <f t="shared" si="10"/>
        <v>-1.1880399999881774E-2</v>
      </c>
      <c r="AD11" s="95">
        <f t="shared" si="11"/>
        <v>-29.700999999704436</v>
      </c>
      <c r="AE11" s="218">
        <f t="shared" si="12"/>
        <v>-1.5642165645327906E-5</v>
      </c>
    </row>
    <row r="12" spans="1:31" ht="14.4">
      <c r="A12" s="180" t="s">
        <v>137</v>
      </c>
      <c r="B12" s="152"/>
      <c r="C12" s="158">
        <v>1214</v>
      </c>
      <c r="D12" s="282"/>
      <c r="E12" s="182">
        <v>19821419.405000001</v>
      </c>
      <c r="F12" s="182">
        <v>-6510007</v>
      </c>
      <c r="G12" s="182">
        <v>7219225</v>
      </c>
      <c r="H12" s="189">
        <f t="shared" si="3"/>
        <v>709218</v>
      </c>
      <c r="I12" s="159">
        <f t="shared" si="4"/>
        <v>20530637.405000001</v>
      </c>
      <c r="J12" s="282"/>
      <c r="M12" s="151"/>
      <c r="N12" s="151"/>
      <c r="O12" s="221">
        <f>SUM(O3:O11)</f>
        <v>995934.50999999989</v>
      </c>
      <c r="P12" s="51">
        <f>SUM(P3:P11)</f>
        <v>413091013.1710099</v>
      </c>
      <c r="Q12" s="51">
        <f>SUM(Q3:Q11)</f>
        <v>191675119</v>
      </c>
      <c r="R12" s="151"/>
      <c r="S12" s="221">
        <f>SUM(S3:S11)</f>
        <v>474040.15945000004</v>
      </c>
      <c r="T12" s="51">
        <f>SUM(T3:T11)</f>
        <v>-208729078</v>
      </c>
      <c r="U12" s="151"/>
      <c r="V12" s="221">
        <f>SUM(V3:V11)</f>
        <v>-492524.54830000002</v>
      </c>
      <c r="W12" s="151"/>
      <c r="X12" s="221">
        <f>SUM(X3:X11)</f>
        <v>977450.1211499999</v>
      </c>
      <c r="Y12" s="151"/>
      <c r="Z12" s="51">
        <f>SUM(Z3:Z11)</f>
        <v>396037054.1710099</v>
      </c>
      <c r="AA12" s="151"/>
      <c r="AB12" s="51">
        <f>SUM(AB3:AB11)</f>
        <v>977428.56210659433</v>
      </c>
      <c r="AC12" s="221">
        <f>SUM(AC3:AC11)</f>
        <v>21.55904340559664</v>
      </c>
      <c r="AD12" s="51">
        <f>SUM(AD3:AD11)</f>
        <v>-86.485616766162821</v>
      </c>
      <c r="AE12" s="218">
        <f t="shared" si="12"/>
        <v>2.2056412843073533E-5</v>
      </c>
    </row>
    <row r="13" spans="1:31" ht="14.4">
      <c r="A13" s="180" t="s">
        <v>138</v>
      </c>
      <c r="B13" s="152"/>
      <c r="C13" s="158">
        <v>1209</v>
      </c>
      <c r="D13" s="282"/>
      <c r="E13" s="182">
        <v>1881129.7009999999</v>
      </c>
      <c r="F13" s="182">
        <v>-605650</v>
      </c>
      <c r="G13" s="182">
        <v>623328</v>
      </c>
      <c r="H13" s="189">
        <f t="shared" si="3"/>
        <v>17678</v>
      </c>
      <c r="I13" s="159">
        <f t="shared" si="4"/>
        <v>1898807.7009999999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416</v>
      </c>
      <c r="D14" s="194"/>
      <c r="E14" s="182">
        <v>944989.42</v>
      </c>
      <c r="F14" s="182"/>
      <c r="G14" s="182"/>
      <c r="H14" s="189"/>
      <c r="I14" s="159">
        <f t="shared" si="4"/>
        <v>944989.42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415332.44</v>
      </c>
      <c r="F15" s="182"/>
      <c r="G15" s="182"/>
      <c r="H15" s="189">
        <f t="shared" si="3"/>
        <v>0</v>
      </c>
      <c r="I15" s="159">
        <f t="shared" si="4"/>
        <v>415332.44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857921.78690196818</v>
      </c>
      <c r="Y15" s="151"/>
      <c r="Z15" s="151" t="s">
        <v>19</v>
      </c>
      <c r="AA15" s="50">
        <f>P3+P4+Q3+Q4+T3+T4</f>
        <v>202225614.92300999</v>
      </c>
      <c r="AB15" s="170">
        <v>4.2399999999999998E-3</v>
      </c>
      <c r="AC15" s="150">
        <f>AA15*AB15</f>
        <v>857436.60727356235</v>
      </c>
      <c r="AD15" s="150">
        <f>X15-AC15</f>
        <v>485.17962840583641</v>
      </c>
      <c r="AE15" s="218">
        <f>AD15/X15</f>
        <v>5.6552897456755723E-4</v>
      </c>
    </row>
    <row r="16" spans="1:31" ht="14.4">
      <c r="A16" s="180" t="s">
        <v>183</v>
      </c>
      <c r="B16" s="152"/>
      <c r="C16" s="158"/>
      <c r="D16" s="195"/>
      <c r="E16" s="182">
        <v>218547.3</v>
      </c>
      <c r="F16" s="182"/>
      <c r="G16" s="182"/>
      <c r="H16" s="189">
        <f t="shared" si="3"/>
        <v>0</v>
      </c>
      <c r="I16" s="159">
        <f t="shared" si="4"/>
        <v>218547.3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73903.894943113177</v>
      </c>
      <c r="Y16" s="151"/>
      <c r="Z16" s="151" t="s">
        <v>184</v>
      </c>
      <c r="AA16" s="50">
        <f>SUM(P5:Q11,T5:T11)</f>
        <v>193811439.24799991</v>
      </c>
      <c r="AB16" s="170">
        <v>3.8000000000000002E-4</v>
      </c>
      <c r="AC16" s="150">
        <f>AA16*AB16</f>
        <v>73648.34691423997</v>
      </c>
      <c r="AD16" s="150">
        <f>X16-AC16</f>
        <v>255.54802887320693</v>
      </c>
      <c r="AE16" s="218">
        <f>AD16/X16</f>
        <v>3.4578425003162906E-3</v>
      </c>
    </row>
    <row r="17" spans="1:26" ht="14.4">
      <c r="A17" s="152"/>
      <c r="B17" s="152"/>
      <c r="C17" s="160">
        <f>SUM(C3:C16)</f>
        <v>252816</v>
      </c>
      <c r="E17" s="160">
        <f>SUM(E3:E16)</f>
        <v>510132475.52100998</v>
      </c>
      <c r="F17" s="160">
        <f>SUM(F3:F16)</f>
        <v>-303870717</v>
      </c>
      <c r="G17" s="160">
        <f>SUM(G3:G16)</f>
        <v>290569561</v>
      </c>
      <c r="H17" s="160">
        <f>SUM(H3:H16)</f>
        <v>-13301156</v>
      </c>
      <c r="I17" s="160">
        <f>SUM(I3:I16)</f>
        <v>496831319.52100998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215648</v>
      </c>
      <c r="E19" s="162">
        <f>E3+E4</f>
        <v>205105319.92300999</v>
      </c>
      <c r="F19" s="162">
        <f>F3+F4</f>
        <v>-100995782</v>
      </c>
      <c r="G19" s="162">
        <f>G3+G4</f>
        <v>98116077</v>
      </c>
      <c r="H19" s="162">
        <f>H3+H4</f>
        <v>-2879705</v>
      </c>
      <c r="I19" s="161">
        <f>I3+I4</f>
        <v>202225614.92300999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36729</v>
      </c>
      <c r="E21" s="178">
        <f>SUM(E5:E8,E11:E13)</f>
        <v>207985693.248</v>
      </c>
      <c r="F21" s="178">
        <f>SUM(F5:F8,F11:F13)</f>
        <v>-107733296</v>
      </c>
      <c r="G21" s="178">
        <f>SUM(G5:G8,G11:G13)</f>
        <v>93559042</v>
      </c>
      <c r="H21" s="178">
        <f>SUM(H5:H8,H11:H13)</f>
        <v>-14174254</v>
      </c>
      <c r="I21" s="177">
        <f>SUM(I5:I8,I11:I13)</f>
        <v>193811439.248</v>
      </c>
    </row>
    <row r="22" spans="1:26">
      <c r="A22" s="152"/>
      <c r="B22" s="152"/>
      <c r="C22" s="152"/>
      <c r="D22" s="152"/>
      <c r="E22" s="152"/>
    </row>
    <row r="23" spans="1:26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2005822</v>
      </c>
      <c r="D24" s="181">
        <v>18569826.27</v>
      </c>
      <c r="E24" s="183">
        <v>-9462718</v>
      </c>
      <c r="F24" s="183">
        <f>9793551-468183</f>
        <v>9325368</v>
      </c>
      <c r="G24" s="174">
        <f>SUM(D24:F24)</f>
        <v>18432476.27</v>
      </c>
      <c r="H24" s="174">
        <f>-K62</f>
        <v>18262.0893</v>
      </c>
      <c r="I24" s="174">
        <f>SUM(G24:H24)</f>
        <v>18450738.359299999</v>
      </c>
    </row>
    <row r="25" spans="1:26">
      <c r="A25" s="180" t="s">
        <v>178</v>
      </c>
      <c r="B25" s="152"/>
      <c r="C25" s="181">
        <v>3627</v>
      </c>
      <c r="D25" s="181">
        <v>30271.19</v>
      </c>
      <c r="E25" s="183">
        <v>-10940</v>
      </c>
      <c r="F25" s="183">
        <v>10431</v>
      </c>
      <c r="G25" s="174">
        <f t="shared" ref="G25:G33" si="14">SUM(D25:F25)</f>
        <v>29762.19</v>
      </c>
      <c r="H25" s="174">
        <f t="shared" ref="H25:H30" si="15">-K63</f>
        <v>-322.42540000000002</v>
      </c>
      <c r="I25" s="174">
        <f t="shared" ref="I25:I34" si="16">SUM(G25:H25)</f>
        <v>29439.764599999999</v>
      </c>
    </row>
    <row r="26" spans="1:26">
      <c r="A26" s="180" t="s">
        <v>132</v>
      </c>
      <c r="B26" s="152"/>
      <c r="C26" s="181">
        <v>464821.38</v>
      </c>
      <c r="D26" s="181">
        <v>5952898.5599999996</v>
      </c>
      <c r="E26" s="183">
        <v>-3169019</v>
      </c>
      <c r="F26" s="183">
        <v>2833870</v>
      </c>
      <c r="G26" s="174">
        <f t="shared" si="14"/>
        <v>5617749.5599999996</v>
      </c>
      <c r="H26" s="174">
        <f t="shared" si="15"/>
        <v>13520.20278</v>
      </c>
      <c r="I26" s="174">
        <f t="shared" si="16"/>
        <v>5631269.7627799995</v>
      </c>
    </row>
    <row r="27" spans="1:26">
      <c r="A27" s="180" t="s">
        <v>133</v>
      </c>
      <c r="B27" s="152"/>
      <c r="C27" s="181">
        <v>192259.85</v>
      </c>
      <c r="D27" s="181">
        <v>652570.77</v>
      </c>
      <c r="E27" s="183">
        <v>-356004</v>
      </c>
      <c r="F27" s="183">
        <v>323447</v>
      </c>
      <c r="G27" s="174">
        <f t="shared" si="14"/>
        <v>620013.77</v>
      </c>
      <c r="H27" s="174">
        <f t="shared" si="15"/>
        <v>1015.616</v>
      </c>
      <c r="I27" s="174">
        <f t="shared" si="16"/>
        <v>621029.38600000006</v>
      </c>
    </row>
    <row r="28" spans="1:26">
      <c r="A28" s="180" t="s">
        <v>134</v>
      </c>
      <c r="B28" s="152"/>
      <c r="C28" s="181">
        <v>932206.69</v>
      </c>
      <c r="D28" s="181">
        <v>11170765.199999999</v>
      </c>
      <c r="E28" s="183">
        <v>-5550104</v>
      </c>
      <c r="F28" s="183">
        <v>4748079</v>
      </c>
      <c r="G28" s="174">
        <f t="shared" si="14"/>
        <v>10368740.199999999</v>
      </c>
      <c r="H28" s="174">
        <f t="shared" si="15"/>
        <v>38040.928799999994</v>
      </c>
      <c r="I28" s="174">
        <f t="shared" si="16"/>
        <v>10406781.128799999</v>
      </c>
    </row>
    <row r="29" spans="1:26">
      <c r="A29" s="180" t="s">
        <v>135</v>
      </c>
      <c r="B29" s="152"/>
      <c r="C29" s="181">
        <v>23500</v>
      </c>
      <c r="D29" s="181">
        <v>231940.55</v>
      </c>
      <c r="E29" s="183">
        <v>-113215</v>
      </c>
      <c r="F29" s="183">
        <v>102634</v>
      </c>
      <c r="G29" s="174">
        <f t="shared" si="14"/>
        <v>221359.55</v>
      </c>
      <c r="H29" s="174">
        <f t="shared" si="15"/>
        <v>388.44405</v>
      </c>
      <c r="I29" s="174">
        <f t="shared" si="16"/>
        <v>221747.99404999998</v>
      </c>
    </row>
    <row r="30" spans="1:26">
      <c r="A30" s="180" t="s">
        <v>136</v>
      </c>
      <c r="B30" s="152"/>
      <c r="C30" s="181">
        <v>552000</v>
      </c>
      <c r="D30" s="181">
        <f>5810299.37-83842.56</f>
        <v>5726456.8100000005</v>
      </c>
      <c r="E30" s="183">
        <v>-5944302</v>
      </c>
      <c r="F30" s="183">
        <v>6159064</v>
      </c>
      <c r="G30" s="174">
        <f t="shared" si="14"/>
        <v>5941218.8100000005</v>
      </c>
      <c r="H30" s="174">
        <f t="shared" si="15"/>
        <v>-6492.349189999999</v>
      </c>
      <c r="I30" s="174">
        <f t="shared" si="16"/>
        <v>5934726.4608100001</v>
      </c>
      <c r="J30" s="283"/>
    </row>
    <row r="31" spans="1:26">
      <c r="A31" s="180" t="s">
        <v>180</v>
      </c>
      <c r="B31" s="152"/>
      <c r="C31" s="181">
        <v>1000</v>
      </c>
      <c r="D31" s="181">
        <v>438933.13</v>
      </c>
      <c r="E31" s="183">
        <v>0</v>
      </c>
      <c r="F31" s="183">
        <v>0</v>
      </c>
      <c r="G31" s="174">
        <f t="shared" si="14"/>
        <v>438933.13</v>
      </c>
      <c r="H31" s="174">
        <f>-K69</f>
        <v>0</v>
      </c>
      <c r="I31" s="174">
        <f t="shared" si="16"/>
        <v>438933.13</v>
      </c>
    </row>
    <row r="32" spans="1:26">
      <c r="A32" s="180" t="s">
        <v>137</v>
      </c>
      <c r="B32" s="152"/>
      <c r="C32" s="181">
        <v>24320</v>
      </c>
      <c r="D32" s="181">
        <v>1565156.87</v>
      </c>
      <c r="E32" s="183">
        <v>-373901</v>
      </c>
      <c r="F32" s="183">
        <v>422754</v>
      </c>
      <c r="G32" s="174">
        <f t="shared" si="14"/>
        <v>1614009.87</v>
      </c>
      <c r="H32" s="174">
        <f>-K70</f>
        <v>-2198.5758000000001</v>
      </c>
      <c r="I32" s="174">
        <f t="shared" si="16"/>
        <v>1611811.2942000001</v>
      </c>
    </row>
    <row r="33" spans="1:14">
      <c r="A33" s="180" t="s">
        <v>138</v>
      </c>
      <c r="B33" s="152"/>
      <c r="C33" s="181">
        <v>24360</v>
      </c>
      <c r="D33" s="181">
        <v>178504.25</v>
      </c>
      <c r="E33" s="183">
        <v>-60038</v>
      </c>
      <c r="F33" s="183">
        <v>61055</v>
      </c>
      <c r="G33" s="174">
        <f t="shared" si="14"/>
        <v>179521.25</v>
      </c>
      <c r="H33" s="174">
        <f>-K71</f>
        <v>-40.482620000000004</v>
      </c>
      <c r="I33" s="174">
        <f t="shared" si="16"/>
        <v>179480.76738</v>
      </c>
    </row>
    <row r="34" spans="1:14">
      <c r="A34" s="180" t="s">
        <v>192</v>
      </c>
      <c r="B34" s="152"/>
      <c r="C34" s="174"/>
      <c r="D34" s="181">
        <v>562542.55000000005</v>
      </c>
      <c r="E34" s="181"/>
      <c r="F34" s="181"/>
      <c r="G34" s="174">
        <f>SUM(D34:F34)</f>
        <v>562542.55000000005</v>
      </c>
      <c r="H34" s="174"/>
      <c r="I34" s="174">
        <f t="shared" si="16"/>
        <v>562542.55000000005</v>
      </c>
    </row>
    <row r="35" spans="1:14">
      <c r="A35" s="180" t="s">
        <v>193</v>
      </c>
      <c r="B35" s="152"/>
      <c r="C35" s="194"/>
      <c r="D35" s="181">
        <v>2190910.1</v>
      </c>
      <c r="E35" s="181"/>
      <c r="F35" s="181"/>
      <c r="G35" s="174"/>
      <c r="H35" s="174"/>
      <c r="I35" s="174"/>
    </row>
    <row r="36" spans="1:14">
      <c r="A36" s="180" t="s">
        <v>194</v>
      </c>
      <c r="B36" s="152"/>
      <c r="C36" s="194"/>
      <c r="D36" s="181">
        <v>1745180.94</v>
      </c>
      <c r="E36" s="181"/>
      <c r="F36" s="181"/>
      <c r="G36" s="174"/>
      <c r="H36" s="174"/>
      <c r="I36" s="174"/>
    </row>
    <row r="37" spans="1:14">
      <c r="A37" s="152"/>
      <c r="B37" s="152"/>
      <c r="C37" s="166">
        <f t="shared" ref="C37:I37" si="17">SUM(C24:C36)</f>
        <v>4223916.92</v>
      </c>
      <c r="D37" s="166">
        <f t="shared" si="17"/>
        <v>49015957.18999999</v>
      </c>
      <c r="E37" s="166">
        <f t="shared" si="17"/>
        <v>-25040241</v>
      </c>
      <c r="F37" s="166">
        <f t="shared" si="17"/>
        <v>23986702</v>
      </c>
      <c r="G37" s="166">
        <f t="shared" si="17"/>
        <v>44026327.149999991</v>
      </c>
      <c r="H37" s="166">
        <f t="shared" si="17"/>
        <v>62173.447919999999</v>
      </c>
      <c r="I37" s="166">
        <f t="shared" si="17"/>
        <v>44088500.597920001</v>
      </c>
    </row>
    <row r="38" spans="1:14" ht="14.4" thickBot="1">
      <c r="A38" s="152"/>
      <c r="B38" s="152"/>
      <c r="D38" s="167"/>
      <c r="E38" s="152"/>
      <c r="F38" s="152"/>
    </row>
    <row r="39" spans="1:14">
      <c r="A39" s="152" t="s">
        <v>19</v>
      </c>
      <c r="B39" s="152"/>
      <c r="C39" s="169">
        <f t="shared" ref="C39:I39" si="18">C24+C25</f>
        <v>2009449</v>
      </c>
      <c r="D39" s="168">
        <f t="shared" si="18"/>
        <v>18600097.460000001</v>
      </c>
      <c r="E39" s="168">
        <f t="shared" si="18"/>
        <v>-9473658</v>
      </c>
      <c r="F39" s="168">
        <f t="shared" si="18"/>
        <v>9335799</v>
      </c>
      <c r="G39" s="168">
        <f t="shared" si="18"/>
        <v>18462238.460000001</v>
      </c>
      <c r="H39" s="168">
        <f t="shared" si="18"/>
        <v>17939.6639</v>
      </c>
      <c r="I39" s="169">
        <f t="shared" si="18"/>
        <v>18480178.1239</v>
      </c>
    </row>
    <row r="40" spans="1:14" ht="6" customHeight="1">
      <c r="A40" s="152"/>
      <c r="B40" s="152"/>
      <c r="C40" s="173"/>
      <c r="D40" s="168"/>
      <c r="E40" s="152"/>
      <c r="F40" s="152"/>
      <c r="I40" s="190"/>
    </row>
    <row r="41" spans="1:14" ht="14.4" thickBot="1">
      <c r="A41" s="152" t="s">
        <v>184</v>
      </c>
      <c r="B41" s="152"/>
      <c r="C41" s="175">
        <f>SUM(C26:C29,C31:C33)</f>
        <v>1662467.92</v>
      </c>
      <c r="D41" s="176">
        <f t="shared" ref="D41:I41" si="19">SUM(D26:D29,D31:D33)</f>
        <v>20190769.330000002</v>
      </c>
      <c r="E41" s="176">
        <f t="shared" si="19"/>
        <v>-9622281</v>
      </c>
      <c r="F41" s="176">
        <f t="shared" si="19"/>
        <v>8491839</v>
      </c>
      <c r="G41" s="176">
        <f t="shared" si="19"/>
        <v>19060327.329999998</v>
      </c>
      <c r="H41" s="176">
        <f t="shared" si="19"/>
        <v>50726.133209999993</v>
      </c>
      <c r="I41" s="175">
        <f t="shared" si="19"/>
        <v>19111053.463209998</v>
      </c>
    </row>
    <row r="42" spans="1:14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4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43009</v>
      </c>
      <c r="I43" s="191">
        <v>42380</v>
      </c>
      <c r="J43" s="191">
        <v>43282</v>
      </c>
      <c r="K43" s="191"/>
      <c r="L43" s="196"/>
    </row>
    <row r="44" spans="1:14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165"/>
      <c r="M44" s="211" t="s">
        <v>229</v>
      </c>
      <c r="N44" s="194" t="s">
        <v>230</v>
      </c>
    </row>
    <row r="45" spans="1:14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-3.4000000000000002E-4</v>
      </c>
      <c r="K45" s="171"/>
      <c r="M45" s="171">
        <f>SUM(B45:J45)</f>
        <v>6.3699999999999998E-3</v>
      </c>
      <c r="N45" s="335">
        <f>M45*H3</f>
        <v>-18262.0893</v>
      </c>
    </row>
    <row r="46" spans="1:14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-3.4000000000000002E-4</v>
      </c>
      <c r="K46" s="171"/>
      <c r="M46" s="171">
        <f t="shared" ref="M46:M57" si="20">SUM(B46:J46)</f>
        <v>-2.5160000000000005E-2</v>
      </c>
      <c r="N46" s="335">
        <f t="shared" ref="N46:N57" si="21">M46*H4</f>
        <v>322.42540000000008</v>
      </c>
    </row>
    <row r="47" spans="1:14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-3.6000000000000002E-4</v>
      </c>
      <c r="K47" s="171"/>
      <c r="M47" s="171">
        <f t="shared" si="20"/>
        <v>4.3099999999999996E-3</v>
      </c>
      <c r="N47" s="335">
        <f t="shared" si="21"/>
        <v>-13520.20278</v>
      </c>
    </row>
    <row r="48" spans="1:14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-3.6000000000000002E-4</v>
      </c>
      <c r="K48" s="171"/>
      <c r="M48" s="171">
        <f t="shared" si="20"/>
        <v>3.5000000000000001E-3</v>
      </c>
      <c r="N48" s="335">
        <f t="shared" si="21"/>
        <v>-1015.616</v>
      </c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-3.6000000000000002E-4</v>
      </c>
      <c r="K49" s="171"/>
      <c r="M49" s="171">
        <f t="shared" si="20"/>
        <v>3.3600000000000001E-3</v>
      </c>
      <c r="N49" s="335">
        <f t="shared" si="21"/>
        <v>-38040.928800000002</v>
      </c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-3.6000000000000002E-4</v>
      </c>
      <c r="K50" s="171"/>
      <c r="M50" s="171">
        <f t="shared" si="20"/>
        <v>2.5499999999999997E-3</v>
      </c>
      <c r="N50" s="335">
        <f t="shared" si="21"/>
        <v>-388.44404999999995</v>
      </c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-3.5E-4</v>
      </c>
      <c r="K51" s="171"/>
      <c r="M51" s="171">
        <f t="shared" si="20"/>
        <v>1.7299999999999998E-3</v>
      </c>
      <c r="N51" s="335">
        <f t="shared" si="21"/>
        <v>6492.349189999999</v>
      </c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-3.5E-4</v>
      </c>
      <c r="K52" s="171"/>
      <c r="M52" s="171">
        <f t="shared" si="20"/>
        <v>1.97E-3</v>
      </c>
      <c r="N52" s="335">
        <f t="shared" si="21"/>
        <v>0</v>
      </c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-3.6999999999999999E-4</v>
      </c>
      <c r="K53" s="171"/>
      <c r="M53" s="171">
        <f t="shared" si="20"/>
        <v>3.0999999999999999E-3</v>
      </c>
      <c r="N53" s="335">
        <f t="shared" si="21"/>
        <v>0</v>
      </c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-3.6999999999999999E-4</v>
      </c>
      <c r="K54" s="171"/>
      <c r="M54" s="171">
        <f t="shared" si="20"/>
        <v>3.0999999999999999E-3</v>
      </c>
      <c r="N54" s="335">
        <f t="shared" si="21"/>
        <v>2198.5758000000001</v>
      </c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-3.6999999999999999E-4</v>
      </c>
      <c r="K55" s="171"/>
      <c r="M55" s="171">
        <f t="shared" si="20"/>
        <v>2.2899999999999999E-3</v>
      </c>
      <c r="N55" s="335">
        <f t="shared" si="21"/>
        <v>40.482619999999997</v>
      </c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-4.8000000000000001E-4</v>
      </c>
      <c r="K56" s="186"/>
      <c r="M56" s="171">
        <f t="shared" si="20"/>
        <v>1.167E-2</v>
      </c>
      <c r="N56" s="335">
        <f t="shared" si="21"/>
        <v>0</v>
      </c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-4.8000000000000001E-4</v>
      </c>
      <c r="K57" s="186"/>
      <c r="M57" s="171">
        <f t="shared" si="20"/>
        <v>1.086E-2</v>
      </c>
      <c r="N57" s="335">
        <f t="shared" si="21"/>
        <v>0</v>
      </c>
    </row>
    <row r="58" spans="1:14">
      <c r="A58" s="180"/>
      <c r="B58" s="152"/>
      <c r="C58" s="171"/>
      <c r="D58" s="171"/>
      <c r="E58" s="171"/>
      <c r="F58" s="171"/>
      <c r="G58" s="186"/>
      <c r="H58" s="333"/>
      <c r="I58" s="171"/>
      <c r="J58" s="186"/>
      <c r="K58" s="171"/>
      <c r="L58" s="212"/>
      <c r="M58" s="335"/>
      <c r="N58" s="194"/>
    </row>
    <row r="59" spans="1:14">
      <c r="A59" s="180"/>
      <c r="B59" s="152"/>
      <c r="C59" s="171"/>
      <c r="D59" s="171"/>
      <c r="E59" s="171"/>
      <c r="F59" s="171"/>
      <c r="G59" s="186"/>
      <c r="H59" s="333"/>
      <c r="I59" s="171"/>
      <c r="J59" s="186"/>
      <c r="K59" s="171"/>
      <c r="L59" s="212"/>
      <c r="M59" s="335"/>
      <c r="N59" s="194"/>
    </row>
    <row r="60" spans="1:14">
      <c r="F60" s="152"/>
      <c r="M60" s="335"/>
      <c r="N60" s="335">
        <f>SUM(N45:N57)</f>
        <v>-62173.447920000013</v>
      </c>
    </row>
    <row r="61" spans="1:14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2">C45*$H3</f>
        <v>2322.1808999999998</v>
      </c>
      <c r="D62" s="168">
        <f t="shared" si="22"/>
        <v>4070.9838</v>
      </c>
      <c r="E62" s="168">
        <f t="shared" ref="E62:E67" si="23">E45*H3</f>
        <v>-12757.6605</v>
      </c>
      <c r="F62" s="168">
        <f t="shared" ref="F62:F67" si="24">$H3*F45</f>
        <v>0</v>
      </c>
      <c r="G62" s="168">
        <f t="shared" ref="G62:H67" si="25">($H3*G45)</f>
        <v>-9862.1016</v>
      </c>
      <c r="H62" s="168">
        <f>($H3*H45)</f>
        <v>-3010.2345</v>
      </c>
      <c r="I62" s="168">
        <f t="shared" ref="I62:I67" si="26">$H3*I45</f>
        <v>0</v>
      </c>
      <c r="J62" s="168">
        <f>J45*H3</f>
        <v>974.74260000000004</v>
      </c>
      <c r="K62" s="168">
        <f>SUM(C62:J62)</f>
        <v>-18262.0893</v>
      </c>
      <c r="N62" s="168"/>
    </row>
    <row r="63" spans="1:14">
      <c r="A63" s="180" t="s">
        <v>178</v>
      </c>
      <c r="C63" s="168">
        <f t="shared" si="22"/>
        <v>10.380149999999999</v>
      </c>
      <c r="D63" s="168">
        <f t="shared" si="22"/>
        <v>18.197300000000002</v>
      </c>
      <c r="E63" s="168">
        <f t="shared" si="23"/>
        <v>-57.02675</v>
      </c>
      <c r="F63" s="168">
        <f t="shared" si="24"/>
        <v>404.05695000000003</v>
      </c>
      <c r="G63" s="168">
        <f t="shared" si="25"/>
        <v>-44.083599999999997</v>
      </c>
      <c r="H63" s="168">
        <f t="shared" si="25"/>
        <v>-13.455749999999998</v>
      </c>
      <c r="I63" s="168">
        <f t="shared" si="26"/>
        <v>0</v>
      </c>
      <c r="J63" s="168">
        <f t="shared" ref="J63:J67" si="27">J46*H4</f>
        <v>4.3571</v>
      </c>
      <c r="K63" s="168">
        <f t="shared" ref="K63:K72" si="28">SUM(C63:J63)</f>
        <v>322.42540000000002</v>
      </c>
      <c r="N63" s="168"/>
    </row>
    <row r="64" spans="1:14">
      <c r="A64" s="180" t="s">
        <v>132</v>
      </c>
      <c r="C64" s="168">
        <f t="shared" si="22"/>
        <v>0</v>
      </c>
      <c r="D64" s="168">
        <f t="shared" si="22"/>
        <v>5897.44344</v>
      </c>
      <c r="E64" s="168">
        <f t="shared" si="23"/>
        <v>-1254.7752</v>
      </c>
      <c r="F64" s="168">
        <f t="shared" si="24"/>
        <v>0</v>
      </c>
      <c r="G64" s="168">
        <f t="shared" si="25"/>
        <v>-14524.022939999999</v>
      </c>
      <c r="H64" s="168">
        <f t="shared" si="25"/>
        <v>-4768.1457600000003</v>
      </c>
      <c r="I64" s="168">
        <f t="shared" si="26"/>
        <v>0</v>
      </c>
      <c r="J64" s="168">
        <f t="shared" si="27"/>
        <v>1129.2976800000001</v>
      </c>
      <c r="K64" s="168">
        <f t="shared" si="28"/>
        <v>-13520.20278</v>
      </c>
      <c r="N64" s="168"/>
    </row>
    <row r="65" spans="1:14">
      <c r="A65" s="180" t="s">
        <v>133</v>
      </c>
      <c r="C65" s="168">
        <f t="shared" si="22"/>
        <v>235.04255999999998</v>
      </c>
      <c r="D65" s="168">
        <f t="shared" si="22"/>
        <v>545.53088000000002</v>
      </c>
      <c r="E65" s="168">
        <f t="shared" si="23"/>
        <v>-116.07040000000001</v>
      </c>
      <c r="F65" s="168">
        <f t="shared" si="24"/>
        <v>0</v>
      </c>
      <c r="G65" s="168">
        <f t="shared" si="25"/>
        <v>-1343.5148799999999</v>
      </c>
      <c r="H65" s="168">
        <f t="shared" si="25"/>
        <v>-441.06752</v>
      </c>
      <c r="I65" s="168">
        <f t="shared" si="26"/>
        <v>0</v>
      </c>
      <c r="J65" s="168">
        <f t="shared" si="27"/>
        <v>104.46336000000001</v>
      </c>
      <c r="K65" s="168">
        <f t="shared" si="28"/>
        <v>-1015.616</v>
      </c>
      <c r="N65" s="168"/>
    </row>
    <row r="66" spans="1:14">
      <c r="A66" s="180" t="s">
        <v>134</v>
      </c>
      <c r="C66" s="168">
        <f t="shared" si="22"/>
        <v>0</v>
      </c>
      <c r="D66" s="168">
        <f t="shared" si="22"/>
        <v>16303.255200000001</v>
      </c>
      <c r="E66" s="168">
        <f t="shared" si="23"/>
        <v>-4528.6819999999998</v>
      </c>
      <c r="F66" s="168">
        <f t="shared" si="24"/>
        <v>0</v>
      </c>
      <c r="G66" s="168">
        <f t="shared" si="25"/>
        <v>-41437.440300000002</v>
      </c>
      <c r="H66" s="168">
        <f t="shared" si="25"/>
        <v>-12453.8755</v>
      </c>
      <c r="I66" s="168">
        <f t="shared" si="26"/>
        <v>0</v>
      </c>
      <c r="J66" s="168">
        <f t="shared" si="27"/>
        <v>4075.8138000000004</v>
      </c>
      <c r="K66" s="168">
        <f t="shared" si="28"/>
        <v>-38040.928799999994</v>
      </c>
      <c r="N66" s="168"/>
    </row>
    <row r="67" spans="1:14">
      <c r="A67" s="180" t="s">
        <v>135</v>
      </c>
      <c r="C67" s="168">
        <f t="shared" si="22"/>
        <v>123.38811</v>
      </c>
      <c r="D67" s="168">
        <f t="shared" si="22"/>
        <v>219.35664000000003</v>
      </c>
      <c r="E67" s="168">
        <f t="shared" si="23"/>
        <v>-60.932400000000001</v>
      </c>
      <c r="F67" s="168">
        <f t="shared" si="24"/>
        <v>0</v>
      </c>
      <c r="G67" s="168">
        <f t="shared" si="25"/>
        <v>-557.53146000000004</v>
      </c>
      <c r="H67" s="168">
        <f t="shared" si="25"/>
        <v>-167.5641</v>
      </c>
      <c r="I67" s="168">
        <f t="shared" si="26"/>
        <v>0</v>
      </c>
      <c r="J67" s="168">
        <f t="shared" si="27"/>
        <v>54.839160000000007</v>
      </c>
      <c r="K67" s="168">
        <f t="shared" si="28"/>
        <v>-388.44405</v>
      </c>
      <c r="N67" s="168"/>
    </row>
    <row r="68" spans="1:14">
      <c r="A68" s="180" t="s">
        <v>136</v>
      </c>
      <c r="C68" s="168">
        <f t="shared" ref="C68:J68" si="29">$H9*C51+$H10*C52</f>
        <v>0</v>
      </c>
      <c r="D68" s="168">
        <f t="shared" si="29"/>
        <v>-3490.1067900000003</v>
      </c>
      <c r="E68" s="168">
        <f t="shared" si="29"/>
        <v>0</v>
      </c>
      <c r="F68" s="168">
        <f t="shared" si="29"/>
        <v>0</v>
      </c>
      <c r="G68" s="168">
        <f t="shared" si="29"/>
        <v>8706.5029599999998</v>
      </c>
      <c r="H68" s="168">
        <f t="shared" si="29"/>
        <v>2589.4340699999998</v>
      </c>
      <c r="I68" s="168">
        <f t="shared" si="29"/>
        <v>0</v>
      </c>
      <c r="J68" s="168">
        <f t="shared" si="29"/>
        <v>-1313.4810500000001</v>
      </c>
      <c r="K68" s="168">
        <f t="shared" si="28"/>
        <v>6492.349189999999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0">$H11*E53</f>
        <v>0</v>
      </c>
      <c r="F69" s="168">
        <f t="shared" si="30"/>
        <v>0</v>
      </c>
      <c r="G69" s="168">
        <f t="shared" ref="G69:H71" si="31">($H11*G53)</f>
        <v>0</v>
      </c>
      <c r="H69" s="168">
        <f t="shared" si="31"/>
        <v>0</v>
      </c>
      <c r="I69" s="168">
        <f t="shared" ref="I69:J71" si="32">$H11*I53</f>
        <v>0</v>
      </c>
      <c r="J69" s="168">
        <f t="shared" si="32"/>
        <v>0</v>
      </c>
      <c r="K69" s="168">
        <f t="shared" si="28"/>
        <v>0</v>
      </c>
      <c r="N69" s="168"/>
    </row>
    <row r="70" spans="1:14">
      <c r="A70" s="180" t="s">
        <v>137</v>
      </c>
      <c r="C70" s="168">
        <f t="shared" si="30"/>
        <v>0</v>
      </c>
      <c r="D70" s="168">
        <f t="shared" si="30"/>
        <v>-921.98339999999996</v>
      </c>
      <c r="E70" s="168">
        <f t="shared" si="30"/>
        <v>283.68720000000002</v>
      </c>
      <c r="F70" s="168">
        <f t="shared" si="30"/>
        <v>0</v>
      </c>
      <c r="G70" s="168">
        <f t="shared" si="31"/>
        <v>2418.4333799999999</v>
      </c>
      <c r="H70" s="168">
        <f t="shared" si="31"/>
        <v>680.84928000000002</v>
      </c>
      <c r="I70" s="168">
        <f t="shared" si="32"/>
        <v>0</v>
      </c>
      <c r="J70" s="168">
        <f t="shared" si="32"/>
        <v>-262.41066000000001</v>
      </c>
      <c r="K70" s="168">
        <f t="shared" si="28"/>
        <v>2198.5758000000001</v>
      </c>
      <c r="N70" s="168"/>
    </row>
    <row r="71" spans="1:14">
      <c r="A71" s="180" t="s">
        <v>138</v>
      </c>
      <c r="C71" s="168">
        <f t="shared" si="30"/>
        <v>-14.319179999999999</v>
      </c>
      <c r="D71" s="168">
        <f t="shared" si="30"/>
        <v>-22.981400000000001</v>
      </c>
      <c r="E71" s="168">
        <f t="shared" si="30"/>
        <v>7.0712000000000002</v>
      </c>
      <c r="F71" s="168">
        <f t="shared" si="30"/>
        <v>0</v>
      </c>
      <c r="G71" s="168">
        <f t="shared" si="31"/>
        <v>60.281979999999997</v>
      </c>
      <c r="H71" s="168">
        <f t="shared" si="31"/>
        <v>16.970880000000001</v>
      </c>
      <c r="I71" s="168">
        <f t="shared" si="32"/>
        <v>0</v>
      </c>
      <c r="J71" s="168">
        <f t="shared" si="32"/>
        <v>-6.5408600000000003</v>
      </c>
      <c r="K71" s="168">
        <f t="shared" si="28"/>
        <v>40.482620000000004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($H14+$H15)*J56+$H16*J57</f>
        <v>0</v>
      </c>
      <c r="K72" s="168">
        <f t="shared" si="28"/>
        <v>0</v>
      </c>
    </row>
    <row r="73" spans="1:14">
      <c r="A73" s="157"/>
      <c r="C73" s="193">
        <f t="shared" ref="C73:J73" si="33">SUM(C62:C72)</f>
        <v>2676.6725399999996</v>
      </c>
      <c r="D73" s="193">
        <f>SUM(D62:D72)</f>
        <v>22619.695670000001</v>
      </c>
      <c r="E73" s="193">
        <f t="shared" si="33"/>
        <v>-18484.388850000003</v>
      </c>
      <c r="F73" s="193">
        <f t="shared" si="33"/>
        <v>404.05695000000003</v>
      </c>
      <c r="G73" s="193">
        <f t="shared" si="33"/>
        <v>-56583.476459999991</v>
      </c>
      <c r="H73" s="193">
        <f t="shared" si="33"/>
        <v>-17567.088900000002</v>
      </c>
      <c r="I73" s="193">
        <f t="shared" si="33"/>
        <v>0</v>
      </c>
      <c r="J73" s="193">
        <f t="shared" si="33"/>
        <v>4761.0811300000014</v>
      </c>
      <c r="K73" s="193">
        <f>SUM(K62:K72)</f>
        <v>-62173.447919999999</v>
      </c>
    </row>
    <row r="75" spans="1:14">
      <c r="A75" s="152" t="s">
        <v>19</v>
      </c>
      <c r="B75" s="152"/>
      <c r="C75" s="168">
        <f t="shared" ref="C75:J75" si="34">C62+C63</f>
        <v>2332.5610499999998</v>
      </c>
      <c r="D75" s="168">
        <f t="shared" si="34"/>
        <v>4089.1810999999998</v>
      </c>
      <c r="E75" s="168">
        <f t="shared" si="34"/>
        <v>-12814.687250000001</v>
      </c>
      <c r="F75" s="168">
        <f t="shared" si="34"/>
        <v>404.05695000000003</v>
      </c>
      <c r="G75" s="168">
        <f t="shared" si="34"/>
        <v>-9906.1851999999999</v>
      </c>
      <c r="H75" s="168">
        <f t="shared" si="34"/>
        <v>-3023.6902500000001</v>
      </c>
      <c r="I75" s="168">
        <f t="shared" si="34"/>
        <v>0</v>
      </c>
      <c r="J75" s="168">
        <f t="shared" si="34"/>
        <v>979.09969999999998</v>
      </c>
      <c r="K75" s="168">
        <f>K62+K63</f>
        <v>-17939.6639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5">SUM(C64:C67,C69:C71)</f>
        <v>344.11148999999995</v>
      </c>
      <c r="D77" s="176">
        <f>SUM(D64:D67,D69:D71)</f>
        <v>22020.621360000001</v>
      </c>
      <c r="E77" s="176">
        <f>SUM(E64:E67,E69:E71)</f>
        <v>-5669.7015999999985</v>
      </c>
      <c r="F77" s="176">
        <f>SUM(F64:F67,F69:F71)</f>
        <v>0</v>
      </c>
      <c r="G77" s="176">
        <f t="shared" si="35"/>
        <v>-55383.794219999996</v>
      </c>
      <c r="H77" s="176">
        <f t="shared" si="35"/>
        <v>-17132.832719999999</v>
      </c>
      <c r="I77" s="176">
        <f t="shared" si="35"/>
        <v>0</v>
      </c>
      <c r="J77" s="176">
        <f t="shared" si="35"/>
        <v>5095.4624800000011</v>
      </c>
      <c r="K77" s="176">
        <f>SUM(K64:K67,K69:K71)</f>
        <v>-50726.133209999993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369</v>
      </c>
      <c r="H82" s="403"/>
      <c r="I82" s="403"/>
      <c r="J82" s="403"/>
      <c r="M82" s="200"/>
      <c r="N82" s="200"/>
    </row>
    <row r="83" spans="1:14" ht="14.4">
      <c r="A83" s="329" t="s">
        <v>367</v>
      </c>
      <c r="B83" s="198">
        <v>1</v>
      </c>
      <c r="C83" s="199">
        <v>831365</v>
      </c>
      <c r="D83" s="200">
        <f>72530.53-C83*SUM(M51)</f>
        <v>71092.268549999993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831365</v>
      </c>
      <c r="D84" s="205">
        <f>SUM(D83:D83)</f>
        <v>71092.268549999993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198"/>
      <c r="C86" s="199"/>
      <c r="D86" s="200"/>
      <c r="E86" s="200"/>
      <c r="F86" s="151"/>
    </row>
    <row r="88" spans="1:14" ht="9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81" fitToHeight="2" orientation="landscape" r:id="rId1"/>
  <headerFooter>
    <oddFooter>&amp;L&amp;F / &amp;A&amp;RPage &amp;P</oddFooter>
  </headerFooter>
  <rowBreaks count="1" manualBreakCount="1">
    <brk id="42" max="10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AE88"/>
  <sheetViews>
    <sheetView zoomScaleNormal="100" workbookViewId="0">
      <selection activeCell="G44" sqref="G44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1.6640625" style="1" customWidth="1"/>
    <col min="11" max="11" width="12.6640625" style="1" customWidth="1"/>
    <col min="12" max="12" width="13.44140625" style="1" bestFit="1" customWidth="1"/>
    <col min="13" max="13" width="15.6640625" style="1" customWidth="1"/>
    <col min="14" max="14" width="12.5546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9.109375" style="1"/>
    <col min="19" max="19" width="17.6640625" style="1" customWidth="1"/>
    <col min="20" max="20" width="13.44140625" style="1" customWidth="1"/>
    <col min="21" max="21" width="9.109375" style="1"/>
    <col min="22" max="22" width="13.88671875" style="1" customWidth="1"/>
    <col min="23" max="23" width="2.88671875" style="1" customWidth="1"/>
    <col min="24" max="24" width="13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296</v>
      </c>
      <c r="AB1" s="151"/>
      <c r="AC1" s="151" t="s">
        <v>237</v>
      </c>
      <c r="AD1" s="224" t="s">
        <v>295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July Billed Schedule 75 Revenue</v>
      </c>
      <c r="P2" s="287" t="str">
        <f>AA1&amp;" Billed kWhs"</f>
        <v>July Billed kWhs</v>
      </c>
      <c r="Q2" s="287" t="str">
        <f>AA1&amp;" Unbilled kWhs"</f>
        <v>July Unbilled kWhs</v>
      </c>
      <c r="R2" s="287" t="s">
        <v>238</v>
      </c>
      <c r="S2" s="287" t="s">
        <v>239</v>
      </c>
      <c r="T2" s="287" t="str">
        <f>AD1&amp;" Unbilled kWhs reversal"</f>
        <v>June Unbilled kWhs reversal</v>
      </c>
      <c r="U2" s="287" t="s">
        <v>238</v>
      </c>
      <c r="V2" s="287" t="str">
        <f>AD1&amp;" Schedule 75 Unbilled Reversal"</f>
        <v>June Schedule 75 Unbilled Reversal</v>
      </c>
      <c r="W2" s="151"/>
      <c r="X2" s="287" t="str">
        <f>"Total "&amp;AA1&amp;" Schedule 75 Revenue"</f>
        <v>Total July Schedule 75 Revenue</v>
      </c>
      <c r="Y2" s="151"/>
      <c r="Z2" s="287" t="str">
        <f>"Calendar "&amp;AA1&amp;" Usage"</f>
        <v>Calendar July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June unbilled/Cancel-Rebill True-up kWhs</v>
      </c>
      <c r="AE2" s="151"/>
    </row>
    <row r="3" spans="1:31" ht="14.4">
      <c r="A3" s="180" t="s">
        <v>131</v>
      </c>
      <c r="B3" s="152"/>
      <c r="C3" s="158">
        <v>215008</v>
      </c>
      <c r="D3" s="282"/>
      <c r="E3" s="182">
        <v>162685830.90099001</v>
      </c>
      <c r="F3" s="182">
        <v>-78586377</v>
      </c>
      <c r="G3" s="182">
        <v>100822517</v>
      </c>
      <c r="H3" s="189">
        <f>SUM(F3:G3)</f>
        <v>22236140</v>
      </c>
      <c r="I3" s="159">
        <f>E3+H3</f>
        <v>184921970.90099001</v>
      </c>
      <c r="J3" s="282"/>
      <c r="M3" s="151" t="s">
        <v>242</v>
      </c>
      <c r="N3" s="151"/>
      <c r="O3" s="214">
        <v>724000.78</v>
      </c>
      <c r="P3" s="225">
        <f t="shared" ref="P3:P8" si="0">E3</f>
        <v>162685830.90099001</v>
      </c>
      <c r="Q3" s="225">
        <f t="shared" ref="Q3:Q8" si="1">G3</f>
        <v>100822517</v>
      </c>
      <c r="R3" s="206">
        <v>4.45E-3</v>
      </c>
      <c r="S3" s="215">
        <f>Q3*R3</f>
        <v>448660.20065000001</v>
      </c>
      <c r="T3" s="225">
        <f t="shared" ref="T3:T8" si="2">F3</f>
        <v>-78586377</v>
      </c>
      <c r="U3" s="206">
        <v>4.45E-3</v>
      </c>
      <c r="V3" s="216">
        <f>T3*U3</f>
        <v>-349709.37764999998</v>
      </c>
      <c r="W3" s="151"/>
      <c r="X3" s="150">
        <f>O3+S3+V3</f>
        <v>822951.60300000012</v>
      </c>
      <c r="Y3" s="151"/>
      <c r="Z3" s="95">
        <f>P3+Q3+T3</f>
        <v>184921970.90099001</v>
      </c>
      <c r="AA3" s="170">
        <f>R3</f>
        <v>4.45E-3</v>
      </c>
      <c r="AB3" s="217">
        <f>Z3*AA3</f>
        <v>822902.77050940553</v>
      </c>
      <c r="AC3" s="150">
        <f>X3-AB3</f>
        <v>48.832490594591945</v>
      </c>
      <c r="AD3" s="95">
        <f>AC3/AA3</f>
        <v>10973.593392043134</v>
      </c>
      <c r="AE3" s="218">
        <f>AC3/X3</f>
        <v>5.9338228902619854E-5</v>
      </c>
    </row>
    <row r="4" spans="1:31" ht="14.4">
      <c r="A4" s="180" t="s">
        <v>178</v>
      </c>
      <c r="B4" s="152"/>
      <c r="C4" s="158">
        <v>400</v>
      </c>
      <c r="D4" s="282"/>
      <c r="E4" s="182">
        <v>279567.73</v>
      </c>
      <c r="F4" s="182">
        <v>-140329</v>
      </c>
      <c r="G4" s="182">
        <v>173265</v>
      </c>
      <c r="H4" s="189">
        <f t="shared" ref="H4:H16" si="3">SUM(F4:G4)</f>
        <v>32936</v>
      </c>
      <c r="I4" s="159">
        <f t="shared" ref="I4:I16" si="4">E4+H4</f>
        <v>312503.73</v>
      </c>
      <c r="J4" s="282"/>
      <c r="M4" s="151" t="s">
        <v>243</v>
      </c>
      <c r="N4" s="151"/>
      <c r="O4" s="214">
        <v>1244.05</v>
      </c>
      <c r="P4" s="225">
        <f t="shared" si="0"/>
        <v>279567.73</v>
      </c>
      <c r="Q4" s="225">
        <f t="shared" si="1"/>
        <v>173265</v>
      </c>
      <c r="R4" s="206">
        <v>4.45E-3</v>
      </c>
      <c r="S4" s="215">
        <f>Q4*R4</f>
        <v>771.02925000000005</v>
      </c>
      <c r="T4" s="225">
        <f t="shared" si="2"/>
        <v>-140329</v>
      </c>
      <c r="U4" s="206">
        <v>4.45E-3</v>
      </c>
      <c r="V4" s="216">
        <f t="shared" ref="V4:V11" si="5">T4*U4</f>
        <v>-624.46405000000004</v>
      </c>
      <c r="W4" s="151"/>
      <c r="X4" s="150">
        <f t="shared" ref="X4:X11" si="6">O4+S4+V4</f>
        <v>1390.6152</v>
      </c>
      <c r="Y4" s="151"/>
      <c r="Z4" s="95">
        <f t="shared" ref="Z4:Z11" si="7">P4+Q4+T4</f>
        <v>312503.73</v>
      </c>
      <c r="AA4" s="170">
        <f t="shared" ref="AA4:AA11" si="8">R4</f>
        <v>4.45E-3</v>
      </c>
      <c r="AB4" s="217">
        <f t="shared" ref="AB4:AB11" si="9">Z4*AA4</f>
        <v>1390.6415984999999</v>
      </c>
      <c r="AC4" s="150">
        <f t="shared" ref="AC4:AC11" si="10">X4-AB4</f>
        <v>-2.6398499999913838E-2</v>
      </c>
      <c r="AD4" s="95">
        <f t="shared" ref="AD4:AD11" si="11">AC4/AA4</f>
        <v>-5.9322471909918741</v>
      </c>
      <c r="AE4" s="218">
        <f t="shared" ref="AE4:AE12" si="12">AC4/X4</f>
        <v>-1.8983324790289821E-5</v>
      </c>
    </row>
    <row r="5" spans="1:31" ht="14.4">
      <c r="A5" s="180" t="s">
        <v>132</v>
      </c>
      <c r="B5" s="152"/>
      <c r="C5" s="158">
        <v>22723</v>
      </c>
      <c r="D5" s="282"/>
      <c r="E5" s="182">
        <v>44491315.207999997</v>
      </c>
      <c r="F5" s="182">
        <v>-22318280</v>
      </c>
      <c r="G5" s="182">
        <v>27487278</v>
      </c>
      <c r="H5" s="189">
        <f t="shared" si="3"/>
        <v>5168998</v>
      </c>
      <c r="I5" s="159">
        <f t="shared" si="4"/>
        <v>49660313.207999997</v>
      </c>
      <c r="J5" s="282"/>
      <c r="M5" s="151" t="s">
        <v>244</v>
      </c>
      <c r="N5" s="151"/>
      <c r="O5" s="214">
        <v>17795.419999999998</v>
      </c>
      <c r="P5" s="225">
        <f t="shared" si="0"/>
        <v>44491315.207999997</v>
      </c>
      <c r="Q5" s="225">
        <f t="shared" si="1"/>
        <v>27487278</v>
      </c>
      <c r="R5" s="219">
        <v>4.0000000000000002E-4</v>
      </c>
      <c r="S5" s="215">
        <f>Q5*R5</f>
        <v>10994.9112</v>
      </c>
      <c r="T5" s="225">
        <f t="shared" si="2"/>
        <v>-22318280</v>
      </c>
      <c r="U5" s="219">
        <v>4.0000000000000002E-4</v>
      </c>
      <c r="V5" s="216">
        <f t="shared" si="5"/>
        <v>-8927.3119999999999</v>
      </c>
      <c r="W5" s="151"/>
      <c r="X5" s="150">
        <f t="shared" si="6"/>
        <v>19863.019200000002</v>
      </c>
      <c r="Y5" s="151"/>
      <c r="Z5" s="95">
        <f t="shared" si="7"/>
        <v>49660313.208000004</v>
      </c>
      <c r="AA5" s="220">
        <f t="shared" si="8"/>
        <v>4.0000000000000002E-4</v>
      </c>
      <c r="AB5" s="217">
        <f t="shared" si="9"/>
        <v>19864.125283200003</v>
      </c>
      <c r="AC5" s="150">
        <f t="shared" si="10"/>
        <v>-1.1060832000002847</v>
      </c>
      <c r="AD5" s="95">
        <f t="shared" si="11"/>
        <v>-2765.2080000007118</v>
      </c>
      <c r="AE5" s="218">
        <f t="shared" si="12"/>
        <v>-5.5685552577036455E-5</v>
      </c>
    </row>
    <row r="6" spans="1:31" ht="14.4">
      <c r="A6" s="180" t="s">
        <v>133</v>
      </c>
      <c r="B6" s="152"/>
      <c r="C6" s="158">
        <v>9565</v>
      </c>
      <c r="D6" s="282"/>
      <c r="E6" s="182">
        <v>3677028.4569999999</v>
      </c>
      <c r="F6" s="182">
        <v>-1934806</v>
      </c>
      <c r="G6" s="182">
        <v>2278873</v>
      </c>
      <c r="H6" s="189">
        <f t="shared" si="3"/>
        <v>344067</v>
      </c>
      <c r="I6" s="159">
        <f t="shared" si="4"/>
        <v>4021095.4569999999</v>
      </c>
      <c r="J6" s="282"/>
      <c r="M6" s="151" t="s">
        <v>245</v>
      </c>
      <c r="N6" s="151"/>
      <c r="O6" s="214">
        <v>1469.72</v>
      </c>
      <c r="P6" s="225">
        <f t="shared" si="0"/>
        <v>3677028.4569999999</v>
      </c>
      <c r="Q6" s="225">
        <f t="shared" si="1"/>
        <v>2278873</v>
      </c>
      <c r="R6" s="219">
        <v>4.0000000000000002E-4</v>
      </c>
      <c r="S6" s="215">
        <f t="shared" ref="S6:S11" si="13">Q6*R6</f>
        <v>911.54920000000004</v>
      </c>
      <c r="T6" s="225">
        <f t="shared" si="2"/>
        <v>-1934806</v>
      </c>
      <c r="U6" s="219">
        <v>4.0000000000000002E-4</v>
      </c>
      <c r="V6" s="216">
        <f t="shared" si="5"/>
        <v>-773.92240000000004</v>
      </c>
      <c r="W6" s="151"/>
      <c r="X6" s="150">
        <f t="shared" si="6"/>
        <v>1607.3468000000003</v>
      </c>
      <c r="Y6" s="151"/>
      <c r="Z6" s="95">
        <f t="shared" si="7"/>
        <v>4021095.4570000004</v>
      </c>
      <c r="AA6" s="220">
        <f t="shared" si="8"/>
        <v>4.0000000000000002E-4</v>
      </c>
      <c r="AB6" s="217">
        <f t="shared" si="9"/>
        <v>1608.4381828000003</v>
      </c>
      <c r="AC6" s="150">
        <f t="shared" si="10"/>
        <v>-1.0913828000000194</v>
      </c>
      <c r="AD6" s="95">
        <f t="shared" si="11"/>
        <v>-2728.4570000000485</v>
      </c>
      <c r="AE6" s="218">
        <f t="shared" si="12"/>
        <v>-6.7899646796821893E-4</v>
      </c>
    </row>
    <row r="7" spans="1:31" ht="14.4">
      <c r="A7" s="180" t="s">
        <v>134</v>
      </c>
      <c r="B7" s="152"/>
      <c r="C7" s="158">
        <v>1845</v>
      </c>
      <c r="D7" s="282"/>
      <c r="E7" s="182">
        <v>112687625.103</v>
      </c>
      <c r="F7" s="182">
        <v>-58325794</v>
      </c>
      <c r="G7" s="182">
        <v>69470717</v>
      </c>
      <c r="H7" s="189">
        <f t="shared" si="3"/>
        <v>11144923</v>
      </c>
      <c r="I7" s="159">
        <f t="shared" si="4"/>
        <v>123832548.103</v>
      </c>
      <c r="J7" s="282"/>
      <c r="M7" s="151" t="s">
        <v>246</v>
      </c>
      <c r="N7" s="151"/>
      <c r="O7" s="214">
        <v>45075.05</v>
      </c>
      <c r="P7" s="225">
        <f t="shared" si="0"/>
        <v>112687625.103</v>
      </c>
      <c r="Q7" s="225">
        <f t="shared" si="1"/>
        <v>69470717</v>
      </c>
      <c r="R7" s="219">
        <v>4.0000000000000002E-4</v>
      </c>
      <c r="S7" s="215">
        <f t="shared" si="13"/>
        <v>27788.286800000002</v>
      </c>
      <c r="T7" s="225">
        <f t="shared" si="2"/>
        <v>-58325794</v>
      </c>
      <c r="U7" s="219">
        <v>4.0000000000000002E-4</v>
      </c>
      <c r="V7" s="216">
        <f t="shared" si="5"/>
        <v>-23330.317600000002</v>
      </c>
      <c r="W7" s="151"/>
      <c r="X7" s="150">
        <f t="shared" si="6"/>
        <v>49533.019200000002</v>
      </c>
      <c r="Y7" s="151"/>
      <c r="Z7" s="95">
        <f t="shared" si="7"/>
        <v>123832548.10299999</v>
      </c>
      <c r="AA7" s="220">
        <f t="shared" si="8"/>
        <v>4.0000000000000002E-4</v>
      </c>
      <c r="AB7" s="217">
        <f t="shared" si="9"/>
        <v>49533.019241199996</v>
      </c>
      <c r="AC7" s="150">
        <f t="shared" si="10"/>
        <v>-4.1199993574991822E-5</v>
      </c>
      <c r="AD7" s="95">
        <f t="shared" si="11"/>
        <v>-0.10299998393747956</v>
      </c>
      <c r="AE7" s="218">
        <f t="shared" si="12"/>
        <v>-8.3176826772133895E-10</v>
      </c>
    </row>
    <row r="8" spans="1:31" ht="14.4">
      <c r="A8" s="180" t="s">
        <v>135</v>
      </c>
      <c r="B8" s="152"/>
      <c r="C8" s="158">
        <v>47</v>
      </c>
      <c r="D8" s="282"/>
      <c r="E8" s="182">
        <v>2227914.7200000002</v>
      </c>
      <c r="F8" s="182">
        <v>-1168955</v>
      </c>
      <c r="G8" s="182">
        <v>1380771</v>
      </c>
      <c r="H8" s="189">
        <f t="shared" si="3"/>
        <v>211816</v>
      </c>
      <c r="I8" s="159">
        <f t="shared" si="4"/>
        <v>2439730.7200000002</v>
      </c>
      <c r="J8" s="282"/>
      <c r="M8" s="151" t="s">
        <v>247</v>
      </c>
      <c r="N8" s="151"/>
      <c r="O8" s="214">
        <v>891.16</v>
      </c>
      <c r="P8" s="225">
        <f t="shared" si="0"/>
        <v>2227914.7200000002</v>
      </c>
      <c r="Q8" s="225">
        <f t="shared" si="1"/>
        <v>1380771</v>
      </c>
      <c r="R8" s="219">
        <v>4.0000000000000002E-4</v>
      </c>
      <c r="S8" s="215">
        <f t="shared" si="13"/>
        <v>552.30840000000001</v>
      </c>
      <c r="T8" s="225">
        <f t="shared" si="2"/>
        <v>-1168955</v>
      </c>
      <c r="U8" s="219">
        <v>4.0000000000000002E-4</v>
      </c>
      <c r="V8" s="216">
        <f t="shared" si="5"/>
        <v>-467.58200000000005</v>
      </c>
      <c r="W8" s="151"/>
      <c r="X8" s="150">
        <f t="shared" si="6"/>
        <v>975.88639999999987</v>
      </c>
      <c r="Y8" s="151"/>
      <c r="Z8" s="95">
        <f t="shared" si="7"/>
        <v>2439730.7200000002</v>
      </c>
      <c r="AA8" s="220">
        <f t="shared" si="8"/>
        <v>4.0000000000000002E-4</v>
      </c>
      <c r="AB8" s="217">
        <f t="shared" si="9"/>
        <v>975.89228800000012</v>
      </c>
      <c r="AC8" s="150">
        <f t="shared" si="10"/>
        <v>-5.8880000002545785E-3</v>
      </c>
      <c r="AD8" s="95">
        <f t="shared" si="11"/>
        <v>-14.720000000636446</v>
      </c>
      <c r="AE8" s="218">
        <f t="shared" si="12"/>
        <v>-6.0334891440792487E-6</v>
      </c>
    </row>
    <row r="9" spans="1:31" ht="14.4">
      <c r="A9" s="180" t="s">
        <v>136</v>
      </c>
      <c r="B9" s="152"/>
      <c r="C9" s="158">
        <v>23</v>
      </c>
      <c r="D9" s="194"/>
      <c r="E9" s="182">
        <f>91430986-E10</f>
        <v>57772358</v>
      </c>
      <c r="F9" s="182">
        <v>-59046228</v>
      </c>
      <c r="G9" s="182">
        <f>95141639-G10</f>
        <v>60141639</v>
      </c>
      <c r="H9" s="189">
        <f t="shared" si="3"/>
        <v>1095411</v>
      </c>
      <c r="I9" s="159">
        <f t="shared" si="4"/>
        <v>58867769</v>
      </c>
      <c r="J9" s="282"/>
      <c r="M9" s="151" t="s">
        <v>248</v>
      </c>
      <c r="N9" s="151"/>
      <c r="O9" s="214">
        <v>2730.11</v>
      </c>
      <c r="P9" s="225">
        <f>E11</f>
        <v>6825279.1440000003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2730.11</v>
      </c>
      <c r="Y9" s="151"/>
      <c r="Z9" s="95">
        <f t="shared" si="7"/>
        <v>6825279.1440000003</v>
      </c>
      <c r="AA9" s="220">
        <f t="shared" si="8"/>
        <v>4.0000000000000002E-4</v>
      </c>
      <c r="AB9" s="217">
        <f t="shared" si="9"/>
        <v>2730.1116576000004</v>
      </c>
      <c r="AC9" s="150">
        <f t="shared" si="10"/>
        <v>-1.6576000002714864E-3</v>
      </c>
      <c r="AD9" s="95">
        <f t="shared" si="11"/>
        <v>-4.1440000006787159</v>
      </c>
      <c r="AE9" s="218">
        <f t="shared" si="12"/>
        <v>-6.0715502315712047E-7</v>
      </c>
    </row>
    <row r="10" spans="1:31" ht="14.4">
      <c r="A10" s="180" t="s">
        <v>179</v>
      </c>
      <c r="B10" s="152"/>
      <c r="C10" s="158"/>
      <c r="D10" s="194"/>
      <c r="E10" s="182">
        <v>33658628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33658628</v>
      </c>
      <c r="J10" s="282"/>
      <c r="M10" s="151" t="s">
        <v>249</v>
      </c>
      <c r="N10" s="151"/>
      <c r="O10" s="214">
        <v>5899.23</v>
      </c>
      <c r="P10" s="225">
        <f>E12</f>
        <v>14748107.573000001</v>
      </c>
      <c r="Q10" s="225">
        <f>G12</f>
        <v>6510007</v>
      </c>
      <c r="R10" s="219">
        <v>4.0000000000000002E-4</v>
      </c>
      <c r="S10" s="215">
        <f t="shared" si="13"/>
        <v>2604.0028000000002</v>
      </c>
      <c r="T10" s="225">
        <f>F12</f>
        <v>-4808391</v>
      </c>
      <c r="U10" s="219">
        <v>4.0000000000000002E-4</v>
      </c>
      <c r="V10" s="216">
        <f t="shared" si="5"/>
        <v>-1923.3564000000001</v>
      </c>
      <c r="W10" s="151"/>
      <c r="X10" s="150">
        <f>O10+S10+V10</f>
        <v>6579.8763999999992</v>
      </c>
      <c r="Y10" s="151"/>
      <c r="Z10" s="95">
        <f t="shared" si="7"/>
        <v>16449723.572999999</v>
      </c>
      <c r="AA10" s="220">
        <f t="shared" si="8"/>
        <v>4.0000000000000002E-4</v>
      </c>
      <c r="AB10" s="217">
        <f t="shared" si="9"/>
        <v>6579.8894291999995</v>
      </c>
      <c r="AC10" s="150">
        <f t="shared" si="10"/>
        <v>-1.3029200000346464E-2</v>
      </c>
      <c r="AD10" s="95">
        <f t="shared" si="11"/>
        <v>-32.573000000866159</v>
      </c>
      <c r="AE10" s="218">
        <f t="shared" si="12"/>
        <v>-1.9801587762874187E-6</v>
      </c>
    </row>
    <row r="11" spans="1:31" ht="14.4">
      <c r="A11" s="180" t="s">
        <v>180</v>
      </c>
      <c r="B11" s="152"/>
      <c r="C11" s="158">
        <v>50</v>
      </c>
      <c r="D11" s="282"/>
      <c r="E11" s="182">
        <v>6825279.1440000003</v>
      </c>
      <c r="F11" s="182">
        <v>0</v>
      </c>
      <c r="G11" s="182">
        <v>0</v>
      </c>
      <c r="H11" s="189">
        <f t="shared" si="3"/>
        <v>0</v>
      </c>
      <c r="I11" s="159">
        <f t="shared" si="4"/>
        <v>6825279.1440000003</v>
      </c>
      <c r="J11" s="282"/>
      <c r="M11" s="151" t="s">
        <v>250</v>
      </c>
      <c r="N11" s="151"/>
      <c r="O11" s="214">
        <v>604.16999999999996</v>
      </c>
      <c r="P11" s="225">
        <f>E13</f>
        <v>1510565.9180000001</v>
      </c>
      <c r="Q11" s="225">
        <f>G13</f>
        <v>605650</v>
      </c>
      <c r="R11" s="219">
        <v>4.0000000000000002E-4</v>
      </c>
      <c r="S11" s="215">
        <f t="shared" si="13"/>
        <v>242.26000000000002</v>
      </c>
      <c r="T11" s="225">
        <f>F13</f>
        <v>-274178</v>
      </c>
      <c r="U11" s="219">
        <v>4.0000000000000002E-4</v>
      </c>
      <c r="V11" s="216">
        <f t="shared" si="5"/>
        <v>-109.6712</v>
      </c>
      <c r="W11" s="151"/>
      <c r="X11" s="150">
        <f t="shared" si="6"/>
        <v>736.75879999999995</v>
      </c>
      <c r="Y11" s="151"/>
      <c r="Z11" s="95">
        <f t="shared" si="7"/>
        <v>1842037.9180000001</v>
      </c>
      <c r="AA11" s="220">
        <f t="shared" si="8"/>
        <v>4.0000000000000002E-4</v>
      </c>
      <c r="AB11" s="217">
        <f t="shared" si="9"/>
        <v>736.81516720000002</v>
      </c>
      <c r="AC11" s="150">
        <f t="shared" si="10"/>
        <v>-5.6367200000067896E-2</v>
      </c>
      <c r="AD11" s="95">
        <f t="shared" si="11"/>
        <v>-140.91800000016974</v>
      </c>
      <c r="AE11" s="218">
        <f t="shared" si="12"/>
        <v>-7.6506992519217816E-5</v>
      </c>
    </row>
    <row r="12" spans="1:31" ht="14.4">
      <c r="A12" s="180" t="s">
        <v>137</v>
      </c>
      <c r="B12" s="152"/>
      <c r="C12" s="158">
        <v>1200</v>
      </c>
      <c r="D12" s="282"/>
      <c r="E12" s="182">
        <v>14748107.573000001</v>
      </c>
      <c r="F12" s="182">
        <v>-4808391</v>
      </c>
      <c r="G12" s="182">
        <v>6510007</v>
      </c>
      <c r="H12" s="189">
        <f t="shared" si="3"/>
        <v>1701616</v>
      </c>
      <c r="I12" s="159">
        <f t="shared" si="4"/>
        <v>16449723.573000001</v>
      </c>
      <c r="J12" s="282"/>
      <c r="M12" s="151"/>
      <c r="N12" s="151"/>
      <c r="O12" s="221">
        <f>SUM(O3:O11)</f>
        <v>799709.69000000018</v>
      </c>
      <c r="P12" s="51">
        <f>SUM(P3:P11)</f>
        <v>349133234.75398999</v>
      </c>
      <c r="Q12" s="51">
        <f>SUM(Q3:Q11)</f>
        <v>208729078</v>
      </c>
      <c r="R12" s="151"/>
      <c r="S12" s="221">
        <f>SUM(S3:S11)</f>
        <v>492524.54830000002</v>
      </c>
      <c r="T12" s="51">
        <f>SUM(T3:T11)</f>
        <v>-167557110</v>
      </c>
      <c r="U12" s="151"/>
      <c r="V12" s="221">
        <f>SUM(V3:V11)</f>
        <v>-385866.00329999992</v>
      </c>
      <c r="W12" s="151"/>
      <c r="X12" s="221">
        <f>SUM(X3:X11)</f>
        <v>906368.23499999999</v>
      </c>
      <c r="Y12" s="151"/>
      <c r="Z12" s="51">
        <f>SUM(Z3:Z11)</f>
        <v>390305202.75398999</v>
      </c>
      <c r="AA12" s="151"/>
      <c r="AB12" s="51">
        <f>SUM(AB3:AB11)</f>
        <v>906321.70335710538</v>
      </c>
      <c r="AC12" s="221">
        <f>SUM(AC3:AC11)</f>
        <v>46.531642894597212</v>
      </c>
      <c r="AD12" s="51">
        <f>SUM(AD3:AD11)</f>
        <v>5281.5381448650924</v>
      </c>
      <c r="AE12" s="218">
        <f t="shared" si="12"/>
        <v>5.1338563177467506E-5</v>
      </c>
    </row>
    <row r="13" spans="1:31" ht="14.4">
      <c r="A13" s="180" t="s">
        <v>138</v>
      </c>
      <c r="B13" s="152"/>
      <c r="C13" s="158">
        <v>1214</v>
      </c>
      <c r="D13" s="282"/>
      <c r="E13" s="182">
        <v>1510565.9180000001</v>
      </c>
      <c r="F13" s="182">
        <v>-274178</v>
      </c>
      <c r="G13" s="182">
        <v>605650</v>
      </c>
      <c r="H13" s="189">
        <f t="shared" si="3"/>
        <v>331472</v>
      </c>
      <c r="I13" s="159">
        <f t="shared" si="4"/>
        <v>1842037.9180000001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428</v>
      </c>
      <c r="D14" s="194"/>
      <c r="E14" s="182">
        <v>886754.32170999993</v>
      </c>
      <c r="F14" s="182"/>
      <c r="G14" s="182"/>
      <c r="H14" s="189"/>
      <c r="I14" s="159">
        <f t="shared" si="4"/>
        <v>886754.32170999993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411730.21364999999</v>
      </c>
      <c r="F15" s="182"/>
      <c r="G15" s="182"/>
      <c r="H15" s="189">
        <f t="shared" si="3"/>
        <v>0</v>
      </c>
      <c r="I15" s="159">
        <f t="shared" si="4"/>
        <v>411730.21364999999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785864.3964810787</v>
      </c>
      <c r="Y15" s="151"/>
      <c r="Z15" s="151" t="s">
        <v>19</v>
      </c>
      <c r="AA15" s="50">
        <f>P3+P4+Q3+Q4+T3+T4</f>
        <v>185234474.63099</v>
      </c>
      <c r="AB15" s="170">
        <v>4.2399999999999998E-3</v>
      </c>
      <c r="AC15" s="150">
        <f>AA15*AB15</f>
        <v>785394.17243539752</v>
      </c>
      <c r="AD15" s="150">
        <f>X15-AC15</f>
        <v>470.22404568118509</v>
      </c>
      <c r="AE15" s="218">
        <f>AD15/X15</f>
        <v>5.9835265191646419E-4</v>
      </c>
    </row>
    <row r="16" spans="1:31" ht="14.4">
      <c r="A16" s="180" t="s">
        <v>183</v>
      </c>
      <c r="B16" s="152"/>
      <c r="C16" s="158"/>
      <c r="D16" s="195"/>
      <c r="E16" s="182">
        <v>218956.39600000001</v>
      </c>
      <c r="F16" s="182"/>
      <c r="G16" s="182"/>
      <c r="H16" s="189">
        <f t="shared" si="3"/>
        <v>0</v>
      </c>
      <c r="I16" s="159">
        <f t="shared" si="4"/>
        <v>218956.39600000001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78197.288413826405</v>
      </c>
      <c r="Y16" s="151"/>
      <c r="Z16" s="151" t="s">
        <v>184</v>
      </c>
      <c r="AA16" s="50">
        <f>SUM(P5:Q11,T5:T11)</f>
        <v>205070728.12300003</v>
      </c>
      <c r="AB16" s="170">
        <v>3.8000000000000002E-4</v>
      </c>
      <c r="AC16" s="150">
        <f>AA16*AB16</f>
        <v>77926.876686740012</v>
      </c>
      <c r="AD16" s="150">
        <f>X16-AC16</f>
        <v>270.41172708639351</v>
      </c>
      <c r="AE16" s="218">
        <f>AD16/X16</f>
        <v>3.4580703828929805E-3</v>
      </c>
    </row>
    <row r="17" spans="1:26" ht="14.4">
      <c r="A17" s="152"/>
      <c r="B17" s="152"/>
      <c r="C17" s="160">
        <f>SUM(C3:C16)</f>
        <v>252503</v>
      </c>
      <c r="E17" s="160">
        <f>SUM(E3:E16)</f>
        <v>442081661.68535</v>
      </c>
      <c r="F17" s="160">
        <f>SUM(F3:F16)</f>
        <v>-261603338</v>
      </c>
      <c r="G17" s="160">
        <f>SUM(G3:G16)</f>
        <v>303870717</v>
      </c>
      <c r="H17" s="160">
        <f>SUM(H3:H16)</f>
        <v>42267379</v>
      </c>
      <c r="I17" s="160">
        <f>SUM(I3:I16)</f>
        <v>484349040.68535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215408</v>
      </c>
      <c r="E19" s="162">
        <f>E3+E4</f>
        <v>162965398.63099</v>
      </c>
      <c r="F19" s="162">
        <f>F3+F4</f>
        <v>-78726706</v>
      </c>
      <c r="G19" s="162">
        <f>G3+G4</f>
        <v>100995782</v>
      </c>
      <c r="H19" s="162">
        <f>H3+H4</f>
        <v>22269076</v>
      </c>
      <c r="I19" s="161">
        <f>I3+I4</f>
        <v>185234474.63099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36644</v>
      </c>
      <c r="E21" s="178">
        <f>SUM(E5:E8,E11:E13)</f>
        <v>186167836.12300003</v>
      </c>
      <c r="F21" s="178">
        <f>SUM(F5:F8,F11:F13)</f>
        <v>-88830404</v>
      </c>
      <c r="G21" s="178">
        <f>SUM(G5:G8,G11:G13)</f>
        <v>107733296</v>
      </c>
      <c r="H21" s="178">
        <f>SUM(H5:H8,H11:H13)</f>
        <v>18902892</v>
      </c>
      <c r="I21" s="177">
        <f>SUM(I5:I8,I11:I13)</f>
        <v>205070728.12300003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1998953</v>
      </c>
      <c r="D24" s="181">
        <v>14871567.17</v>
      </c>
      <c r="E24" s="183">
        <v>-7557929</v>
      </c>
      <c r="F24" s="183">
        <v>9462718</v>
      </c>
      <c r="G24" s="174">
        <f>SUM(D24:F24)</f>
        <v>16776356.17</v>
      </c>
      <c r="H24" s="174">
        <f>-K62</f>
        <v>-159719.07850999999</v>
      </c>
      <c r="I24" s="174">
        <f>SUM(G24:H24)</f>
        <v>16616637.09149</v>
      </c>
    </row>
    <row r="25" spans="1:26">
      <c r="A25" s="180" t="s">
        <v>178</v>
      </c>
      <c r="B25" s="152"/>
      <c r="C25" s="181">
        <v>3627</v>
      </c>
      <c r="D25" s="181">
        <v>25481</v>
      </c>
      <c r="E25" s="183">
        <v>-9170</v>
      </c>
      <c r="F25" s="183">
        <v>10940</v>
      </c>
      <c r="G25" s="174">
        <f t="shared" ref="G25:G33" si="14">SUM(D25:F25)</f>
        <v>27251</v>
      </c>
      <c r="H25" s="174">
        <f t="shared" ref="H25:H30" si="15">-K63</f>
        <v>796.39409000000001</v>
      </c>
      <c r="I25" s="174">
        <f t="shared" ref="I25:I34" si="16">SUM(G25:H25)</f>
        <v>28047.394090000002</v>
      </c>
    </row>
    <row r="26" spans="1:26">
      <c r="A26" s="180" t="s">
        <v>132</v>
      </c>
      <c r="B26" s="152"/>
      <c r="C26" s="181">
        <v>461023.17</v>
      </c>
      <c r="D26" s="181">
        <v>5308531.0599999996</v>
      </c>
      <c r="E26" s="183">
        <v>-2630163</v>
      </c>
      <c r="F26" s="183">
        <v>3169019</v>
      </c>
      <c r="G26" s="174">
        <f t="shared" si="14"/>
        <v>5847387.0599999996</v>
      </c>
      <c r="H26" s="174">
        <f t="shared" si="15"/>
        <v>-26965.220179999997</v>
      </c>
      <c r="I26" s="174">
        <f t="shared" si="16"/>
        <v>5820421.8398199994</v>
      </c>
    </row>
    <row r="27" spans="1:26">
      <c r="A27" s="180" t="s">
        <v>133</v>
      </c>
      <c r="B27" s="152"/>
      <c r="C27" s="181">
        <v>193209.56</v>
      </c>
      <c r="D27" s="181">
        <v>601332.11</v>
      </c>
      <c r="E27" s="183">
        <v>-316539</v>
      </c>
      <c r="F27" s="183">
        <v>356004</v>
      </c>
      <c r="G27" s="174">
        <f t="shared" si="14"/>
        <v>640797.11</v>
      </c>
      <c r="H27" s="174">
        <f t="shared" si="15"/>
        <v>-1610.54376</v>
      </c>
      <c r="I27" s="174">
        <f t="shared" si="16"/>
        <v>639186.56623999996</v>
      </c>
    </row>
    <row r="28" spans="1:26">
      <c r="A28" s="180" t="s">
        <v>134</v>
      </c>
      <c r="B28" s="152"/>
      <c r="C28" s="181">
        <v>922940.01</v>
      </c>
      <c r="D28" s="181">
        <v>10420198.800000001</v>
      </c>
      <c r="E28" s="183">
        <v>-4745224</v>
      </c>
      <c r="F28" s="183">
        <v>5550104</v>
      </c>
      <c r="G28" s="174">
        <f t="shared" si="14"/>
        <v>11225078.800000001</v>
      </c>
      <c r="H28" s="174">
        <f t="shared" si="15"/>
        <v>-50861.873899999999</v>
      </c>
      <c r="I28" s="174">
        <f t="shared" si="16"/>
        <v>11174216.926100001</v>
      </c>
    </row>
    <row r="29" spans="1:26">
      <c r="A29" s="180" t="s">
        <v>135</v>
      </c>
      <c r="B29" s="152"/>
      <c r="C29" s="181">
        <v>24000</v>
      </c>
      <c r="D29" s="181">
        <v>205236.58</v>
      </c>
      <c r="E29" s="183">
        <v>-98074</v>
      </c>
      <c r="F29" s="183">
        <v>113215</v>
      </c>
      <c r="G29" s="174">
        <f t="shared" si="14"/>
        <v>220377.58</v>
      </c>
      <c r="H29" s="174">
        <f t="shared" si="15"/>
        <v>-808.99045000000001</v>
      </c>
      <c r="I29" s="174">
        <f t="shared" si="16"/>
        <v>219568.58954999998</v>
      </c>
    </row>
    <row r="30" spans="1:26">
      <c r="A30" s="180" t="s">
        <v>136</v>
      </c>
      <c r="B30" s="152"/>
      <c r="C30" s="181">
        <v>552000</v>
      </c>
      <c r="D30" s="181">
        <f>5568357.59-80424.33</f>
        <v>5487933.2599999998</v>
      </c>
      <c r="E30" s="183">
        <v>-5918000</v>
      </c>
      <c r="F30" s="183">
        <v>5944302</v>
      </c>
      <c r="G30" s="174">
        <f t="shared" si="14"/>
        <v>5514235.2599999998</v>
      </c>
      <c r="H30" s="174">
        <f t="shared" si="15"/>
        <v>-22585.231190000002</v>
      </c>
      <c r="I30" s="174">
        <f t="shared" si="16"/>
        <v>5491650.02881</v>
      </c>
      <c r="J30" s="283"/>
    </row>
    <row r="31" spans="1:26">
      <c r="A31" s="180" t="s">
        <v>180</v>
      </c>
      <c r="B31" s="152"/>
      <c r="C31" s="181">
        <v>1000</v>
      </c>
      <c r="D31" s="181">
        <v>474590.9</v>
      </c>
      <c r="E31" s="183">
        <v>0</v>
      </c>
      <c r="F31" s="183">
        <v>0</v>
      </c>
      <c r="G31" s="174">
        <f t="shared" si="14"/>
        <v>474590.9</v>
      </c>
      <c r="H31" s="174">
        <f>-K69</f>
        <v>0</v>
      </c>
      <c r="I31" s="174">
        <f t="shared" si="16"/>
        <v>474590.9</v>
      </c>
    </row>
    <row r="32" spans="1:26">
      <c r="A32" s="180" t="s">
        <v>137</v>
      </c>
      <c r="B32" s="152"/>
      <c r="C32" s="181">
        <v>24040</v>
      </c>
      <c r="D32" s="181">
        <v>1198473.4099999999</v>
      </c>
      <c r="E32" s="183">
        <v>-278734</v>
      </c>
      <c r="F32" s="183">
        <v>373901</v>
      </c>
      <c r="G32" s="174">
        <f t="shared" si="14"/>
        <v>1293640.4099999999</v>
      </c>
      <c r="H32" s="174">
        <f>-K70</f>
        <v>-6429.023439999999</v>
      </c>
      <c r="I32" s="174">
        <f t="shared" si="16"/>
        <v>1287211.38656</v>
      </c>
    </row>
    <row r="33" spans="1:14">
      <c r="A33" s="180" t="s">
        <v>138</v>
      </c>
      <c r="B33" s="152"/>
      <c r="C33" s="181">
        <v>24500</v>
      </c>
      <c r="D33" s="181">
        <v>150131.03</v>
      </c>
      <c r="E33" s="183">
        <v>-33875</v>
      </c>
      <c r="F33" s="183">
        <v>60038</v>
      </c>
      <c r="G33" s="174">
        <f t="shared" si="14"/>
        <v>176294.03</v>
      </c>
      <c r="H33" s="174">
        <f>-K71</f>
        <v>-824.87360000000012</v>
      </c>
      <c r="I33" s="174">
        <f t="shared" si="16"/>
        <v>175469.15640000001</v>
      </c>
    </row>
    <row r="34" spans="1:14">
      <c r="A34" s="180" t="s">
        <v>192</v>
      </c>
      <c r="B34" s="152"/>
      <c r="C34" s="174"/>
      <c r="D34" s="181">
        <v>551013.74</v>
      </c>
      <c r="E34" s="181"/>
      <c r="F34" s="181"/>
      <c r="G34" s="174">
        <f>SUM(D34:F34)</f>
        <v>551013.74</v>
      </c>
      <c r="H34" s="174"/>
      <c r="I34" s="174">
        <f t="shared" si="16"/>
        <v>551013.74</v>
      </c>
    </row>
    <row r="35" spans="1:14">
      <c r="A35" s="180" t="s">
        <v>193</v>
      </c>
      <c r="B35" s="152"/>
      <c r="C35" s="194"/>
      <c r="D35" s="181">
        <v>1783212.07</v>
      </c>
      <c r="E35" s="181"/>
      <c r="F35" s="181"/>
      <c r="G35" s="174"/>
      <c r="H35" s="174"/>
      <c r="I35" s="174"/>
    </row>
    <row r="36" spans="1:14">
      <c r="A36" s="180" t="s">
        <v>194</v>
      </c>
      <c r="B36" s="152"/>
      <c r="C36" s="194"/>
      <c r="D36" s="181">
        <v>1499323.21</v>
      </c>
      <c r="E36" s="181"/>
      <c r="F36" s="181"/>
      <c r="G36" s="174"/>
      <c r="H36" s="174"/>
      <c r="I36" s="174"/>
    </row>
    <row r="37" spans="1:14">
      <c r="A37" s="152"/>
      <c r="B37" s="152"/>
      <c r="C37" s="166">
        <f t="shared" ref="C37:I37" si="17">SUM(C24:C36)</f>
        <v>4205292.74</v>
      </c>
      <c r="D37" s="166">
        <f t="shared" si="17"/>
        <v>42577024.339999996</v>
      </c>
      <c r="E37" s="166">
        <f t="shared" si="17"/>
        <v>-21587708</v>
      </c>
      <c r="F37" s="166">
        <f t="shared" si="17"/>
        <v>25040241</v>
      </c>
      <c r="G37" s="166">
        <f t="shared" si="17"/>
        <v>42747022.059999995</v>
      </c>
      <c r="H37" s="166">
        <f t="shared" si="17"/>
        <v>-269008.44094</v>
      </c>
      <c r="I37" s="166">
        <f t="shared" si="17"/>
        <v>42478013.619060017</v>
      </c>
    </row>
    <row r="38" spans="1:14" ht="14.4" thickBot="1">
      <c r="A38" s="152"/>
      <c r="B38" s="152"/>
      <c r="D38" s="167"/>
      <c r="E38" s="152"/>
      <c r="F38" s="152"/>
    </row>
    <row r="39" spans="1:14">
      <c r="A39" s="152" t="s">
        <v>19</v>
      </c>
      <c r="B39" s="152"/>
      <c r="C39" s="169">
        <f t="shared" ref="C39:I39" si="18">C24+C25</f>
        <v>2002580</v>
      </c>
      <c r="D39" s="168">
        <f t="shared" si="18"/>
        <v>14897048.17</v>
      </c>
      <c r="E39" s="168">
        <f t="shared" si="18"/>
        <v>-7567099</v>
      </c>
      <c r="F39" s="168">
        <f t="shared" si="18"/>
        <v>9473658</v>
      </c>
      <c r="G39" s="168">
        <f t="shared" si="18"/>
        <v>16803607.170000002</v>
      </c>
      <c r="H39" s="168">
        <f t="shared" si="18"/>
        <v>-158922.68442000001</v>
      </c>
      <c r="I39" s="169">
        <f t="shared" si="18"/>
        <v>16644684.485580001</v>
      </c>
    </row>
    <row r="40" spans="1:14" ht="6" customHeight="1">
      <c r="A40" s="152"/>
      <c r="B40" s="152"/>
      <c r="C40" s="173"/>
      <c r="D40" s="168"/>
      <c r="E40" s="152"/>
      <c r="F40" s="152"/>
      <c r="I40" s="190"/>
    </row>
    <row r="41" spans="1:14" ht="14.4" thickBot="1">
      <c r="A41" s="152" t="s">
        <v>184</v>
      </c>
      <c r="B41" s="152"/>
      <c r="C41" s="175">
        <f>SUM(C26:C29,C31:C33)</f>
        <v>1650712.74</v>
      </c>
      <c r="D41" s="176">
        <f t="shared" ref="D41:I41" si="19">SUM(D26:D29,D31:D33)</f>
        <v>18358493.890000001</v>
      </c>
      <c r="E41" s="176">
        <f t="shared" si="19"/>
        <v>-8102609</v>
      </c>
      <c r="F41" s="176">
        <f t="shared" si="19"/>
        <v>9622281</v>
      </c>
      <c r="G41" s="176">
        <f t="shared" si="19"/>
        <v>19878165.889999997</v>
      </c>
      <c r="H41" s="176">
        <f t="shared" si="19"/>
        <v>-87500.525330000004</v>
      </c>
      <c r="I41" s="175">
        <f t="shared" si="19"/>
        <v>19790665.364669997</v>
      </c>
    </row>
    <row r="42" spans="1:14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4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43009</v>
      </c>
      <c r="I43" s="191">
        <v>42380</v>
      </c>
      <c r="J43" s="191">
        <v>43282</v>
      </c>
      <c r="K43" s="191">
        <v>42917</v>
      </c>
      <c r="L43" s="196"/>
    </row>
    <row r="44" spans="1:14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165" t="s">
        <v>201</v>
      </c>
      <c r="M44" s="211" t="s">
        <v>229</v>
      </c>
      <c r="N44" s="1" t="s">
        <v>230</v>
      </c>
    </row>
    <row r="45" spans="1:14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-3.4000000000000002E-4</v>
      </c>
      <c r="K45" s="171">
        <v>-5.6999999999999998E-4</v>
      </c>
      <c r="M45" s="171">
        <f>SUM(B45:J45)</f>
        <v>6.3699999999999998E-3</v>
      </c>
      <c r="N45" s="212">
        <f>M45*G3+(M45-J45+K45)*F3</f>
        <v>159719.07850999996</v>
      </c>
    </row>
    <row r="46" spans="1:14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-3.4000000000000002E-4</v>
      </c>
      <c r="K46" s="171">
        <v>-5.6999999999999998E-4</v>
      </c>
      <c r="M46" s="171">
        <f t="shared" ref="M46:M57" si="20">SUM(B46:J46)</f>
        <v>-2.5160000000000005E-2</v>
      </c>
      <c r="N46" s="212">
        <f t="shared" ref="N46:N57" si="21">M46*G4+(M46-J46+K46)*F4</f>
        <v>-796.39408999999978</v>
      </c>
    </row>
    <row r="47" spans="1:14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-3.6000000000000002E-4</v>
      </c>
      <c r="K47" s="171">
        <v>-5.6999999999999998E-4</v>
      </c>
      <c r="M47" s="171">
        <f t="shared" si="20"/>
        <v>4.3099999999999996E-3</v>
      </c>
      <c r="N47" s="212">
        <f t="shared" si="21"/>
        <v>26965.220180000004</v>
      </c>
    </row>
    <row r="48" spans="1:14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-3.6000000000000002E-4</v>
      </c>
      <c r="K48" s="171">
        <v>-5.6999999999999998E-4</v>
      </c>
      <c r="M48" s="171">
        <f t="shared" si="20"/>
        <v>3.5000000000000001E-3</v>
      </c>
      <c r="N48" s="212">
        <f t="shared" si="21"/>
        <v>1610.5437599999996</v>
      </c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-3.6000000000000002E-4</v>
      </c>
      <c r="K49" s="171">
        <v>-5.9000000000000003E-4</v>
      </c>
      <c r="M49" s="171">
        <f t="shared" si="20"/>
        <v>3.3600000000000001E-3</v>
      </c>
      <c r="N49" s="212">
        <f t="shared" si="21"/>
        <v>50861.873900000006</v>
      </c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-3.6000000000000002E-4</v>
      </c>
      <c r="K50" s="171">
        <v>-5.9000000000000003E-4</v>
      </c>
      <c r="M50" s="171">
        <f t="shared" si="20"/>
        <v>2.5499999999999997E-3</v>
      </c>
      <c r="N50" s="212">
        <f t="shared" si="21"/>
        <v>808.99044999999933</v>
      </c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-3.5E-4</v>
      </c>
      <c r="K51" s="171">
        <v>-5.6999999999999998E-4</v>
      </c>
      <c r="M51" s="171">
        <f t="shared" si="20"/>
        <v>1.7299999999999998E-3</v>
      </c>
      <c r="N51" s="212">
        <f t="shared" si="21"/>
        <v>14885.231189999991</v>
      </c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-3.5E-4</v>
      </c>
      <c r="K52" s="171">
        <v>-5.6999999999999998E-4</v>
      </c>
      <c r="M52" s="171">
        <f t="shared" si="20"/>
        <v>1.97E-3</v>
      </c>
      <c r="N52" s="212">
        <f t="shared" si="21"/>
        <v>7700</v>
      </c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-3.6999999999999999E-4</v>
      </c>
      <c r="K53" s="171">
        <v>-6.0999999999999997E-4</v>
      </c>
      <c r="M53" s="171">
        <f t="shared" si="20"/>
        <v>3.0999999999999999E-3</v>
      </c>
      <c r="N53" s="212">
        <f t="shared" si="21"/>
        <v>0</v>
      </c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-3.6999999999999999E-4</v>
      </c>
      <c r="K54" s="171">
        <v>-6.0999999999999997E-4</v>
      </c>
      <c r="M54" s="171">
        <f t="shared" si="20"/>
        <v>3.0999999999999999E-3</v>
      </c>
      <c r="N54" s="212">
        <f t="shared" si="21"/>
        <v>6429.0234399999972</v>
      </c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-3.6999999999999999E-4</v>
      </c>
      <c r="K55" s="171">
        <v>-6.0999999999999997E-4</v>
      </c>
      <c r="M55" s="171">
        <f t="shared" si="20"/>
        <v>2.2899999999999999E-3</v>
      </c>
      <c r="N55" s="212">
        <f t="shared" si="21"/>
        <v>824.8735999999999</v>
      </c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-4.8000000000000001E-4</v>
      </c>
      <c r="K56" s="186">
        <v>-6.4999999999999997E-4</v>
      </c>
      <c r="M56" s="171">
        <f t="shared" si="20"/>
        <v>1.167E-2</v>
      </c>
      <c r="N56" s="212">
        <f t="shared" si="21"/>
        <v>0</v>
      </c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-4.8000000000000001E-4</v>
      </c>
      <c r="K57" s="186">
        <v>-6.4999999999999997E-4</v>
      </c>
      <c r="M57" s="171">
        <f t="shared" si="20"/>
        <v>1.086E-2</v>
      </c>
      <c r="N57" s="212">
        <f t="shared" si="21"/>
        <v>0</v>
      </c>
    </row>
    <row r="58" spans="1:14">
      <c r="A58" s="180"/>
      <c r="B58" s="152"/>
      <c r="C58" s="171"/>
      <c r="D58" s="171"/>
      <c r="E58" s="171"/>
      <c r="F58" s="171"/>
      <c r="G58" s="186"/>
      <c r="H58" s="328"/>
      <c r="I58" s="171"/>
      <c r="J58" s="186"/>
      <c r="K58" s="171"/>
      <c r="L58" s="212"/>
      <c r="M58" s="212"/>
    </row>
    <row r="59" spans="1:14">
      <c r="A59" s="180"/>
      <c r="B59" s="152"/>
      <c r="C59" s="171"/>
      <c r="D59" s="171"/>
      <c r="E59" s="171"/>
      <c r="F59" s="171"/>
      <c r="G59" s="186"/>
      <c r="H59" s="328"/>
      <c r="I59" s="171"/>
      <c r="J59" s="186"/>
      <c r="K59" s="171"/>
      <c r="L59" s="212"/>
      <c r="M59" s="212"/>
    </row>
    <row r="60" spans="1:14">
      <c r="F60" s="152"/>
      <c r="M60" s="212"/>
      <c r="N60" s="212">
        <f>SUM(N45:N57)</f>
        <v>269008.44094</v>
      </c>
    </row>
    <row r="61" spans="1:14" ht="14.4" customHeight="1">
      <c r="A61" s="179" t="s">
        <v>202</v>
      </c>
      <c r="B61" s="154"/>
      <c r="C61" s="172" t="s">
        <v>209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2">C45*$H3</f>
        <v>-18011.273399999998</v>
      </c>
      <c r="D62" s="168">
        <f t="shared" si="22"/>
        <v>-31575.318800000001</v>
      </c>
      <c r="E62" s="168">
        <f t="shared" ref="E62:E67" si="23">E45*H3</f>
        <v>98950.823000000004</v>
      </c>
      <c r="F62" s="168">
        <f t="shared" ref="F62:F67" si="24">$H3*F45</f>
        <v>0</v>
      </c>
      <c r="G62" s="168">
        <f t="shared" ref="G62:H67" si="25">($H3*G45)</f>
        <v>76492.321599999996</v>
      </c>
      <c r="H62" s="168">
        <f t="shared" si="25"/>
        <v>23347.947</v>
      </c>
      <c r="I62" s="168">
        <f t="shared" ref="I62:I67" si="26">$H3*I45</f>
        <v>0</v>
      </c>
      <c r="J62" s="168">
        <f>(J45*G3+K45*F3)</f>
        <v>10514.579109999999</v>
      </c>
      <c r="K62" s="168">
        <f t="shared" ref="K62:K72" si="27">SUM(C62:J62)</f>
        <v>159719.07850999999</v>
      </c>
      <c r="N62" s="168"/>
    </row>
    <row r="63" spans="1:14">
      <c r="A63" s="180" t="s">
        <v>178</v>
      </c>
      <c r="C63" s="168">
        <f t="shared" si="22"/>
        <v>-26.678159999999998</v>
      </c>
      <c r="D63" s="168">
        <f t="shared" si="22"/>
        <v>-46.769120000000001</v>
      </c>
      <c r="E63" s="168">
        <f t="shared" si="23"/>
        <v>146.5652</v>
      </c>
      <c r="F63" s="168">
        <f t="shared" si="24"/>
        <v>-1038.47208</v>
      </c>
      <c r="G63" s="168">
        <f t="shared" si="25"/>
        <v>113.29984</v>
      </c>
      <c r="H63" s="168">
        <f t="shared" si="25"/>
        <v>34.582799999999999</v>
      </c>
      <c r="I63" s="168">
        <f t="shared" si="26"/>
        <v>0</v>
      </c>
      <c r="J63" s="168">
        <f t="shared" ref="J63:J67" si="28">(J46*G4+K46*F4)</f>
        <v>21.077429999999985</v>
      </c>
      <c r="K63" s="168">
        <f t="shared" si="27"/>
        <v>-796.39409000000001</v>
      </c>
      <c r="N63" s="168"/>
    </row>
    <row r="64" spans="1:14">
      <c r="A64" s="180" t="s">
        <v>132</v>
      </c>
      <c r="C64" s="168">
        <f t="shared" si="22"/>
        <v>0</v>
      </c>
      <c r="D64" s="168">
        <f t="shared" si="22"/>
        <v>-9717.7162399999997</v>
      </c>
      <c r="E64" s="168">
        <f t="shared" si="23"/>
        <v>2067.5992000000001</v>
      </c>
      <c r="F64" s="168">
        <f t="shared" si="24"/>
        <v>0</v>
      </c>
      <c r="G64" s="168">
        <f t="shared" si="25"/>
        <v>23932.460739999999</v>
      </c>
      <c r="H64" s="168">
        <f t="shared" si="25"/>
        <v>7856.8769600000005</v>
      </c>
      <c r="I64" s="168">
        <f t="shared" si="26"/>
        <v>0</v>
      </c>
      <c r="J64" s="168">
        <f t="shared" si="28"/>
        <v>2825.9995199999994</v>
      </c>
      <c r="K64" s="168">
        <f t="shared" si="27"/>
        <v>26965.220179999997</v>
      </c>
      <c r="N64" s="168"/>
    </row>
    <row r="65" spans="1:14">
      <c r="A65" s="180" t="s">
        <v>133</v>
      </c>
      <c r="C65" s="168">
        <f t="shared" si="22"/>
        <v>-278.69426999999996</v>
      </c>
      <c r="D65" s="168">
        <f t="shared" si="22"/>
        <v>-646.84595999999999</v>
      </c>
      <c r="E65" s="168">
        <f t="shared" si="23"/>
        <v>137.6268</v>
      </c>
      <c r="F65" s="168">
        <f t="shared" si="24"/>
        <v>0</v>
      </c>
      <c r="G65" s="168">
        <f t="shared" si="25"/>
        <v>1593.0302099999999</v>
      </c>
      <c r="H65" s="168">
        <f t="shared" si="25"/>
        <v>522.98184000000003</v>
      </c>
      <c r="I65" s="168">
        <f t="shared" si="26"/>
        <v>0</v>
      </c>
      <c r="J65" s="168">
        <f t="shared" si="28"/>
        <v>282.44513999999992</v>
      </c>
      <c r="K65" s="168">
        <f t="shared" si="27"/>
        <v>1610.54376</v>
      </c>
      <c r="N65" s="168"/>
    </row>
    <row r="66" spans="1:14">
      <c r="A66" s="180" t="s">
        <v>134</v>
      </c>
      <c r="C66" s="168">
        <f t="shared" si="22"/>
        <v>0</v>
      </c>
      <c r="D66" s="168">
        <f t="shared" si="22"/>
        <v>-16048.689120000001</v>
      </c>
      <c r="E66" s="168">
        <f t="shared" si="23"/>
        <v>4457.9692000000005</v>
      </c>
      <c r="F66" s="168">
        <f t="shared" si="24"/>
        <v>0</v>
      </c>
      <c r="G66" s="168">
        <f t="shared" si="25"/>
        <v>40790.418180000001</v>
      </c>
      <c r="H66" s="168">
        <f t="shared" si="25"/>
        <v>12259.415300000001</v>
      </c>
      <c r="I66" s="168">
        <f t="shared" si="26"/>
        <v>0</v>
      </c>
      <c r="J66" s="168">
        <f t="shared" si="28"/>
        <v>9402.7603400000007</v>
      </c>
      <c r="K66" s="168">
        <f t="shared" si="27"/>
        <v>50861.873899999999</v>
      </c>
      <c r="N66" s="168"/>
    </row>
    <row r="67" spans="1:14">
      <c r="A67" s="180" t="s">
        <v>135</v>
      </c>
      <c r="C67" s="168">
        <f t="shared" si="22"/>
        <v>-171.57095999999999</v>
      </c>
      <c r="D67" s="168">
        <f t="shared" si="22"/>
        <v>-305.01504</v>
      </c>
      <c r="E67" s="168">
        <f t="shared" si="23"/>
        <v>84.726399999999998</v>
      </c>
      <c r="F67" s="168">
        <f t="shared" si="24"/>
        <v>0</v>
      </c>
      <c r="G67" s="168">
        <f t="shared" si="25"/>
        <v>775.24656000000004</v>
      </c>
      <c r="H67" s="168">
        <f t="shared" si="25"/>
        <v>232.99760000000001</v>
      </c>
      <c r="I67" s="168">
        <f t="shared" si="26"/>
        <v>0</v>
      </c>
      <c r="J67" s="168">
        <f t="shared" si="28"/>
        <v>192.60588999999999</v>
      </c>
      <c r="K67" s="168">
        <f t="shared" si="27"/>
        <v>808.99045000000001</v>
      </c>
      <c r="N67" s="168"/>
    </row>
    <row r="68" spans="1:14">
      <c r="A68" s="180" t="s">
        <v>136</v>
      </c>
      <c r="C68" s="168">
        <f t="shared" ref="C68:I68" si="29">$H9*C51+$H10*C52</f>
        <v>0</v>
      </c>
      <c r="D68" s="168">
        <f t="shared" ref="D68" si="30">$H9*D51+$H10*D52</f>
        <v>-1018.7322300000001</v>
      </c>
      <c r="E68" s="168">
        <f t="shared" si="29"/>
        <v>0</v>
      </c>
      <c r="F68" s="168">
        <f t="shared" si="29"/>
        <v>0</v>
      </c>
      <c r="G68" s="168">
        <f t="shared" si="29"/>
        <v>2541.3535200000001</v>
      </c>
      <c r="H68" s="168">
        <f t="shared" si="29"/>
        <v>755.83358999999996</v>
      </c>
      <c r="I68" s="168">
        <f t="shared" si="29"/>
        <v>0</v>
      </c>
      <c r="J68" s="168">
        <f>(J51*G9+K51*F9)+(J52*G10+K52*F10)</f>
        <v>20306.776310000001</v>
      </c>
      <c r="K68" s="168">
        <f t="shared" si="27"/>
        <v>22585.231190000002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1">$H11*E53</f>
        <v>0</v>
      </c>
      <c r="F69" s="168">
        <f t="shared" si="31"/>
        <v>0</v>
      </c>
      <c r="G69" s="168">
        <f t="shared" ref="G69:H71" si="32">($H11*G53)</f>
        <v>0</v>
      </c>
      <c r="H69" s="168">
        <f t="shared" si="32"/>
        <v>0</v>
      </c>
      <c r="I69" s="168">
        <f t="shared" ref="I69:I71" si="33">$H11*I53</f>
        <v>0</v>
      </c>
      <c r="J69" s="168">
        <f>(J53*G11+K53*F11)</f>
        <v>0</v>
      </c>
      <c r="K69" s="168">
        <f t="shared" si="27"/>
        <v>0</v>
      </c>
      <c r="N69" s="168"/>
    </row>
    <row r="70" spans="1:14">
      <c r="A70" s="180" t="s">
        <v>137</v>
      </c>
      <c r="C70" s="168">
        <f t="shared" si="31"/>
        <v>0</v>
      </c>
      <c r="D70" s="168">
        <f t="shared" ref="D70" si="34">$H12*D54</f>
        <v>-2212.1007999999997</v>
      </c>
      <c r="E70" s="168">
        <f t="shared" si="31"/>
        <v>680.64640000000009</v>
      </c>
      <c r="F70" s="168">
        <f t="shared" si="31"/>
        <v>0</v>
      </c>
      <c r="G70" s="168">
        <f t="shared" si="32"/>
        <v>5802.5105599999997</v>
      </c>
      <c r="H70" s="168">
        <f t="shared" si="32"/>
        <v>1633.5513599999999</v>
      </c>
      <c r="I70" s="168">
        <f t="shared" si="33"/>
        <v>0</v>
      </c>
      <c r="J70" s="168">
        <f t="shared" ref="J70:J71" si="35">(J54*G12+K54*F12)</f>
        <v>524.41591999999991</v>
      </c>
      <c r="K70" s="168">
        <f t="shared" si="27"/>
        <v>6429.023439999999</v>
      </c>
      <c r="N70" s="168"/>
    </row>
    <row r="71" spans="1:14">
      <c r="A71" s="180" t="s">
        <v>138</v>
      </c>
      <c r="C71" s="168">
        <f t="shared" si="31"/>
        <v>-268.49232000000001</v>
      </c>
      <c r="D71" s="168">
        <f t="shared" ref="D71" si="36">$H13*D55</f>
        <v>-430.91359999999997</v>
      </c>
      <c r="E71" s="168">
        <f t="shared" si="31"/>
        <v>132.58880000000002</v>
      </c>
      <c r="F71" s="168">
        <f t="shared" si="31"/>
        <v>0</v>
      </c>
      <c r="G71" s="168">
        <f t="shared" si="32"/>
        <v>1130.31952</v>
      </c>
      <c r="H71" s="168">
        <f t="shared" si="32"/>
        <v>318.21312</v>
      </c>
      <c r="I71" s="168">
        <f t="shared" si="33"/>
        <v>0</v>
      </c>
      <c r="J71" s="168">
        <f t="shared" si="35"/>
        <v>-56.841919999999988</v>
      </c>
      <c r="K71" s="168">
        <f t="shared" si="27"/>
        <v>824.87360000000012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($F14+$F15)*K56+$F16*K57+(G14+G15)*J56+G16*J57</f>
        <v>0</v>
      </c>
      <c r="K72" s="168">
        <f t="shared" si="27"/>
        <v>0</v>
      </c>
    </row>
    <row r="73" spans="1:14">
      <c r="A73" s="157"/>
      <c r="C73" s="193">
        <f t="shared" ref="C73:J73" si="37">SUM(C62:C72)</f>
        <v>-18756.70911</v>
      </c>
      <c r="D73" s="193">
        <f>SUM(D62:D72)</f>
        <v>-62002.100910000001</v>
      </c>
      <c r="E73" s="193">
        <f t="shared" si="37"/>
        <v>106658.545</v>
      </c>
      <c r="F73" s="193">
        <f t="shared" si="37"/>
        <v>-1038.47208</v>
      </c>
      <c r="G73" s="193">
        <f t="shared" si="37"/>
        <v>153170.96072999999</v>
      </c>
      <c r="H73" s="193">
        <f t="shared" si="37"/>
        <v>46962.399570000001</v>
      </c>
      <c r="I73" s="193">
        <f t="shared" si="37"/>
        <v>0</v>
      </c>
      <c r="J73" s="193">
        <f t="shared" si="37"/>
        <v>44013.817739999999</v>
      </c>
      <c r="K73" s="193">
        <f>SUM(K62:K72)</f>
        <v>269008.44094</v>
      </c>
    </row>
    <row r="75" spans="1:14">
      <c r="A75" s="152" t="s">
        <v>19</v>
      </c>
      <c r="B75" s="152"/>
      <c r="C75" s="168">
        <f t="shared" ref="C75:J75" si="38">C62+C63</f>
        <v>-18037.951559999998</v>
      </c>
      <c r="D75" s="168">
        <f t="shared" si="38"/>
        <v>-31622.087920000002</v>
      </c>
      <c r="E75" s="168">
        <f t="shared" si="38"/>
        <v>99097.388200000001</v>
      </c>
      <c r="F75" s="168">
        <f t="shared" si="38"/>
        <v>-1038.47208</v>
      </c>
      <c r="G75" s="168">
        <f t="shared" si="38"/>
        <v>76605.621440000003</v>
      </c>
      <c r="H75" s="168">
        <f t="shared" si="38"/>
        <v>23382.5298</v>
      </c>
      <c r="I75" s="168">
        <f t="shared" si="38"/>
        <v>0</v>
      </c>
      <c r="J75" s="168">
        <f t="shared" si="38"/>
        <v>10535.656539999998</v>
      </c>
      <c r="K75" s="168">
        <f>K62+K63</f>
        <v>158922.68442000001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9">SUM(C64:C67,C69:C71)</f>
        <v>-718.75755000000004</v>
      </c>
      <c r="D77" s="176">
        <f>SUM(D64:D67,D69:D71)</f>
        <v>-29361.280760000001</v>
      </c>
      <c r="E77" s="176">
        <f>SUM(E64:E67,E69:E71)</f>
        <v>7561.1567999999997</v>
      </c>
      <c r="F77" s="176">
        <f>SUM(F64:F67,F69:F71)</f>
        <v>0</v>
      </c>
      <c r="G77" s="176">
        <f t="shared" si="39"/>
        <v>74023.985769999999</v>
      </c>
      <c r="H77" s="176">
        <f t="shared" si="39"/>
        <v>22824.036180000003</v>
      </c>
      <c r="I77" s="176">
        <f t="shared" si="39"/>
        <v>0</v>
      </c>
      <c r="J77" s="176">
        <f t="shared" si="39"/>
        <v>13171.384889999999</v>
      </c>
      <c r="K77" s="176">
        <f>SUM(K64:K67,K69:K71)</f>
        <v>87500.525330000004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364</v>
      </c>
      <c r="H82" s="403"/>
      <c r="I82" s="403"/>
      <c r="J82" s="403"/>
      <c r="M82" s="200"/>
      <c r="N82" s="200"/>
    </row>
    <row r="83" spans="1:14" ht="14.4">
      <c r="A83" s="329" t="s">
        <v>363</v>
      </c>
      <c r="B83" s="198">
        <v>1</v>
      </c>
      <c r="C83" s="199">
        <v>781784</v>
      </c>
      <c r="D83" s="200">
        <f>70358.34-C83*SUM(M51)</f>
        <v>69005.85368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781784</v>
      </c>
      <c r="D84" s="205">
        <f>SUM(D83:D83)</f>
        <v>69005.85368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  <row r="88" spans="1:14" ht="9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  <rowBreaks count="1" manualBreakCount="1">
    <brk id="42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A1:AE89"/>
  <sheetViews>
    <sheetView topLeftCell="A33" workbookViewId="0">
      <selection sqref="A1:AE101"/>
    </sheetView>
  </sheetViews>
  <sheetFormatPr defaultColWidth="9.109375" defaultRowHeight="13.8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5.88671875" style="1" bestFit="1" customWidth="1"/>
    <col min="10" max="10" width="14.109375" style="1" customWidth="1"/>
    <col min="11" max="11" width="13.109375" style="1" customWidth="1"/>
    <col min="12" max="12" width="14.6640625" style="1" bestFit="1" customWidth="1"/>
    <col min="13" max="13" width="14.6640625" style="1" customWidth="1"/>
    <col min="14" max="14" width="2.6640625" style="1" customWidth="1"/>
    <col min="15" max="15" width="19.88671875" style="1" customWidth="1"/>
    <col min="16" max="16" width="16.5546875" style="1" customWidth="1"/>
    <col min="17" max="17" width="13" style="1" customWidth="1"/>
    <col min="18" max="18" width="10.109375" style="1" customWidth="1"/>
    <col min="19" max="19" width="16.10937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24.88671875" style="1" bestFit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295</v>
      </c>
      <c r="AB1" s="151"/>
      <c r="AC1" s="151" t="s">
        <v>237</v>
      </c>
      <c r="AD1" s="224" t="s">
        <v>39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June Billed Schedule 75 Revenue</v>
      </c>
      <c r="P2" s="287" t="str">
        <f>AA1&amp;" Billed kWhs"</f>
        <v>June Billed kWhs</v>
      </c>
      <c r="Q2" s="287" t="str">
        <f>AA1&amp;" Unbilled kWhs"</f>
        <v>June Unbilled kWhs</v>
      </c>
      <c r="R2" s="287" t="s">
        <v>238</v>
      </c>
      <c r="S2" s="287" t="s">
        <v>239</v>
      </c>
      <c r="T2" s="287" t="str">
        <f>AD1&amp;" Unbilled kWhs reversal"</f>
        <v>May Unbilled kWhs reversal</v>
      </c>
      <c r="U2" s="287" t="s">
        <v>238</v>
      </c>
      <c r="V2" s="287" t="str">
        <f>AD1&amp;" Schedule 75 Unbilled Reversal"</f>
        <v>May Schedule 75 Unbilled Reversal</v>
      </c>
      <c r="W2" s="151"/>
      <c r="X2" s="287" t="str">
        <f>"Total "&amp;AA1&amp;" Schedule 75 Revenue"</f>
        <v>Total June Schedule 75 Revenue</v>
      </c>
      <c r="Y2" s="151"/>
      <c r="Z2" s="287" t="str">
        <f>"Calendar "&amp;AA1&amp;" Usage"</f>
        <v>Calendar June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May unbilled/Cancel-Rebill True-up kWhs</v>
      </c>
      <c r="AE2" s="151"/>
    </row>
    <row r="3" spans="1:31" ht="15" customHeight="1">
      <c r="A3" s="180" t="s">
        <v>131</v>
      </c>
      <c r="B3" s="152"/>
      <c r="C3" s="158">
        <v>214425</v>
      </c>
      <c r="D3" s="282">
        <f t="shared" ref="D3:D8" si="0">E3/(SUM($E$3:$E$8,$E$11:$E$13))</f>
        <v>0.45526166471350277</v>
      </c>
      <c r="E3" s="182">
        <v>149010188.63001999</v>
      </c>
      <c r="F3" s="182">
        <v>-84716237</v>
      </c>
      <c r="G3" s="182">
        <v>78586377</v>
      </c>
      <c r="H3" s="189">
        <f>SUM(F3:G3)</f>
        <v>-6129860</v>
      </c>
      <c r="I3" s="159">
        <f>E3+H3</f>
        <v>142880328.63001999</v>
      </c>
      <c r="J3" s="282"/>
      <c r="M3" s="151" t="s">
        <v>242</v>
      </c>
      <c r="N3" s="151"/>
      <c r="O3" s="214">
        <v>663118.4</v>
      </c>
      <c r="P3" s="225">
        <f t="shared" ref="P3:P8" si="1">E3</f>
        <v>149010188.63001999</v>
      </c>
      <c r="Q3" s="225">
        <f t="shared" ref="Q3:Q8" si="2">G3</f>
        <v>78586377</v>
      </c>
      <c r="R3" s="206">
        <v>4.45E-3</v>
      </c>
      <c r="S3" s="215">
        <f>Q3*R3</f>
        <v>349709.37764999998</v>
      </c>
      <c r="T3" s="225">
        <f t="shared" ref="T3:T8" si="3">F3</f>
        <v>-84716237</v>
      </c>
      <c r="U3" s="206">
        <v>4.45E-3</v>
      </c>
      <c r="V3" s="216">
        <f>T3*U3</f>
        <v>-376987.25465000002</v>
      </c>
      <c r="W3" s="151"/>
      <c r="X3" s="150">
        <f>O3+S3+V3</f>
        <v>635840.52300000004</v>
      </c>
      <c r="Y3" s="151"/>
      <c r="Z3" s="95">
        <f>P3+Q3+T3</f>
        <v>142880328.63001999</v>
      </c>
      <c r="AA3" s="170">
        <f>R3</f>
        <v>4.45E-3</v>
      </c>
      <c r="AB3" s="217">
        <f>Z3*AA3</f>
        <v>635817.46240358893</v>
      </c>
      <c r="AC3" s="150">
        <f>X3-AB3</f>
        <v>23.060596411116421</v>
      </c>
      <c r="AD3" s="95">
        <f>AC3/AA3</f>
        <v>5182.1564968800949</v>
      </c>
      <c r="AE3" s="218">
        <f>AC3/X3</f>
        <v>3.6267893562858719E-5</v>
      </c>
    </row>
    <row r="4" spans="1:31" ht="14.4">
      <c r="A4" s="180" t="s">
        <v>178</v>
      </c>
      <c r="B4" s="152"/>
      <c r="C4" s="158">
        <v>404</v>
      </c>
      <c r="D4" s="282">
        <f t="shared" si="0"/>
        <v>8.1286441434252758E-4</v>
      </c>
      <c r="E4" s="182">
        <v>266055.96100000001</v>
      </c>
      <c r="F4" s="182">
        <v>-178456</v>
      </c>
      <c r="G4" s="182">
        <v>140329</v>
      </c>
      <c r="H4" s="189">
        <f t="shared" ref="H4:H16" si="4">SUM(F4:G4)</f>
        <v>-38127</v>
      </c>
      <c r="I4" s="159">
        <f t="shared" ref="I4:I16" si="5">E4+H4</f>
        <v>227928.96100000001</v>
      </c>
      <c r="J4" s="282"/>
      <c r="M4" s="151" t="s">
        <v>243</v>
      </c>
      <c r="N4" s="151"/>
      <c r="O4" s="214">
        <v>1184.07</v>
      </c>
      <c r="P4" s="225">
        <f t="shared" si="1"/>
        <v>266055.96100000001</v>
      </c>
      <c r="Q4" s="225">
        <f t="shared" si="2"/>
        <v>140329</v>
      </c>
      <c r="R4" s="206">
        <v>4.45E-3</v>
      </c>
      <c r="S4" s="215">
        <f>Q4*R4</f>
        <v>624.46405000000004</v>
      </c>
      <c r="T4" s="225">
        <f t="shared" si="3"/>
        <v>-178456</v>
      </c>
      <c r="U4" s="206">
        <v>4.45E-3</v>
      </c>
      <c r="V4" s="216">
        <f t="shared" ref="V4:V11" si="6">T4*U4</f>
        <v>-794.12919999999997</v>
      </c>
      <c r="W4" s="151"/>
      <c r="X4" s="150">
        <f t="shared" ref="X4:X11" si="7">O4+S4+V4</f>
        <v>1014.40485</v>
      </c>
      <c r="Y4" s="151"/>
      <c r="Z4" s="95">
        <f t="shared" ref="Z4:Z11" si="8">P4+Q4+T4</f>
        <v>227928.96100000001</v>
      </c>
      <c r="AA4" s="170">
        <f t="shared" ref="AA4:AA11" si="9">R4</f>
        <v>4.45E-3</v>
      </c>
      <c r="AB4" s="217">
        <f t="shared" ref="AB4:AB11" si="10">Z4*AA4</f>
        <v>1014.2838764500001</v>
      </c>
      <c r="AC4" s="150">
        <f t="shared" ref="AC4:AC11" si="11">X4-AB4</f>
        <v>0.12097354999991694</v>
      </c>
      <c r="AD4" s="95">
        <f t="shared" ref="AD4:AD11" si="12">AC4/AA4</f>
        <v>27.185067415711671</v>
      </c>
      <c r="AE4" s="218">
        <f t="shared" ref="AE4:AE12" si="13">AC4/X4</f>
        <v>1.1925568967845228E-4</v>
      </c>
    </row>
    <row r="5" spans="1:31" ht="14.4">
      <c r="A5" s="180" t="s">
        <v>132</v>
      </c>
      <c r="B5" s="152"/>
      <c r="C5" s="158">
        <v>22732</v>
      </c>
      <c r="D5" s="282">
        <f t="shared" si="0"/>
        <v>0.12964112364895933</v>
      </c>
      <c r="E5" s="182">
        <v>42432407.089000002</v>
      </c>
      <c r="F5" s="182">
        <v>-22691377</v>
      </c>
      <c r="G5" s="182">
        <v>22318280</v>
      </c>
      <c r="H5" s="189">
        <f t="shared" si="4"/>
        <v>-373097</v>
      </c>
      <c r="I5" s="159">
        <f t="shared" si="5"/>
        <v>42059310.089000002</v>
      </c>
      <c r="J5" s="282"/>
      <c r="M5" s="151" t="s">
        <v>244</v>
      </c>
      <c r="N5" s="151"/>
      <c r="O5" s="214">
        <v>16971.5</v>
      </c>
      <c r="P5" s="225">
        <f t="shared" si="1"/>
        <v>42432407.089000002</v>
      </c>
      <c r="Q5" s="225">
        <f t="shared" si="2"/>
        <v>22318280</v>
      </c>
      <c r="R5" s="219">
        <v>4.0000000000000002E-4</v>
      </c>
      <c r="S5" s="215">
        <f>Q5*R5</f>
        <v>8927.3119999999999</v>
      </c>
      <c r="T5" s="225">
        <f t="shared" si="3"/>
        <v>-22691377</v>
      </c>
      <c r="U5" s="219">
        <v>4.0000000000000002E-4</v>
      </c>
      <c r="V5" s="216">
        <f t="shared" si="6"/>
        <v>-9076.5508000000009</v>
      </c>
      <c r="W5" s="151"/>
      <c r="X5" s="150">
        <f t="shared" si="7"/>
        <v>16822.261199999997</v>
      </c>
      <c r="Y5" s="151"/>
      <c r="Z5" s="95">
        <f t="shared" si="8"/>
        <v>42059310.089000002</v>
      </c>
      <c r="AA5" s="220">
        <f t="shared" si="9"/>
        <v>4.0000000000000002E-4</v>
      </c>
      <c r="AB5" s="217">
        <f t="shared" si="10"/>
        <v>16823.7240356</v>
      </c>
      <c r="AC5" s="150">
        <f t="shared" si="11"/>
        <v>-1.462835600003018</v>
      </c>
      <c r="AD5" s="95">
        <f t="shared" si="12"/>
        <v>-3657.0890000075451</v>
      </c>
      <c r="AE5" s="218">
        <f t="shared" si="13"/>
        <v>-8.695832163175651E-5</v>
      </c>
    </row>
    <row r="6" spans="1:31" ht="14.4">
      <c r="A6" s="180" t="s">
        <v>133</v>
      </c>
      <c r="B6" s="152"/>
      <c r="C6" s="158">
        <v>9406</v>
      </c>
      <c r="D6" s="282">
        <f t="shared" si="0"/>
        <v>1.1207500027901792E-2</v>
      </c>
      <c r="E6" s="182">
        <v>3668289.7390000001</v>
      </c>
      <c r="F6" s="182">
        <v>-2174229</v>
      </c>
      <c r="G6" s="182">
        <v>1934806</v>
      </c>
      <c r="H6" s="189">
        <f t="shared" si="4"/>
        <v>-239423</v>
      </c>
      <c r="I6" s="159">
        <f t="shared" si="5"/>
        <v>3428866.7390000001</v>
      </c>
      <c r="J6" s="282"/>
      <c r="M6" s="151" t="s">
        <v>245</v>
      </c>
      <c r="N6" s="151"/>
      <c r="O6" s="214">
        <v>1466.3</v>
      </c>
      <c r="P6" s="225">
        <f t="shared" si="1"/>
        <v>3668289.7390000001</v>
      </c>
      <c r="Q6" s="225">
        <f t="shared" si="2"/>
        <v>1934806</v>
      </c>
      <c r="R6" s="219">
        <v>4.0000000000000002E-4</v>
      </c>
      <c r="S6" s="215">
        <f t="shared" ref="S6:S11" si="14">Q6*R6</f>
        <v>773.92240000000004</v>
      </c>
      <c r="T6" s="225">
        <f t="shared" si="3"/>
        <v>-2174229</v>
      </c>
      <c r="U6" s="219">
        <v>4.0000000000000002E-4</v>
      </c>
      <c r="V6" s="216">
        <f t="shared" si="6"/>
        <v>-869.69159999999999</v>
      </c>
      <c r="W6" s="151"/>
      <c r="X6" s="150">
        <f t="shared" si="7"/>
        <v>1370.5308</v>
      </c>
      <c r="Y6" s="151"/>
      <c r="Z6" s="95">
        <f t="shared" si="8"/>
        <v>3428866.7390000001</v>
      </c>
      <c r="AA6" s="220">
        <f t="shared" si="9"/>
        <v>4.0000000000000002E-4</v>
      </c>
      <c r="AB6" s="217">
        <f t="shared" si="10"/>
        <v>1371.5466956</v>
      </c>
      <c r="AC6" s="150">
        <f t="shared" si="11"/>
        <v>-1.0158956000000217</v>
      </c>
      <c r="AD6" s="95">
        <f t="shared" si="12"/>
        <v>-2539.7390000000541</v>
      </c>
      <c r="AE6" s="218">
        <f t="shared" si="13"/>
        <v>-7.4124244416836282E-4</v>
      </c>
    </row>
    <row r="7" spans="1:31" ht="14.4">
      <c r="A7" s="180" t="s">
        <v>134</v>
      </c>
      <c r="B7" s="152"/>
      <c r="C7" s="158">
        <v>1853</v>
      </c>
      <c r="D7" s="282">
        <f t="shared" si="0"/>
        <v>0.33973285217205168</v>
      </c>
      <c r="E7" s="182">
        <v>111196835.38</v>
      </c>
      <c r="F7" s="182">
        <v>-58100808</v>
      </c>
      <c r="G7" s="182">
        <v>58325794</v>
      </c>
      <c r="H7" s="189">
        <f t="shared" si="4"/>
        <v>224986</v>
      </c>
      <c r="I7" s="159">
        <f t="shared" si="5"/>
        <v>111421821.38</v>
      </c>
      <c r="J7" s="282"/>
      <c r="M7" s="151" t="s">
        <v>246</v>
      </c>
      <c r="N7" s="151"/>
      <c r="O7" s="214">
        <v>44478.61</v>
      </c>
      <c r="P7" s="225">
        <f t="shared" si="1"/>
        <v>111196835.38</v>
      </c>
      <c r="Q7" s="225">
        <f t="shared" si="2"/>
        <v>58325794</v>
      </c>
      <c r="R7" s="219">
        <v>4.0000000000000002E-4</v>
      </c>
      <c r="S7" s="215">
        <f t="shared" si="14"/>
        <v>23330.317600000002</v>
      </c>
      <c r="T7" s="225">
        <f t="shared" si="3"/>
        <v>-58100808</v>
      </c>
      <c r="U7" s="219">
        <v>4.0000000000000002E-4</v>
      </c>
      <c r="V7" s="216">
        <f t="shared" si="6"/>
        <v>-23240.323200000003</v>
      </c>
      <c r="W7" s="151"/>
      <c r="X7" s="150">
        <f t="shared" si="7"/>
        <v>44568.604399999997</v>
      </c>
      <c r="Y7" s="151"/>
      <c r="Z7" s="95">
        <f t="shared" si="8"/>
        <v>111421821.38</v>
      </c>
      <c r="AA7" s="220">
        <f t="shared" si="9"/>
        <v>4.0000000000000002E-4</v>
      </c>
      <c r="AB7" s="217">
        <f t="shared" si="10"/>
        <v>44568.728552</v>
      </c>
      <c r="AC7" s="150">
        <f t="shared" si="11"/>
        <v>-0.12415200000395998</v>
      </c>
      <c r="AD7" s="95">
        <f t="shared" si="12"/>
        <v>-310.38000000989996</v>
      </c>
      <c r="AE7" s="218">
        <f t="shared" si="13"/>
        <v>-2.7856380444338075E-6</v>
      </c>
    </row>
    <row r="8" spans="1:31" ht="14.4">
      <c r="A8" s="180" t="s">
        <v>135</v>
      </c>
      <c r="B8" s="152"/>
      <c r="C8" s="158">
        <v>48</v>
      </c>
      <c r="D8" s="282">
        <f t="shared" si="0"/>
        <v>6.7712541988598062E-3</v>
      </c>
      <c r="E8" s="182">
        <v>2216276.7999999998</v>
      </c>
      <c r="F8" s="182">
        <v>-1262352</v>
      </c>
      <c r="G8" s="182">
        <v>1168955</v>
      </c>
      <c r="H8" s="189">
        <f t="shared" si="4"/>
        <v>-93397</v>
      </c>
      <c r="I8" s="159">
        <f t="shared" si="5"/>
        <v>2122879.7999999998</v>
      </c>
      <c r="J8" s="282"/>
      <c r="M8" s="151" t="s">
        <v>247</v>
      </c>
      <c r="N8" s="151"/>
      <c r="O8" s="214">
        <v>886.5</v>
      </c>
      <c r="P8" s="225">
        <f t="shared" si="1"/>
        <v>2216276.7999999998</v>
      </c>
      <c r="Q8" s="225">
        <f t="shared" si="2"/>
        <v>1168955</v>
      </c>
      <c r="R8" s="219">
        <v>4.0000000000000002E-4</v>
      </c>
      <c r="S8" s="215">
        <f t="shared" si="14"/>
        <v>467.58200000000005</v>
      </c>
      <c r="T8" s="225">
        <f t="shared" si="3"/>
        <v>-1262352</v>
      </c>
      <c r="U8" s="219">
        <v>4.0000000000000002E-4</v>
      </c>
      <c r="V8" s="216">
        <f t="shared" si="6"/>
        <v>-504.94080000000002</v>
      </c>
      <c r="W8" s="151"/>
      <c r="X8" s="150">
        <f t="shared" si="7"/>
        <v>849.14120000000003</v>
      </c>
      <c r="Y8" s="151"/>
      <c r="Z8" s="95">
        <f t="shared" si="8"/>
        <v>2122879.7999999998</v>
      </c>
      <c r="AA8" s="220">
        <f t="shared" si="9"/>
        <v>4.0000000000000002E-4</v>
      </c>
      <c r="AB8" s="217">
        <f t="shared" si="10"/>
        <v>849.15192000000002</v>
      </c>
      <c r="AC8" s="150">
        <f t="shared" si="11"/>
        <v>-1.0719999999992069E-2</v>
      </c>
      <c r="AD8" s="95">
        <f t="shared" si="12"/>
        <v>-26.799999999980173</v>
      </c>
      <c r="AE8" s="218">
        <f t="shared" si="13"/>
        <v>-1.2624519926711916E-5</v>
      </c>
    </row>
    <row r="9" spans="1:31" ht="14.4">
      <c r="A9" s="180" t="s">
        <v>136</v>
      </c>
      <c r="B9" s="152"/>
      <c r="C9" s="158">
        <v>23</v>
      </c>
      <c r="D9" s="194"/>
      <c r="E9" s="182">
        <f>94067376.9-E10</f>
        <v>60274939.500000007</v>
      </c>
      <c r="F9" s="182">
        <v>-57404792</v>
      </c>
      <c r="G9" s="182">
        <f>94046228-G10</f>
        <v>59046228</v>
      </c>
      <c r="H9" s="189">
        <f t="shared" si="4"/>
        <v>1641436</v>
      </c>
      <c r="I9" s="159">
        <f t="shared" si="5"/>
        <v>61916375.500000007</v>
      </c>
      <c r="J9" s="282"/>
      <c r="M9" s="151" t="s">
        <v>248</v>
      </c>
      <c r="N9" s="151"/>
      <c r="O9" s="214">
        <v>2155.46</v>
      </c>
      <c r="P9" s="225">
        <f>E11</f>
        <v>5388708.7680000002</v>
      </c>
      <c r="Q9" s="225">
        <f>G11</f>
        <v>0</v>
      </c>
      <c r="R9" s="219">
        <v>4.0000000000000002E-4</v>
      </c>
      <c r="S9" s="215">
        <f t="shared" si="14"/>
        <v>0</v>
      </c>
      <c r="T9" s="225">
        <f>F11</f>
        <v>0</v>
      </c>
      <c r="U9" s="219">
        <v>4.0000000000000002E-4</v>
      </c>
      <c r="V9" s="216">
        <f t="shared" si="6"/>
        <v>0</v>
      </c>
      <c r="W9" s="151"/>
      <c r="X9" s="150">
        <f t="shared" si="7"/>
        <v>2155.46</v>
      </c>
      <c r="Y9" s="151"/>
      <c r="Z9" s="95">
        <f t="shared" si="8"/>
        <v>5388708.7680000002</v>
      </c>
      <c r="AA9" s="220">
        <f t="shared" si="9"/>
        <v>4.0000000000000002E-4</v>
      </c>
      <c r="AB9" s="217">
        <f t="shared" si="10"/>
        <v>2155.4835072000001</v>
      </c>
      <c r="AC9" s="150">
        <f t="shared" si="11"/>
        <v>-2.3507200000040029E-2</v>
      </c>
      <c r="AD9" s="95">
        <f t="shared" si="12"/>
        <v>-58.768000000100074</v>
      </c>
      <c r="AE9" s="218">
        <f t="shared" si="13"/>
        <v>-1.0905885518654964E-5</v>
      </c>
    </row>
    <row r="10" spans="1:31" ht="14.4">
      <c r="A10" s="180" t="s">
        <v>179</v>
      </c>
      <c r="B10" s="152"/>
      <c r="C10" s="158"/>
      <c r="D10" s="194"/>
      <c r="E10" s="182">
        <v>33792437.399999999</v>
      </c>
      <c r="F10" s="182">
        <v>-35000000</v>
      </c>
      <c r="G10" s="182">
        <v>35000000</v>
      </c>
      <c r="H10" s="189">
        <f t="shared" si="4"/>
        <v>0</v>
      </c>
      <c r="I10" s="159">
        <f t="shared" si="5"/>
        <v>33792437.399999999</v>
      </c>
      <c r="J10" s="282"/>
      <c r="M10" s="151" t="s">
        <v>249</v>
      </c>
      <c r="N10" s="151"/>
      <c r="O10" s="214">
        <v>4911.2299999999996</v>
      </c>
      <c r="P10" s="225">
        <f>E12</f>
        <v>12227010.183</v>
      </c>
      <c r="Q10" s="225">
        <f>G12</f>
        <v>4808391</v>
      </c>
      <c r="R10" s="219">
        <v>4.0000000000000002E-4</v>
      </c>
      <c r="S10" s="215">
        <f t="shared" si="14"/>
        <v>1923.3564000000001</v>
      </c>
      <c r="T10" s="225">
        <f>F12</f>
        <v>-2683359</v>
      </c>
      <c r="U10" s="219">
        <v>4.0000000000000002E-4</v>
      </c>
      <c r="V10" s="216">
        <f t="shared" si="6"/>
        <v>-1073.3436000000002</v>
      </c>
      <c r="W10" s="151"/>
      <c r="X10" s="150">
        <f>O10+S10+V10</f>
        <v>5761.2428</v>
      </c>
      <c r="Y10" s="151"/>
      <c r="Z10" s="95">
        <f t="shared" si="8"/>
        <v>14352042.182999998</v>
      </c>
      <c r="AA10" s="220">
        <f t="shared" si="9"/>
        <v>4.0000000000000002E-4</v>
      </c>
      <c r="AB10" s="217">
        <f t="shared" si="10"/>
        <v>5740.8168731999995</v>
      </c>
      <c r="AC10" s="150">
        <f t="shared" si="11"/>
        <v>20.425926800000525</v>
      </c>
      <c r="AD10" s="95">
        <f t="shared" si="12"/>
        <v>51064.817000001312</v>
      </c>
      <c r="AE10" s="218">
        <f t="shared" si="13"/>
        <v>3.5454028773098272E-3</v>
      </c>
    </row>
    <row r="11" spans="1:31" ht="14.4">
      <c r="A11" s="180" t="s">
        <v>180</v>
      </c>
      <c r="B11" s="152"/>
      <c r="C11" s="158">
        <v>49</v>
      </c>
      <c r="D11" s="282">
        <f>E11/(SUM($E$3:$E$8,$E$11:$E$13))</f>
        <v>1.6463790475879484E-2</v>
      </c>
      <c r="E11" s="182">
        <v>5388708.7680000002</v>
      </c>
      <c r="F11" s="182">
        <v>0</v>
      </c>
      <c r="G11" s="182">
        <v>0</v>
      </c>
      <c r="H11" s="189">
        <f t="shared" si="4"/>
        <v>0</v>
      </c>
      <c r="I11" s="159">
        <f t="shared" si="5"/>
        <v>5388708.7680000002</v>
      </c>
      <c r="J11" s="282"/>
      <c r="M11" s="151" t="s">
        <v>250</v>
      </c>
      <c r="N11" s="151"/>
      <c r="O11" s="214">
        <v>360.21</v>
      </c>
      <c r="P11" s="225">
        <f>E13</f>
        <v>900917.60100000002</v>
      </c>
      <c r="Q11" s="225">
        <f>G13</f>
        <v>274178</v>
      </c>
      <c r="R11" s="219">
        <v>4.0000000000000002E-4</v>
      </c>
      <c r="S11" s="215">
        <f t="shared" si="14"/>
        <v>109.6712</v>
      </c>
      <c r="T11" s="225">
        <f>F13</f>
        <v>-181337</v>
      </c>
      <c r="U11" s="219">
        <v>4.0000000000000002E-4</v>
      </c>
      <c r="V11" s="216">
        <f t="shared" si="6"/>
        <v>-72.534800000000004</v>
      </c>
      <c r="W11" s="151"/>
      <c r="X11" s="150">
        <f t="shared" si="7"/>
        <v>397.34639999999996</v>
      </c>
      <c r="Y11" s="151"/>
      <c r="Z11" s="95">
        <f t="shared" si="8"/>
        <v>993758.60100000002</v>
      </c>
      <c r="AA11" s="220">
        <f t="shared" si="9"/>
        <v>4.0000000000000002E-4</v>
      </c>
      <c r="AB11" s="217">
        <f t="shared" si="10"/>
        <v>397.50344040000004</v>
      </c>
      <c r="AC11" s="150">
        <f t="shared" si="11"/>
        <v>-0.1570404000000849</v>
      </c>
      <c r="AD11" s="95">
        <f t="shared" si="12"/>
        <v>-392.60100000021225</v>
      </c>
      <c r="AE11" s="218">
        <f t="shared" si="13"/>
        <v>-3.9522290877703917E-4</v>
      </c>
    </row>
    <row r="12" spans="1:31" ht="14.4">
      <c r="A12" s="180" t="s">
        <v>137</v>
      </c>
      <c r="B12" s="152"/>
      <c r="C12" s="158">
        <v>1202</v>
      </c>
      <c r="D12" s="282">
        <f>E12/(SUM($E$3:$E$8,$E$11:$E$13))</f>
        <v>3.7356432211509125E-2</v>
      </c>
      <c r="E12" s="182">
        <v>12227010.183</v>
      </c>
      <c r="F12" s="182">
        <v>-2683359</v>
      </c>
      <c r="G12" s="182">
        <v>4808391</v>
      </c>
      <c r="H12" s="189">
        <f t="shared" si="4"/>
        <v>2125032</v>
      </c>
      <c r="I12" s="159">
        <f t="shared" si="5"/>
        <v>14352042.183</v>
      </c>
      <c r="J12" s="282"/>
      <c r="M12" s="151"/>
      <c r="N12" s="151"/>
      <c r="O12" s="221">
        <f>SUM(O3:O11)</f>
        <v>735532.27999999991</v>
      </c>
      <c r="P12" s="51">
        <f>SUM(P3:P11)</f>
        <v>327306690.15101999</v>
      </c>
      <c r="Q12" s="51">
        <f>SUM(Q3:Q11)</f>
        <v>167557110</v>
      </c>
      <c r="R12" s="151"/>
      <c r="S12" s="221">
        <f>SUM(S3:S11)</f>
        <v>385866.00329999992</v>
      </c>
      <c r="T12" s="51">
        <f>SUM(T3:T11)</f>
        <v>-171988155</v>
      </c>
      <c r="U12" s="151"/>
      <c r="V12" s="221">
        <f>SUM(V3:V11)</f>
        <v>-412618.7686500001</v>
      </c>
      <c r="W12" s="151"/>
      <c r="X12" s="221">
        <f>SUM(X3:X11)</f>
        <v>708779.51464999991</v>
      </c>
      <c r="Y12" s="151"/>
      <c r="Z12" s="51">
        <f>SUM(Z3:Z11)</f>
        <v>322875645.15101999</v>
      </c>
      <c r="AA12" s="151"/>
      <c r="AB12" s="51">
        <f>SUM(AB3:AB11)</f>
        <v>708738.70130403899</v>
      </c>
      <c r="AC12" s="221">
        <f>SUM(AC3:AC11)</f>
        <v>40.813345961109746</v>
      </c>
      <c r="AD12" s="51">
        <f>SUM(AD3:AD11)</f>
        <v>49288.781564279328</v>
      </c>
      <c r="AE12" s="218">
        <f t="shared" si="13"/>
        <v>5.7582569921287374E-5</v>
      </c>
    </row>
    <row r="13" spans="1:31" ht="14.4">
      <c r="A13" s="180" t="s">
        <v>138</v>
      </c>
      <c r="B13" s="152"/>
      <c r="C13" s="158">
        <v>1196</v>
      </c>
      <c r="D13" s="282">
        <f>E13/(SUM($E$3:$E$8,$E$11:$E$13))</f>
        <v>2.7525181369935175E-3</v>
      </c>
      <c r="E13" s="182">
        <v>900917.60100000002</v>
      </c>
      <c r="F13" s="182">
        <v>-181337</v>
      </c>
      <c r="G13" s="182">
        <v>274178</v>
      </c>
      <c r="H13" s="189">
        <f t="shared" si="4"/>
        <v>92841</v>
      </c>
      <c r="I13" s="159">
        <f t="shared" si="5"/>
        <v>993758.60100000002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425</v>
      </c>
      <c r="D14" s="194"/>
      <c r="E14" s="182">
        <v>907027.47</v>
      </c>
      <c r="F14" s="182"/>
      <c r="G14" s="182"/>
      <c r="H14" s="189"/>
      <c r="I14" s="159">
        <f t="shared" si="5"/>
        <v>907027.47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417708.83600000001</v>
      </c>
      <c r="F15" s="182"/>
      <c r="G15" s="182"/>
      <c r="H15" s="189">
        <f t="shared" si="4"/>
        <v>0</v>
      </c>
      <c r="I15" s="159">
        <f t="shared" si="5"/>
        <v>417708.83600000001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607128.45038274571</v>
      </c>
      <c r="Y15" s="151"/>
      <c r="Z15" s="151" t="s">
        <v>19</v>
      </c>
      <c r="AA15" s="50">
        <f>P3+P4+Q3+Q4+T3+T4</f>
        <v>143108257.59101999</v>
      </c>
      <c r="AB15" s="170">
        <v>4.2399999999999998E-3</v>
      </c>
      <c r="AC15" s="150">
        <f>AA15*AB15</f>
        <v>606779.01218592469</v>
      </c>
      <c r="AD15" s="150">
        <f>X15-AC15</f>
        <v>349.43819682102185</v>
      </c>
      <c r="AE15" s="218">
        <f>AD15/X15</f>
        <v>5.75558922664107E-4</v>
      </c>
    </row>
    <row r="16" spans="1:31" ht="14.4">
      <c r="A16" s="180" t="s">
        <v>183</v>
      </c>
      <c r="B16" s="152"/>
      <c r="C16" s="158"/>
      <c r="D16" s="195"/>
      <c r="E16" s="182">
        <v>219539.967</v>
      </c>
      <c r="F16" s="182"/>
      <c r="G16" s="182"/>
      <c r="H16" s="189">
        <f t="shared" si="4"/>
        <v>0</v>
      </c>
      <c r="I16" s="159">
        <f t="shared" si="5"/>
        <v>219539.967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68567.362861936403</v>
      </c>
      <c r="Y16" s="151"/>
      <c r="Z16" s="151" t="s">
        <v>184</v>
      </c>
      <c r="AA16" s="50">
        <f>SUM(P5:Q11,T5:T11)</f>
        <v>179767387.56000003</v>
      </c>
      <c r="AB16" s="170">
        <v>3.8000000000000002E-4</v>
      </c>
      <c r="AC16" s="150">
        <f>AA16*AB16</f>
        <v>68311.607272800014</v>
      </c>
      <c r="AD16" s="150">
        <f>X16-AC16</f>
        <v>255.75558913638815</v>
      </c>
      <c r="AE16" s="218">
        <f>AD16/X16</f>
        <v>3.7299901653117971E-3</v>
      </c>
    </row>
    <row r="17" spans="1:26" ht="14.4">
      <c r="A17" s="152"/>
      <c r="B17" s="152"/>
      <c r="C17" s="160">
        <f>SUM(C3:C16)</f>
        <v>251763</v>
      </c>
      <c r="E17" s="160">
        <f>SUM(E3:E16)</f>
        <v>422918343.32402003</v>
      </c>
      <c r="F17" s="160">
        <f>SUM(F3:F16)</f>
        <v>-264392947</v>
      </c>
      <c r="G17" s="160">
        <f>SUM(G3:G16)</f>
        <v>261603338</v>
      </c>
      <c r="H17" s="160">
        <f>SUM(H3:H16)</f>
        <v>-2789609</v>
      </c>
      <c r="I17" s="160">
        <f>SUM(I3:I16)</f>
        <v>420128734.32402003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214829</v>
      </c>
      <c r="E19" s="162">
        <f>E3+E4</f>
        <v>149276244.59101999</v>
      </c>
      <c r="F19" s="162">
        <f>F3+F4</f>
        <v>-84894693</v>
      </c>
      <c r="G19" s="162">
        <f>G3+G4</f>
        <v>78726706</v>
      </c>
      <c r="H19" s="162">
        <f>H3+H4</f>
        <v>-6167987</v>
      </c>
      <c r="I19" s="161">
        <f>I3+I4</f>
        <v>143108257.59101999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36486</v>
      </c>
      <c r="E21" s="178">
        <f>SUM(E5:E8,E11:E13)</f>
        <v>178030445.56000003</v>
      </c>
      <c r="F21" s="178">
        <f>SUM(F5:F8,F11:F13)</f>
        <v>-87093462</v>
      </c>
      <c r="G21" s="178">
        <f>SUM(G5:G8,G11:G13)</f>
        <v>88830404</v>
      </c>
      <c r="H21" s="178">
        <f>SUM(H5:H8,H11:H13)</f>
        <v>1736942</v>
      </c>
      <c r="I21" s="177">
        <f>SUM(I5:I8,I11:I13)</f>
        <v>179767387.56000003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1996124.5</v>
      </c>
      <c r="D24" s="181">
        <v>13680604.449999999</v>
      </c>
      <c r="E24" s="183">
        <v>-8173540</v>
      </c>
      <c r="F24" s="183">
        <v>7557929</v>
      </c>
      <c r="G24" s="174">
        <f>SUM(D24:F24)</f>
        <v>13064993.449999999</v>
      </c>
      <c r="H24" s="174">
        <f>-K62</f>
        <v>157934.39693999998</v>
      </c>
      <c r="I24" s="174">
        <f>SUM(G24:H24)</f>
        <v>13222927.84694</v>
      </c>
    </row>
    <row r="25" spans="1:26">
      <c r="A25" s="180" t="s">
        <v>178</v>
      </c>
      <c r="B25" s="152"/>
      <c r="C25" s="181">
        <v>3645</v>
      </c>
      <c r="D25" s="181">
        <v>24356.99</v>
      </c>
      <c r="E25" s="183">
        <v>-11339</v>
      </c>
      <c r="F25" s="183">
        <v>9170</v>
      </c>
      <c r="G25" s="174">
        <f t="shared" ref="G25:G33" si="15">SUM(D25:F25)</f>
        <v>22187.99</v>
      </c>
      <c r="H25" s="174">
        <f t="shared" ref="H25:H30" si="16">-K63</f>
        <v>-714.63701000000015</v>
      </c>
      <c r="I25" s="174">
        <f t="shared" ref="I25:I34" si="17">SUM(G25:H25)</f>
        <v>21473.352990000003</v>
      </c>
    </row>
    <row r="26" spans="1:26">
      <c r="A26" s="180" t="s">
        <v>132</v>
      </c>
      <c r="B26" s="152"/>
      <c r="C26" s="181">
        <v>462133.45</v>
      </c>
      <c r="D26" s="181">
        <v>5103412.7799999993</v>
      </c>
      <c r="E26" s="183">
        <v>-2727768</v>
      </c>
      <c r="F26" s="183">
        <v>2630163</v>
      </c>
      <c r="G26" s="174">
        <f t="shared" si="15"/>
        <v>5005807.7799999993</v>
      </c>
      <c r="H26" s="174">
        <f t="shared" si="16"/>
        <v>44189.48646</v>
      </c>
      <c r="I26" s="174">
        <f t="shared" si="17"/>
        <v>5049997.2664599996</v>
      </c>
    </row>
    <row r="27" spans="1:26">
      <c r="A27" s="180" t="s">
        <v>133</v>
      </c>
      <c r="B27" s="152"/>
      <c r="C27" s="181">
        <v>190245.46</v>
      </c>
      <c r="D27" s="181">
        <v>597530.71</v>
      </c>
      <c r="E27" s="183">
        <v>-349193</v>
      </c>
      <c r="F27" s="183">
        <v>316539</v>
      </c>
      <c r="G27" s="174">
        <f t="shared" si="15"/>
        <v>564876.71</v>
      </c>
      <c r="H27" s="174">
        <f t="shared" si="16"/>
        <v>4875.2521899999992</v>
      </c>
      <c r="I27" s="174">
        <f t="shared" si="17"/>
        <v>569751.96218999999</v>
      </c>
    </row>
    <row r="28" spans="1:26">
      <c r="A28" s="180" t="s">
        <v>134</v>
      </c>
      <c r="B28" s="152"/>
      <c r="C28" s="181">
        <v>927389.98</v>
      </c>
      <c r="D28" s="181">
        <v>10304256.229999999</v>
      </c>
      <c r="E28" s="183">
        <v>-4819547</v>
      </c>
      <c r="F28" s="183">
        <v>4745224</v>
      </c>
      <c r="G28" s="174">
        <f t="shared" si="15"/>
        <v>10229933.229999999</v>
      </c>
      <c r="H28" s="174">
        <f t="shared" si="16"/>
        <v>82960.957340000008</v>
      </c>
      <c r="I28" s="174">
        <f t="shared" si="17"/>
        <v>10312894.187339999</v>
      </c>
    </row>
    <row r="29" spans="1:26">
      <c r="A29" s="180" t="s">
        <v>135</v>
      </c>
      <c r="B29" s="152"/>
      <c r="C29" s="181">
        <v>24000</v>
      </c>
      <c r="D29" s="181">
        <v>203023.03000000003</v>
      </c>
      <c r="E29" s="183">
        <v>-107104</v>
      </c>
      <c r="F29" s="183">
        <v>98074</v>
      </c>
      <c r="G29" s="174">
        <f t="shared" si="15"/>
        <v>193993.03000000003</v>
      </c>
      <c r="H29" s="174">
        <f t="shared" si="16"/>
        <v>2034.46792</v>
      </c>
      <c r="I29" s="174">
        <f t="shared" si="17"/>
        <v>196027.49792000002</v>
      </c>
    </row>
    <row r="30" spans="1:26">
      <c r="A30" s="180" t="s">
        <v>136</v>
      </c>
      <c r="B30" s="152"/>
      <c r="C30" s="181">
        <v>552000</v>
      </c>
      <c r="D30" s="181">
        <v>5628281.6299999999</v>
      </c>
      <c r="E30" s="183">
        <v>-6174557</v>
      </c>
      <c r="F30" s="183">
        <v>5918000</v>
      </c>
      <c r="G30" s="174">
        <f t="shared" si="15"/>
        <v>5371724.6299999999</v>
      </c>
      <c r="H30" s="174">
        <f t="shared" si="16"/>
        <v>83457.888200000016</v>
      </c>
      <c r="I30" s="174">
        <f t="shared" si="17"/>
        <v>5455182.5181999998</v>
      </c>
      <c r="J30" s="283"/>
    </row>
    <row r="31" spans="1:26">
      <c r="A31" s="180" t="s">
        <v>180</v>
      </c>
      <c r="B31" s="152"/>
      <c r="C31" s="181">
        <v>980</v>
      </c>
      <c r="D31" s="181">
        <v>375032.20999999996</v>
      </c>
      <c r="E31" s="183">
        <v>0</v>
      </c>
      <c r="F31" s="183">
        <v>0</v>
      </c>
      <c r="G31" s="174">
        <f t="shared" si="15"/>
        <v>375032.20999999996</v>
      </c>
      <c r="H31" s="174">
        <f>-K69</f>
        <v>0</v>
      </c>
      <c r="I31" s="174">
        <f t="shared" si="17"/>
        <v>375032.20999999996</v>
      </c>
    </row>
    <row r="32" spans="1:26">
      <c r="A32" s="180" t="s">
        <v>137</v>
      </c>
      <c r="B32" s="152"/>
      <c r="C32" s="181">
        <v>24160</v>
      </c>
      <c r="D32" s="181">
        <v>1011285.75</v>
      </c>
      <c r="E32" s="183">
        <v>-165633</v>
      </c>
      <c r="F32" s="183">
        <v>278734</v>
      </c>
      <c r="G32" s="174">
        <f t="shared" si="15"/>
        <v>1124386.75</v>
      </c>
      <c r="H32" s="174">
        <f>-K70</f>
        <v>-8840.1331200000004</v>
      </c>
      <c r="I32" s="174">
        <f t="shared" si="17"/>
        <v>1115546.6168800001</v>
      </c>
    </row>
    <row r="33" spans="1:13">
      <c r="A33" s="180" t="s">
        <v>138</v>
      </c>
      <c r="B33" s="152"/>
      <c r="C33" s="181">
        <v>24120</v>
      </c>
      <c r="D33" s="181">
        <v>100638.78</v>
      </c>
      <c r="E33" s="183">
        <v>-27222</v>
      </c>
      <c r="F33" s="183">
        <v>33875</v>
      </c>
      <c r="G33" s="174">
        <f t="shared" si="15"/>
        <v>107291.78</v>
      </c>
      <c r="H33" s="174">
        <f>-K71</f>
        <v>5939.8909499999991</v>
      </c>
      <c r="I33" s="174">
        <f t="shared" si="17"/>
        <v>113231.67095</v>
      </c>
    </row>
    <row r="34" spans="1:13">
      <c r="A34" s="180" t="s">
        <v>192</v>
      </c>
      <c r="B34" s="152"/>
      <c r="C34" s="174"/>
      <c r="D34" s="181">
        <v>558015.03</v>
      </c>
      <c r="E34" s="181"/>
      <c r="F34" s="181"/>
      <c r="G34" s="174">
        <f>SUM(D34:F34)</f>
        <v>558015.03</v>
      </c>
      <c r="H34" s="174"/>
      <c r="I34" s="174">
        <f t="shared" si="17"/>
        <v>558015.03</v>
      </c>
    </row>
    <row r="35" spans="1:13">
      <c r="A35" s="180" t="s">
        <v>193</v>
      </c>
      <c r="B35" s="152"/>
      <c r="C35" s="194"/>
      <c r="D35" s="181">
        <v>1998448.74</v>
      </c>
      <c r="E35" s="181"/>
      <c r="F35" s="181"/>
      <c r="G35" s="174"/>
      <c r="H35" s="174"/>
      <c r="I35" s="174"/>
    </row>
    <row r="36" spans="1:13">
      <c r="A36" s="180" t="s">
        <v>194</v>
      </c>
      <c r="B36" s="152"/>
      <c r="C36" s="194"/>
      <c r="D36" s="181">
        <v>1469523.4200000002</v>
      </c>
      <c r="E36" s="181"/>
      <c r="F36" s="181"/>
      <c r="G36" s="174"/>
      <c r="H36" s="174"/>
      <c r="I36" s="174"/>
    </row>
    <row r="37" spans="1:13">
      <c r="A37" s="152"/>
      <c r="B37" s="152"/>
      <c r="C37" s="166">
        <f t="shared" ref="C37:I37" si="18">SUM(C24:C36)</f>
        <v>4204798.3900000006</v>
      </c>
      <c r="D37" s="166">
        <f t="shared" si="18"/>
        <v>41054409.750000007</v>
      </c>
      <c r="E37" s="166">
        <f t="shared" si="18"/>
        <v>-22555903</v>
      </c>
      <c r="F37" s="166">
        <f t="shared" si="18"/>
        <v>21587708</v>
      </c>
      <c r="G37" s="166">
        <f t="shared" si="18"/>
        <v>36618242.590000004</v>
      </c>
      <c r="H37" s="166">
        <f t="shared" si="18"/>
        <v>371837.56986999995</v>
      </c>
      <c r="I37" s="166">
        <f t="shared" si="18"/>
        <v>36990080.159869999</v>
      </c>
    </row>
    <row r="38" spans="1:13" ht="14.4" thickBot="1">
      <c r="A38" s="152"/>
      <c r="B38" s="152"/>
      <c r="D38" s="167"/>
      <c r="E38" s="152"/>
      <c r="F38" s="152"/>
    </row>
    <row r="39" spans="1:13">
      <c r="A39" s="152" t="s">
        <v>19</v>
      </c>
      <c r="B39" s="152"/>
      <c r="C39" s="169">
        <f t="shared" ref="C39:I39" si="19">C24+C25</f>
        <v>1999769.5</v>
      </c>
      <c r="D39" s="168">
        <f t="shared" si="19"/>
        <v>13704961.439999999</v>
      </c>
      <c r="E39" s="168">
        <f t="shared" si="19"/>
        <v>-8184879</v>
      </c>
      <c r="F39" s="168">
        <f t="shared" si="19"/>
        <v>7567099</v>
      </c>
      <c r="G39" s="168">
        <f t="shared" si="19"/>
        <v>13087181.439999999</v>
      </c>
      <c r="H39" s="168">
        <f t="shared" si="19"/>
        <v>157219.75992999997</v>
      </c>
      <c r="I39" s="169">
        <f t="shared" si="19"/>
        <v>13244401.199929999</v>
      </c>
    </row>
    <row r="40" spans="1:13" ht="6" customHeight="1">
      <c r="A40" s="152"/>
      <c r="B40" s="152"/>
      <c r="C40" s="173"/>
      <c r="D40" s="168"/>
      <c r="E40" s="152"/>
      <c r="F40" s="152"/>
      <c r="I40" s="190"/>
    </row>
    <row r="41" spans="1:13" ht="14.4" thickBot="1">
      <c r="A41" s="152" t="s">
        <v>184</v>
      </c>
      <c r="B41" s="152"/>
      <c r="C41" s="175">
        <f>SUM(C26:C29,C31:C33)</f>
        <v>1653028.8900000001</v>
      </c>
      <c r="D41" s="176">
        <f t="shared" ref="D41:I41" si="20">SUM(D26:D29,D31:D33)</f>
        <v>17695179.489999998</v>
      </c>
      <c r="E41" s="176">
        <f t="shared" si="20"/>
        <v>-8196467</v>
      </c>
      <c r="F41" s="176">
        <f t="shared" si="20"/>
        <v>8102609</v>
      </c>
      <c r="G41" s="176">
        <f t="shared" si="20"/>
        <v>17601321.489999998</v>
      </c>
      <c r="H41" s="176">
        <f t="shared" si="20"/>
        <v>131159.92173999999</v>
      </c>
      <c r="I41" s="175">
        <f t="shared" si="20"/>
        <v>17732481.411739998</v>
      </c>
    </row>
    <row r="42" spans="1:13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3">
      <c r="C43" s="191">
        <v>43040</v>
      </c>
      <c r="D43" s="191">
        <v>43252</v>
      </c>
      <c r="E43" s="196">
        <v>43040</v>
      </c>
      <c r="F43" s="192">
        <v>42278</v>
      </c>
      <c r="G43" s="191">
        <v>42583</v>
      </c>
      <c r="H43" s="191">
        <v>43009</v>
      </c>
      <c r="I43" s="191">
        <v>42380</v>
      </c>
      <c r="J43" s="191">
        <v>42917</v>
      </c>
      <c r="K43" s="191"/>
      <c r="L43" s="196"/>
    </row>
    <row r="44" spans="1:13" ht="42" customHeight="1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211" t="s">
        <v>229</v>
      </c>
      <c r="L44" s="1" t="s">
        <v>230</v>
      </c>
    </row>
    <row r="45" spans="1:13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-5.6999999999999998E-4</v>
      </c>
      <c r="K45" s="171">
        <f t="shared" ref="K45:K57" si="21">SUM(B45:I45)</f>
        <v>6.7099999999999998E-3</v>
      </c>
      <c r="L45" s="212">
        <f t="shared" ref="L45:L57" si="22">K45*G3</f>
        <v>527314.58967000002</v>
      </c>
      <c r="M45" s="212"/>
    </row>
    <row r="46" spans="1:13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-5.6999999999999998E-4</v>
      </c>
      <c r="K46" s="171">
        <f t="shared" si="21"/>
        <v>-2.4820000000000005E-2</v>
      </c>
      <c r="L46" s="212">
        <f t="shared" si="22"/>
        <v>-3482.9657800000009</v>
      </c>
      <c r="M46" s="212"/>
    </row>
    <row r="47" spans="1:13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-5.6999999999999998E-4</v>
      </c>
      <c r="K47" s="171">
        <f t="shared" si="21"/>
        <v>4.6699999999999997E-3</v>
      </c>
      <c r="L47" s="212">
        <f t="shared" si="22"/>
        <v>104226.3676</v>
      </c>
      <c r="M47" s="212"/>
    </row>
    <row r="48" spans="1:13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-5.6999999999999998E-4</v>
      </c>
      <c r="K48" s="171">
        <f t="shared" si="21"/>
        <v>3.8600000000000001E-3</v>
      </c>
      <c r="L48" s="212">
        <f t="shared" si="22"/>
        <v>7468.3511600000002</v>
      </c>
      <c r="M48" s="212"/>
    </row>
    <row r="49" spans="1:14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-5.9000000000000003E-4</v>
      </c>
      <c r="K49" s="171">
        <f t="shared" si="21"/>
        <v>3.7200000000000002E-3</v>
      </c>
      <c r="L49" s="212">
        <f t="shared" si="22"/>
        <v>216971.95368000001</v>
      </c>
      <c r="M49" s="212"/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-5.9000000000000003E-4</v>
      </c>
      <c r="K50" s="171">
        <f t="shared" si="21"/>
        <v>2.9099999999999998E-3</v>
      </c>
      <c r="L50" s="212">
        <f t="shared" si="22"/>
        <v>3401.6590499999998</v>
      </c>
      <c r="M50" s="212"/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-5.6999999999999998E-4</v>
      </c>
      <c r="K51" s="171">
        <f t="shared" si="21"/>
        <v>2.0799999999999998E-3</v>
      </c>
      <c r="L51" s="212">
        <f t="shared" si="22"/>
        <v>122816.15423999999</v>
      </c>
      <c r="M51" s="212"/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-5.6999999999999998E-4</v>
      </c>
      <c r="K52" s="171">
        <f t="shared" si="21"/>
        <v>2.32E-3</v>
      </c>
      <c r="L52" s="212">
        <f t="shared" si="22"/>
        <v>81200</v>
      </c>
      <c r="M52" s="212"/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-6.0999999999999997E-4</v>
      </c>
      <c r="K53" s="171">
        <f t="shared" si="21"/>
        <v>3.47E-3</v>
      </c>
      <c r="L53" s="212">
        <f t="shared" si="22"/>
        <v>0</v>
      </c>
      <c r="M53" s="212"/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-6.0999999999999997E-4</v>
      </c>
      <c r="K54" s="171">
        <f t="shared" si="21"/>
        <v>3.47E-3</v>
      </c>
      <c r="L54" s="212">
        <f t="shared" si="22"/>
        <v>16685.116770000001</v>
      </c>
      <c r="M54" s="212"/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-6.0999999999999997E-4</v>
      </c>
      <c r="K55" s="171">
        <f t="shared" si="21"/>
        <v>2.66E-3</v>
      </c>
      <c r="L55" s="212">
        <f t="shared" si="22"/>
        <v>729.31348000000003</v>
      </c>
      <c r="M55" s="212"/>
    </row>
    <row r="56" spans="1:14" ht="14.4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-6.4999999999999997E-4</v>
      </c>
      <c r="K56" s="171">
        <f t="shared" si="21"/>
        <v>1.2149999999999999E-2</v>
      </c>
      <c r="L56" s="212">
        <f t="shared" si="22"/>
        <v>0</v>
      </c>
      <c r="M56" s="212"/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-6.4999999999999997E-4</v>
      </c>
      <c r="K57" s="171">
        <f t="shared" si="21"/>
        <v>1.1339999999999999E-2</v>
      </c>
      <c r="L57" s="212">
        <f t="shared" si="22"/>
        <v>0</v>
      </c>
      <c r="M57" s="212"/>
    </row>
    <row r="58" spans="1:14">
      <c r="A58" s="180"/>
      <c r="B58" s="152"/>
      <c r="C58" s="171"/>
      <c r="D58" s="171"/>
      <c r="E58" s="171"/>
      <c r="F58" s="171"/>
      <c r="G58" s="186"/>
      <c r="H58" s="289"/>
      <c r="I58" s="171"/>
      <c r="J58" s="186"/>
      <c r="K58" s="171"/>
      <c r="L58" s="212"/>
      <c r="M58" s="212"/>
    </row>
    <row r="59" spans="1:14">
      <c r="A59" s="180"/>
      <c r="B59" s="152"/>
      <c r="C59" s="171"/>
      <c r="D59" s="171"/>
      <c r="E59" s="171"/>
      <c r="F59" s="171"/>
      <c r="G59" s="186"/>
      <c r="H59" s="289"/>
      <c r="I59" s="171"/>
      <c r="J59" s="186"/>
      <c r="K59" s="171"/>
      <c r="L59" s="212"/>
      <c r="M59" s="212"/>
    </row>
    <row r="60" spans="1:14">
      <c r="F60" s="152"/>
      <c r="L60" s="212">
        <f>SUM(L45:L57)</f>
        <v>1077330.5398699997</v>
      </c>
      <c r="M60" s="212"/>
      <c r="N60" s="288"/>
    </row>
    <row r="61" spans="1:14" ht="52.8">
      <c r="A61" s="179" t="s">
        <v>202</v>
      </c>
      <c r="B61" s="154"/>
      <c r="C61" s="172" t="s">
        <v>209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C67" si="23">C45*H3</f>
        <v>4965.1866</v>
      </c>
      <c r="D62" s="168">
        <f>D45*G3</f>
        <v>-111592.65534</v>
      </c>
      <c r="E62" s="168">
        <f t="shared" ref="E62:E67" si="24">E45*H3</f>
        <v>-27277.877</v>
      </c>
      <c r="F62" s="168">
        <f t="shared" ref="F62:F67" si="25">$H3*F45</f>
        <v>0</v>
      </c>
      <c r="G62" s="168">
        <f t="shared" ref="G62:H67" si="26">($H3*G45)</f>
        <v>-21086.718399999998</v>
      </c>
      <c r="H62" s="168">
        <f t="shared" si="26"/>
        <v>-6436.3529999999992</v>
      </c>
      <c r="I62" s="168">
        <f t="shared" ref="I62:I67" si="27">$H3*I45</f>
        <v>0</v>
      </c>
      <c r="J62" s="168">
        <f t="shared" ref="J62:J67" si="28">(J45*H3)</f>
        <v>3494.0201999999999</v>
      </c>
      <c r="K62" s="168">
        <f t="shared" ref="K62:K72" si="29">SUM(C62:J62)</f>
        <v>-157934.39693999998</v>
      </c>
      <c r="N62" s="168"/>
    </row>
    <row r="63" spans="1:14">
      <c r="A63" s="180" t="s">
        <v>178</v>
      </c>
      <c r="C63" s="168">
        <f t="shared" si="23"/>
        <v>30.882869999999997</v>
      </c>
      <c r="D63" s="168">
        <f t="shared" ref="D63:D72" si="30">D46*G4</f>
        <v>-199.26718</v>
      </c>
      <c r="E63" s="168">
        <f t="shared" si="24"/>
        <v>-169.66515000000001</v>
      </c>
      <c r="F63" s="168">
        <f t="shared" si="25"/>
        <v>1202.1443100000001</v>
      </c>
      <c r="G63" s="168">
        <f t="shared" si="26"/>
        <v>-131.15688</v>
      </c>
      <c r="H63" s="168">
        <f t="shared" si="26"/>
        <v>-40.033349999999999</v>
      </c>
      <c r="I63" s="168">
        <f t="shared" si="27"/>
        <v>0</v>
      </c>
      <c r="J63" s="168">
        <f t="shared" si="28"/>
        <v>21.732389999999999</v>
      </c>
      <c r="K63" s="168">
        <f t="shared" si="29"/>
        <v>714.63701000000015</v>
      </c>
      <c r="N63" s="168"/>
    </row>
    <row r="64" spans="1:14">
      <c r="A64" s="180" t="s">
        <v>132</v>
      </c>
      <c r="C64" s="168">
        <f t="shared" si="23"/>
        <v>0</v>
      </c>
      <c r="D64" s="168">
        <f t="shared" si="30"/>
        <v>-41958.366399999999</v>
      </c>
      <c r="E64" s="168">
        <f t="shared" si="24"/>
        <v>-149.2388</v>
      </c>
      <c r="F64" s="168">
        <f t="shared" si="25"/>
        <v>0</v>
      </c>
      <c r="G64" s="168">
        <f t="shared" si="26"/>
        <v>-1727.4391099999998</v>
      </c>
      <c r="H64" s="168">
        <f t="shared" si="26"/>
        <v>-567.10744</v>
      </c>
      <c r="I64" s="168">
        <f t="shared" si="27"/>
        <v>0</v>
      </c>
      <c r="J64" s="168">
        <f t="shared" si="28"/>
        <v>212.66529</v>
      </c>
      <c r="K64" s="168">
        <f t="shared" si="29"/>
        <v>-44189.48646</v>
      </c>
      <c r="N64" s="168"/>
    </row>
    <row r="65" spans="1:14">
      <c r="A65" s="180" t="s">
        <v>133</v>
      </c>
      <c r="C65" s="168">
        <f t="shared" si="23"/>
        <v>193.93262999999999</v>
      </c>
      <c r="D65" s="168">
        <f t="shared" si="30"/>
        <v>-3637.4352799999997</v>
      </c>
      <c r="E65" s="168">
        <f t="shared" si="24"/>
        <v>-95.769199999999998</v>
      </c>
      <c r="F65" s="168">
        <f t="shared" si="25"/>
        <v>0</v>
      </c>
      <c r="G65" s="168">
        <f t="shared" si="26"/>
        <v>-1108.5284899999999</v>
      </c>
      <c r="H65" s="168">
        <f t="shared" si="26"/>
        <v>-363.92296000000005</v>
      </c>
      <c r="I65" s="168">
        <f t="shared" si="27"/>
        <v>0</v>
      </c>
      <c r="J65" s="168">
        <f t="shared" si="28"/>
        <v>136.47110999999998</v>
      </c>
      <c r="K65" s="168">
        <f t="shared" si="29"/>
        <v>-4875.2521899999992</v>
      </c>
      <c r="N65" s="168"/>
    </row>
    <row r="66" spans="1:14">
      <c r="A66" s="180" t="s">
        <v>134</v>
      </c>
      <c r="C66" s="168">
        <f t="shared" si="23"/>
        <v>0</v>
      </c>
      <c r="D66" s="168">
        <f t="shared" si="30"/>
        <v>-83989.143360000002</v>
      </c>
      <c r="E66" s="168">
        <f t="shared" si="24"/>
        <v>89.994399999999999</v>
      </c>
      <c r="F66" s="168">
        <f t="shared" si="25"/>
        <v>0</v>
      </c>
      <c r="G66" s="168">
        <f t="shared" si="26"/>
        <v>823.44875999999999</v>
      </c>
      <c r="H66" s="168">
        <f t="shared" si="26"/>
        <v>247.48460000000003</v>
      </c>
      <c r="I66" s="168">
        <f t="shared" si="27"/>
        <v>0</v>
      </c>
      <c r="J66" s="168">
        <f t="shared" si="28"/>
        <v>-132.74173999999999</v>
      </c>
      <c r="K66" s="168">
        <f t="shared" si="29"/>
        <v>-82960.957340000008</v>
      </c>
      <c r="N66" s="168"/>
    </row>
    <row r="67" spans="1:14">
      <c r="A67" s="180" t="s">
        <v>135</v>
      </c>
      <c r="C67" s="168">
        <f t="shared" si="23"/>
        <v>75.651569999999992</v>
      </c>
      <c r="D67" s="168">
        <f>D50*G8</f>
        <v>-1683.2952</v>
      </c>
      <c r="E67" s="168">
        <f t="shared" si="24"/>
        <v>-37.358800000000002</v>
      </c>
      <c r="F67" s="168">
        <f t="shared" si="25"/>
        <v>0</v>
      </c>
      <c r="G67" s="168">
        <f t="shared" si="26"/>
        <v>-341.83302000000003</v>
      </c>
      <c r="H67" s="168">
        <f t="shared" si="26"/>
        <v>-102.73670000000001</v>
      </c>
      <c r="I67" s="168">
        <f t="shared" si="27"/>
        <v>0</v>
      </c>
      <c r="J67" s="168">
        <f t="shared" si="28"/>
        <v>55.104230000000001</v>
      </c>
      <c r="K67" s="168">
        <f t="shared" si="29"/>
        <v>-2034.46792</v>
      </c>
      <c r="N67" s="168"/>
    </row>
    <row r="68" spans="1:14">
      <c r="A68" s="180" t="s">
        <v>136</v>
      </c>
      <c r="C68" s="168">
        <f t="shared" ref="C68:J68" si="31">$H9*C51+$H10*C52</f>
        <v>0</v>
      </c>
      <c r="D68" s="168">
        <f>D51*(G9+G10)</f>
        <v>-87462.992040000012</v>
      </c>
      <c r="E68" s="168">
        <f t="shared" si="31"/>
        <v>0</v>
      </c>
      <c r="F68" s="168">
        <f t="shared" si="31"/>
        <v>0</v>
      </c>
      <c r="G68" s="168">
        <f t="shared" si="31"/>
        <v>3808.1315199999999</v>
      </c>
      <c r="H68" s="168">
        <f t="shared" si="31"/>
        <v>1132.5908399999998</v>
      </c>
      <c r="I68" s="168">
        <f t="shared" si="31"/>
        <v>0</v>
      </c>
      <c r="J68" s="168">
        <f t="shared" si="31"/>
        <v>-935.61851999999999</v>
      </c>
      <c r="K68" s="168">
        <f t="shared" si="29"/>
        <v>-83457.888200000016</v>
      </c>
      <c r="N68" s="168"/>
    </row>
    <row r="69" spans="1:14">
      <c r="A69" s="180" t="s">
        <v>180</v>
      </c>
      <c r="C69" s="168">
        <f>$H11*C53</f>
        <v>0</v>
      </c>
      <c r="D69" s="168">
        <f t="shared" si="30"/>
        <v>0</v>
      </c>
      <c r="E69" s="168">
        <f t="shared" ref="C69:F71" si="32">$H11*E53</f>
        <v>0</v>
      </c>
      <c r="F69" s="168">
        <f t="shared" si="32"/>
        <v>0</v>
      </c>
      <c r="G69" s="168">
        <f t="shared" ref="G69:H71" si="33">($H11*G53)</f>
        <v>0</v>
      </c>
      <c r="H69" s="168">
        <f t="shared" si="33"/>
        <v>0</v>
      </c>
      <c r="I69" s="168">
        <f t="shared" ref="I69:J71" si="34">$H11*I53</f>
        <v>0</v>
      </c>
      <c r="J69" s="168">
        <f t="shared" si="34"/>
        <v>0</v>
      </c>
      <c r="K69" s="168">
        <f t="shared" si="29"/>
        <v>0</v>
      </c>
      <c r="N69" s="168"/>
    </row>
    <row r="70" spans="1:14">
      <c r="A70" s="180" t="s">
        <v>137</v>
      </c>
      <c r="C70" s="168">
        <f t="shared" si="32"/>
        <v>0</v>
      </c>
      <c r="D70" s="168">
        <f t="shared" si="30"/>
        <v>0</v>
      </c>
      <c r="E70" s="168">
        <f t="shared" si="32"/>
        <v>850.01280000000008</v>
      </c>
      <c r="F70" s="168">
        <f t="shared" si="32"/>
        <v>0</v>
      </c>
      <c r="G70" s="168">
        <f t="shared" si="33"/>
        <v>7246.3591200000001</v>
      </c>
      <c r="H70" s="168">
        <f t="shared" si="33"/>
        <v>2040.03072</v>
      </c>
      <c r="I70" s="168">
        <f t="shared" si="34"/>
        <v>0</v>
      </c>
      <c r="J70" s="168">
        <f t="shared" si="34"/>
        <v>-1296.2695200000001</v>
      </c>
      <c r="K70" s="168">
        <f t="shared" si="29"/>
        <v>8840.1331200000004</v>
      </c>
      <c r="N70" s="168"/>
    </row>
    <row r="71" spans="1:14">
      <c r="A71" s="180" t="s">
        <v>138</v>
      </c>
      <c r="C71" s="168">
        <f t="shared" si="32"/>
        <v>-75.201209999999989</v>
      </c>
      <c r="D71" s="168">
        <f t="shared" si="30"/>
        <v>-6250.9083000000001</v>
      </c>
      <c r="E71" s="168">
        <f t="shared" si="32"/>
        <v>37.136400000000002</v>
      </c>
      <c r="F71" s="168">
        <f t="shared" si="32"/>
        <v>0</v>
      </c>
      <c r="G71" s="168">
        <f t="shared" si="33"/>
        <v>316.58780999999999</v>
      </c>
      <c r="H71" s="168">
        <f t="shared" si="33"/>
        <v>89.127359999999996</v>
      </c>
      <c r="I71" s="168">
        <f t="shared" si="34"/>
        <v>0</v>
      </c>
      <c r="J71" s="168">
        <f t="shared" si="34"/>
        <v>-56.633009999999999</v>
      </c>
      <c r="K71" s="168">
        <f t="shared" si="29"/>
        <v>-5939.8909499999991</v>
      </c>
      <c r="N71" s="168"/>
    </row>
    <row r="72" spans="1:14">
      <c r="A72" s="180" t="s">
        <v>192</v>
      </c>
      <c r="C72" s="168">
        <f>($H14+$H15)*C56+$H16*C57</f>
        <v>0</v>
      </c>
      <c r="D72" s="168">
        <f t="shared" si="30"/>
        <v>-356.4314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($H14+$H15)*J56+$H16*J57</f>
        <v>0</v>
      </c>
      <c r="K72" s="168">
        <f t="shared" si="29"/>
        <v>-356.4314</v>
      </c>
    </row>
    <row r="73" spans="1:14">
      <c r="A73" s="157"/>
      <c r="C73" s="193">
        <f t="shared" ref="C73:J73" si="35">SUM(C62:C72)</f>
        <v>5190.4524600000004</v>
      </c>
      <c r="D73" s="193">
        <f>SUM(D62:D72)</f>
        <v>-337130.49450000003</v>
      </c>
      <c r="E73" s="193">
        <f t="shared" si="35"/>
        <v>-26752.765350000001</v>
      </c>
      <c r="F73" s="193">
        <f t="shared" si="35"/>
        <v>1202.1443100000001</v>
      </c>
      <c r="G73" s="193">
        <f t="shared" si="35"/>
        <v>-12201.148689999995</v>
      </c>
      <c r="H73" s="193">
        <f t="shared" si="35"/>
        <v>-4000.9199299999996</v>
      </c>
      <c r="I73" s="193">
        <f t="shared" si="35"/>
        <v>0</v>
      </c>
      <c r="J73" s="193">
        <f t="shared" si="35"/>
        <v>1498.7304299999998</v>
      </c>
      <c r="K73" s="193">
        <f>SUM(K62:K72)</f>
        <v>-372194.00126999995</v>
      </c>
    </row>
    <row r="74" spans="1:14" ht="15.75" customHeight="1"/>
    <row r="75" spans="1:14">
      <c r="A75" s="152" t="s">
        <v>19</v>
      </c>
      <c r="B75" s="152"/>
      <c r="C75" s="168">
        <f t="shared" ref="C75:J75" si="36">C62+C63</f>
        <v>4996.0694700000004</v>
      </c>
      <c r="D75" s="168">
        <f t="shared" si="36"/>
        <v>-111791.92251999999</v>
      </c>
      <c r="E75" s="168">
        <f t="shared" si="36"/>
        <v>-27447.542150000001</v>
      </c>
      <c r="F75" s="168">
        <f t="shared" si="36"/>
        <v>1202.1443100000001</v>
      </c>
      <c r="G75" s="168">
        <f t="shared" si="36"/>
        <v>-21217.875279999997</v>
      </c>
      <c r="H75" s="168">
        <f t="shared" si="36"/>
        <v>-6476.3863499999989</v>
      </c>
      <c r="I75" s="168">
        <f t="shared" si="36"/>
        <v>0</v>
      </c>
      <c r="J75" s="168">
        <f t="shared" si="36"/>
        <v>3515.7525900000001</v>
      </c>
      <c r="K75" s="168">
        <f>K62+K63</f>
        <v>-157219.75992999997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>
      <c r="A77" s="152" t="s">
        <v>184</v>
      </c>
      <c r="B77" s="152"/>
      <c r="C77" s="176">
        <f t="shared" ref="C77:J77" si="37">SUM(C64:C67,C69:C71)</f>
        <v>194.38299000000001</v>
      </c>
      <c r="D77" s="176">
        <f>SUM(D64:D67,D69:D71)</f>
        <v>-137519.14853999999</v>
      </c>
      <c r="E77" s="176">
        <f>SUM(E64:E67,E69:E71)</f>
        <v>694.77680000000009</v>
      </c>
      <c r="F77" s="176">
        <f>SUM(F64:F67,F69:F71)</f>
        <v>0</v>
      </c>
      <c r="G77" s="176">
        <f t="shared" si="37"/>
        <v>5208.5950700000003</v>
      </c>
      <c r="H77" s="176">
        <f t="shared" si="37"/>
        <v>1342.8755799999999</v>
      </c>
      <c r="I77" s="176">
        <f t="shared" si="37"/>
        <v>0</v>
      </c>
      <c r="J77" s="176">
        <f t="shared" si="37"/>
        <v>-1081.40364</v>
      </c>
      <c r="K77" s="176">
        <f>SUM(K64:K67,K69:K71)</f>
        <v>-131159.92173999999</v>
      </c>
    </row>
    <row r="78" spans="1:14" ht="15.75" customHeight="1"/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4.4">
      <c r="A81" s="170" t="s">
        <v>222</v>
      </c>
      <c r="B81" s="170"/>
      <c r="C81" s="170"/>
      <c r="D81" s="170"/>
      <c r="E81" s="170"/>
      <c r="F81" s="151"/>
    </row>
    <row r="82" spans="1:14" ht="28.2" customHeight="1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313</v>
      </c>
      <c r="H82" s="403"/>
      <c r="I82" s="403"/>
      <c r="J82" s="403"/>
      <c r="M82" s="200"/>
      <c r="N82" s="200"/>
    </row>
    <row r="83" spans="1:14" ht="14.4">
      <c r="A83" s="170" t="s">
        <v>311</v>
      </c>
      <c r="B83" s="198">
        <v>1</v>
      </c>
      <c r="C83" s="199">
        <v>896023</v>
      </c>
      <c r="D83" s="200">
        <f>76880.5-C83*SUM(K51)</f>
        <v>75016.772159999993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 customHeight="1">
      <c r="A84" s="202" t="s">
        <v>258</v>
      </c>
      <c r="B84" s="203">
        <f>SUM(B83:B83)</f>
        <v>1</v>
      </c>
      <c r="C84" s="204">
        <f>SUM(C83:C83)</f>
        <v>896023</v>
      </c>
      <c r="D84" s="205">
        <f>SUM(D83:D83)</f>
        <v>75016.772159999993</v>
      </c>
      <c r="E84" s="205">
        <f>SUM(E83:E83)</f>
        <v>500</v>
      </c>
      <c r="F84" s="151"/>
    </row>
    <row r="85" spans="1:14" ht="9" customHeight="1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  <row r="87" spans="1:14" ht="15.75" customHeight="1"/>
    <row r="88" spans="1:14" ht="15.75" customHeight="1"/>
    <row r="89" spans="1:14" ht="15.75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74" orientation="landscape" r:id="rId1"/>
  <headerFooter>
    <oddFooter>&amp;L&amp;F / &amp;A&amp;RPage &amp;P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AE86"/>
  <sheetViews>
    <sheetView workbookViewId="0">
      <selection sqref="A1:I1"/>
    </sheetView>
  </sheetViews>
  <sheetFormatPr defaultColWidth="9.109375" defaultRowHeight="15.75" customHeight="1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4.109375" style="1" customWidth="1"/>
    <col min="11" max="11" width="13.109375" style="1" customWidth="1"/>
    <col min="12" max="12" width="13.5546875" style="1" bestFit="1" customWidth="1"/>
    <col min="13" max="13" width="14.6640625" style="1" customWidth="1"/>
    <col min="14" max="14" width="2.6640625" style="1" customWidth="1"/>
    <col min="15" max="15" width="13.44140625" style="1" customWidth="1"/>
    <col min="16" max="16" width="13.33203125" style="1" customWidth="1"/>
    <col min="17" max="17" width="13" style="1" customWidth="1"/>
    <col min="18" max="18" width="10.109375" style="1" customWidth="1"/>
    <col min="19" max="19" width="12.3320312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16.109375" style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39</v>
      </c>
      <c r="AB1" s="151"/>
      <c r="AC1" s="151" t="s">
        <v>237</v>
      </c>
      <c r="AD1" s="224" t="s">
        <v>83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13" t="str">
        <f>AA1&amp;" Billed Schedule 75 Revenue"</f>
        <v>May Billed Schedule 75 Revenue</v>
      </c>
      <c r="P2" s="213" t="str">
        <f>AA1&amp;" Billed kWhs"</f>
        <v>May Billed kWhs</v>
      </c>
      <c r="Q2" s="213" t="str">
        <f>AA1&amp;" Unbilled kWhs"</f>
        <v>May Unbilled kWhs</v>
      </c>
      <c r="R2" s="213" t="s">
        <v>238</v>
      </c>
      <c r="S2" s="213" t="s">
        <v>239</v>
      </c>
      <c r="T2" s="213" t="str">
        <f>AD1&amp;" Unbilled kWhs reversal"</f>
        <v>April Unbilled kWhs reversal</v>
      </c>
      <c r="U2" s="213" t="s">
        <v>238</v>
      </c>
      <c r="V2" s="213" t="str">
        <f>AD1&amp;" Schedule 75 Unbilled Reversal"</f>
        <v>April Schedule 75 Unbilled Reversal</v>
      </c>
      <c r="W2" s="151"/>
      <c r="X2" s="213" t="str">
        <f>"Total "&amp;AA1&amp;" Schedule 75 Revenue"</f>
        <v>Total May Schedule 75 Revenue</v>
      </c>
      <c r="Y2" s="151"/>
      <c r="Z2" s="213" t="str">
        <f>"Calendar "&amp;AA1&amp;" Usage"</f>
        <v>Calendar May Usage</v>
      </c>
      <c r="AA2" s="213" t="str">
        <f>R2</f>
        <v>11/1/2017 rate</v>
      </c>
      <c r="AB2" s="213" t="s">
        <v>240</v>
      </c>
      <c r="AC2" s="213" t="s">
        <v>241</v>
      </c>
      <c r="AD2" s="213" t="str">
        <f>"implied "&amp;AD1&amp;" unbilled/Cancel-Rebill True-up kWhs"</f>
        <v>implied April unbilled/Cancel-Rebill True-up kWhs</v>
      </c>
      <c r="AE2" s="151"/>
    </row>
    <row r="3" spans="1:31" ht="15" customHeight="1">
      <c r="A3" s="180" t="s">
        <v>131</v>
      </c>
      <c r="B3" s="152"/>
      <c r="C3" s="158">
        <v>214700</v>
      </c>
      <c r="D3" s="282">
        <f t="shared" ref="D3:D8" si="0">E3/(SUM($E$3:$E$8,$E$11:$E$13))</f>
        <v>0.48429964286705263</v>
      </c>
      <c r="E3" s="182">
        <v>159351282.44622001</v>
      </c>
      <c r="F3" s="182">
        <v>-96562318</v>
      </c>
      <c r="G3" s="182">
        <v>84716237</v>
      </c>
      <c r="H3" s="189">
        <f>SUM(F3:G3)</f>
        <v>-11846081</v>
      </c>
      <c r="I3" s="159">
        <f>E3+H3</f>
        <v>147505201.44622001</v>
      </c>
      <c r="J3" s="282"/>
      <c r="M3" s="151" t="s">
        <v>242</v>
      </c>
      <c r="N3" s="151"/>
      <c r="O3" s="214">
        <v>709133.24</v>
      </c>
      <c r="P3" s="225">
        <f t="shared" ref="P3:P8" si="1">E3</f>
        <v>159351282.44622001</v>
      </c>
      <c r="Q3" s="225">
        <f t="shared" ref="Q3:Q8" si="2">G3</f>
        <v>84716237</v>
      </c>
      <c r="R3" s="206">
        <v>4.45E-3</v>
      </c>
      <c r="S3" s="215">
        <f>Q3*R3</f>
        <v>376987.25465000002</v>
      </c>
      <c r="T3" s="225">
        <f t="shared" ref="T3:T8" si="3">F3</f>
        <v>-96562318</v>
      </c>
      <c r="U3" s="206">
        <v>4.45E-3</v>
      </c>
      <c r="V3" s="216">
        <f>T3*U3</f>
        <v>-429702.31510000001</v>
      </c>
      <c r="W3" s="151"/>
      <c r="X3" s="150">
        <f>O3+S3+V3</f>
        <v>656418.17955</v>
      </c>
      <c r="Y3" s="151"/>
      <c r="Z3" s="95">
        <f>P3+Q3+T3</f>
        <v>147505201.44622001</v>
      </c>
      <c r="AA3" s="170">
        <f>R3</f>
        <v>4.45E-3</v>
      </c>
      <c r="AB3" s="217">
        <f>Z3*AA3</f>
        <v>656398.14643567905</v>
      </c>
      <c r="AC3" s="150">
        <f>X3-AB3</f>
        <v>20.033114320947789</v>
      </c>
      <c r="AD3" s="95">
        <f>AC3/AA3</f>
        <v>4501.8234429096156</v>
      </c>
      <c r="AE3" s="218">
        <f>AC3/X3</f>
        <v>3.0518829223592286E-5</v>
      </c>
    </row>
    <row r="4" spans="1:31" ht="14.4">
      <c r="A4" s="180" t="s">
        <v>178</v>
      </c>
      <c r="B4" s="152"/>
      <c r="C4" s="158">
        <v>399</v>
      </c>
      <c r="D4" s="282">
        <f t="shared" si="0"/>
        <v>1.0201369785927581E-3</v>
      </c>
      <c r="E4" s="182">
        <v>335660.24300000002</v>
      </c>
      <c r="F4" s="182">
        <v>-214941</v>
      </c>
      <c r="G4" s="182">
        <v>178456</v>
      </c>
      <c r="H4" s="189">
        <f t="shared" ref="H4:H16" si="4">SUM(F4:G4)</f>
        <v>-36485</v>
      </c>
      <c r="I4" s="159">
        <f t="shared" ref="I4:I16" si="5">E4+H4</f>
        <v>299175.24300000002</v>
      </c>
      <c r="J4" s="282"/>
      <c r="M4" s="151" t="s">
        <v>243</v>
      </c>
      <c r="N4" s="151"/>
      <c r="O4" s="214">
        <v>1493.82</v>
      </c>
      <c r="P4" s="225">
        <f t="shared" si="1"/>
        <v>335660.24300000002</v>
      </c>
      <c r="Q4" s="225">
        <f t="shared" si="2"/>
        <v>178456</v>
      </c>
      <c r="R4" s="206">
        <v>4.45E-3</v>
      </c>
      <c r="S4" s="215">
        <f>Q4*R4</f>
        <v>794.12919999999997</v>
      </c>
      <c r="T4" s="225">
        <f t="shared" si="3"/>
        <v>-214941</v>
      </c>
      <c r="U4" s="206">
        <v>4.45E-3</v>
      </c>
      <c r="V4" s="216">
        <f t="shared" ref="V4:V11" si="6">T4*U4</f>
        <v>-956.48744999999997</v>
      </c>
      <c r="W4" s="151"/>
      <c r="X4" s="150">
        <f t="shared" ref="X4:X11" si="7">O4+S4+V4</f>
        <v>1331.4617499999999</v>
      </c>
      <c r="Y4" s="151"/>
      <c r="Z4" s="95">
        <f t="shared" ref="Z4:Z11" si="8">P4+Q4+T4</f>
        <v>299175.24300000002</v>
      </c>
      <c r="AA4" s="170">
        <f t="shared" ref="AA4:AA11" si="9">R4</f>
        <v>4.45E-3</v>
      </c>
      <c r="AB4" s="217">
        <f t="shared" ref="AB4:AB11" si="10">Z4*AA4</f>
        <v>1331.3298313500002</v>
      </c>
      <c r="AC4" s="150">
        <f t="shared" ref="AC4:AC11" si="11">X4-AB4</f>
        <v>0.13191864999976133</v>
      </c>
      <c r="AD4" s="95">
        <f t="shared" ref="AD4:AD11" si="12">AC4/AA4</f>
        <v>29.644640449384568</v>
      </c>
      <c r="AE4" s="218">
        <f t="shared" ref="AE4:AE12" si="13">AC4/X4</f>
        <v>9.9078062137167159E-5</v>
      </c>
    </row>
    <row r="5" spans="1:31" ht="14.4">
      <c r="A5" s="180" t="s">
        <v>132</v>
      </c>
      <c r="B5" s="152"/>
      <c r="C5" s="158">
        <v>22741</v>
      </c>
      <c r="D5" s="282">
        <f t="shared" si="0"/>
        <v>0.13025583513233255</v>
      </c>
      <c r="E5" s="182">
        <v>42858661.327030003</v>
      </c>
      <c r="F5" s="182">
        <v>-22407616</v>
      </c>
      <c r="G5" s="182">
        <v>22691377</v>
      </c>
      <c r="H5" s="189">
        <f t="shared" si="4"/>
        <v>283761</v>
      </c>
      <c r="I5" s="159">
        <f t="shared" si="5"/>
        <v>43142422.327030003</v>
      </c>
      <c r="J5" s="282"/>
      <c r="M5" s="151" t="s">
        <v>244</v>
      </c>
      <c r="N5" s="151"/>
      <c r="O5" s="214">
        <v>17313.95</v>
      </c>
      <c r="P5" s="225">
        <f t="shared" si="1"/>
        <v>42858661.327030003</v>
      </c>
      <c r="Q5" s="225">
        <f t="shared" si="2"/>
        <v>22691377</v>
      </c>
      <c r="R5" s="219">
        <v>4.0000000000000002E-4</v>
      </c>
      <c r="S5" s="215">
        <f>Q5*R5</f>
        <v>9076.5508000000009</v>
      </c>
      <c r="T5" s="225">
        <f t="shared" si="3"/>
        <v>-22407616</v>
      </c>
      <c r="U5" s="219">
        <v>4.0000000000000002E-4</v>
      </c>
      <c r="V5" s="216">
        <f t="shared" si="6"/>
        <v>-8963.0464000000011</v>
      </c>
      <c r="W5" s="151"/>
      <c r="X5" s="150">
        <f t="shared" si="7"/>
        <v>17427.454400000002</v>
      </c>
      <c r="Y5" s="151"/>
      <c r="Z5" s="95">
        <f t="shared" si="8"/>
        <v>43142422.327030003</v>
      </c>
      <c r="AA5" s="220">
        <f t="shared" si="9"/>
        <v>4.0000000000000002E-4</v>
      </c>
      <c r="AB5" s="217">
        <f t="shared" si="10"/>
        <v>17256.968930812003</v>
      </c>
      <c r="AC5" s="150">
        <f t="shared" si="11"/>
        <v>170.48546918799912</v>
      </c>
      <c r="AD5" s="95">
        <f t="shared" si="12"/>
        <v>426213.67296999774</v>
      </c>
      <c r="AE5" s="218">
        <f t="shared" si="13"/>
        <v>9.7825801333325593E-3</v>
      </c>
    </row>
    <row r="6" spans="1:31" ht="14.4">
      <c r="A6" s="180" t="s">
        <v>133</v>
      </c>
      <c r="B6" s="152"/>
      <c r="C6" s="158">
        <v>9435</v>
      </c>
      <c r="D6" s="282">
        <f t="shared" si="0"/>
        <v>1.2428872827769505E-2</v>
      </c>
      <c r="E6" s="182">
        <v>4089527.74101</v>
      </c>
      <c r="F6" s="182">
        <v>-2552426</v>
      </c>
      <c r="G6" s="182">
        <v>2174229</v>
      </c>
      <c r="H6" s="189">
        <f t="shared" si="4"/>
        <v>-378197</v>
      </c>
      <c r="I6" s="159">
        <f t="shared" si="5"/>
        <v>3711330.74101</v>
      </c>
      <c r="J6" s="282"/>
      <c r="M6" s="151" t="s">
        <v>245</v>
      </c>
      <c r="N6" s="151"/>
      <c r="O6" s="214">
        <v>1635</v>
      </c>
      <c r="P6" s="225">
        <f t="shared" si="1"/>
        <v>4089527.74101</v>
      </c>
      <c r="Q6" s="225">
        <f t="shared" si="2"/>
        <v>2174229</v>
      </c>
      <c r="R6" s="219">
        <v>4.0000000000000002E-4</v>
      </c>
      <c r="S6" s="215">
        <f t="shared" ref="S6:S11" si="14">Q6*R6</f>
        <v>869.69159999999999</v>
      </c>
      <c r="T6" s="225">
        <f t="shared" si="3"/>
        <v>-2552426</v>
      </c>
      <c r="U6" s="219">
        <v>4.0000000000000002E-4</v>
      </c>
      <c r="V6" s="216">
        <f t="shared" si="6"/>
        <v>-1020.9704</v>
      </c>
      <c r="W6" s="151"/>
      <c r="X6" s="150">
        <f t="shared" si="7"/>
        <v>1483.7212</v>
      </c>
      <c r="Y6" s="151"/>
      <c r="Z6" s="95">
        <f t="shared" si="8"/>
        <v>3711330.74101</v>
      </c>
      <c r="AA6" s="220">
        <f t="shared" si="9"/>
        <v>4.0000000000000002E-4</v>
      </c>
      <c r="AB6" s="217">
        <f t="shared" si="10"/>
        <v>1484.5322964040001</v>
      </c>
      <c r="AC6" s="150">
        <f t="shared" si="11"/>
        <v>-0.81109640400018179</v>
      </c>
      <c r="AD6" s="95">
        <f t="shared" si="12"/>
        <v>-2027.7410100004545</v>
      </c>
      <c r="AE6" s="218">
        <f t="shared" si="13"/>
        <v>-5.4666362117100024E-4</v>
      </c>
    </row>
    <row r="7" spans="1:31" ht="14.4">
      <c r="A7" s="180" t="s">
        <v>134</v>
      </c>
      <c r="B7" s="152"/>
      <c r="C7" s="158">
        <v>1856</v>
      </c>
      <c r="D7" s="282">
        <f t="shared" si="0"/>
        <v>0.33400403536266177</v>
      </c>
      <c r="E7" s="182">
        <v>109898844.984</v>
      </c>
      <c r="F7" s="182">
        <v>-53278541</v>
      </c>
      <c r="G7" s="182">
        <v>58100808</v>
      </c>
      <c r="H7" s="189">
        <f t="shared" si="4"/>
        <v>4822267</v>
      </c>
      <c r="I7" s="159">
        <f t="shared" si="5"/>
        <v>114721111.984</v>
      </c>
      <c r="J7" s="282"/>
      <c r="M7" s="151" t="s">
        <v>246</v>
      </c>
      <c r="N7" s="151"/>
      <c r="O7" s="214">
        <v>43959.45</v>
      </c>
      <c r="P7" s="225">
        <f t="shared" si="1"/>
        <v>109898844.984</v>
      </c>
      <c r="Q7" s="225">
        <f t="shared" si="2"/>
        <v>58100808</v>
      </c>
      <c r="R7" s="219">
        <v>4.0000000000000002E-4</v>
      </c>
      <c r="S7" s="215">
        <f t="shared" si="14"/>
        <v>23240.323200000003</v>
      </c>
      <c r="T7" s="225">
        <f t="shared" si="3"/>
        <v>-53278541</v>
      </c>
      <c r="U7" s="219">
        <v>4.0000000000000002E-4</v>
      </c>
      <c r="V7" s="216">
        <f t="shared" si="6"/>
        <v>-21311.416400000002</v>
      </c>
      <c r="W7" s="151"/>
      <c r="X7" s="150">
        <f t="shared" si="7"/>
        <v>45888.356799999994</v>
      </c>
      <c r="Y7" s="151"/>
      <c r="Z7" s="95">
        <f t="shared" si="8"/>
        <v>114721111.984</v>
      </c>
      <c r="AA7" s="220">
        <f t="shared" si="9"/>
        <v>4.0000000000000002E-4</v>
      </c>
      <c r="AB7" s="217">
        <f t="shared" si="10"/>
        <v>45888.4447936</v>
      </c>
      <c r="AC7" s="150">
        <f t="shared" si="11"/>
        <v>-8.799360000557499E-2</v>
      </c>
      <c r="AD7" s="95">
        <f t="shared" si="12"/>
        <v>-219.98400001393748</v>
      </c>
      <c r="AE7" s="218">
        <f t="shared" si="13"/>
        <v>-1.9175583119937519E-6</v>
      </c>
    </row>
    <row r="8" spans="1:31" ht="14.4">
      <c r="A8" s="180" t="s">
        <v>135</v>
      </c>
      <c r="B8" s="152"/>
      <c r="C8" s="158">
        <v>49</v>
      </c>
      <c r="D8" s="282">
        <f t="shared" si="0"/>
        <v>7.2161744895541955E-3</v>
      </c>
      <c r="E8" s="182">
        <v>2374370.2400000002</v>
      </c>
      <c r="F8" s="182">
        <v>-1316515</v>
      </c>
      <c r="G8" s="182">
        <v>1262352</v>
      </c>
      <c r="H8" s="189">
        <f t="shared" si="4"/>
        <v>-54163</v>
      </c>
      <c r="I8" s="159">
        <f t="shared" si="5"/>
        <v>2320207.2400000002</v>
      </c>
      <c r="J8" s="282"/>
      <c r="M8" s="151" t="s">
        <v>247</v>
      </c>
      <c r="N8" s="151"/>
      <c r="O8" s="214">
        <v>949.75</v>
      </c>
      <c r="P8" s="225">
        <f t="shared" si="1"/>
        <v>2374370.2400000002</v>
      </c>
      <c r="Q8" s="225">
        <f t="shared" si="2"/>
        <v>1262352</v>
      </c>
      <c r="R8" s="219">
        <v>4.0000000000000002E-4</v>
      </c>
      <c r="S8" s="215">
        <f t="shared" si="14"/>
        <v>504.94080000000002</v>
      </c>
      <c r="T8" s="225">
        <f t="shared" si="3"/>
        <v>-1316515</v>
      </c>
      <c r="U8" s="219">
        <v>4.0000000000000002E-4</v>
      </c>
      <c r="V8" s="216">
        <f t="shared" si="6"/>
        <v>-526.60599999999999</v>
      </c>
      <c r="W8" s="151"/>
      <c r="X8" s="150">
        <f t="shared" si="7"/>
        <v>928.08480000000009</v>
      </c>
      <c r="Y8" s="151"/>
      <c r="Z8" s="95">
        <f t="shared" si="8"/>
        <v>2320207.2400000002</v>
      </c>
      <c r="AA8" s="220">
        <f t="shared" si="9"/>
        <v>4.0000000000000002E-4</v>
      </c>
      <c r="AB8" s="217">
        <f t="shared" si="10"/>
        <v>928.08289600000012</v>
      </c>
      <c r="AC8" s="150">
        <f t="shared" si="11"/>
        <v>1.9039999999677093E-3</v>
      </c>
      <c r="AD8" s="95">
        <f t="shared" si="12"/>
        <v>4.7599999999192733</v>
      </c>
      <c r="AE8" s="218">
        <f t="shared" si="13"/>
        <v>2.0515366698901966E-6</v>
      </c>
    </row>
    <row r="9" spans="1:31" ht="14.4">
      <c r="A9" s="180" t="s">
        <v>136</v>
      </c>
      <c r="B9" s="152"/>
      <c r="C9" s="158">
        <v>4</v>
      </c>
      <c r="D9" s="194"/>
      <c r="E9" s="182">
        <f>50375927.6-E10</f>
        <v>15517707.600000001</v>
      </c>
      <c r="F9" s="182">
        <v>-14900218</v>
      </c>
      <c r="G9" s="182">
        <f>92404792-G10</f>
        <v>57404792</v>
      </c>
      <c r="H9" s="189">
        <f t="shared" si="4"/>
        <v>42504574</v>
      </c>
      <c r="I9" s="159">
        <f t="shared" si="5"/>
        <v>58022281.600000001</v>
      </c>
      <c r="J9" s="282"/>
      <c r="M9" s="151" t="s">
        <v>248</v>
      </c>
      <c r="N9" s="151"/>
      <c r="O9" s="214">
        <v>1150.21</v>
      </c>
      <c r="P9" s="225">
        <f>E11</f>
        <v>2875569.1579999998</v>
      </c>
      <c r="Q9" s="225">
        <f>G11</f>
        <v>0</v>
      </c>
      <c r="R9" s="219">
        <v>4.0000000000000002E-4</v>
      </c>
      <c r="S9" s="215">
        <f t="shared" si="14"/>
        <v>0</v>
      </c>
      <c r="T9" s="225">
        <f>F11</f>
        <v>0</v>
      </c>
      <c r="U9" s="219">
        <v>4.0000000000000002E-4</v>
      </c>
      <c r="V9" s="216">
        <f t="shared" si="6"/>
        <v>0</v>
      </c>
      <c r="W9" s="151"/>
      <c r="X9" s="150">
        <f t="shared" si="7"/>
        <v>1150.21</v>
      </c>
      <c r="Y9" s="151"/>
      <c r="Z9" s="95">
        <f t="shared" si="8"/>
        <v>2875569.1579999998</v>
      </c>
      <c r="AA9" s="220">
        <f t="shared" si="9"/>
        <v>4.0000000000000002E-4</v>
      </c>
      <c r="AB9" s="217">
        <f t="shared" si="10"/>
        <v>1150.2276632000001</v>
      </c>
      <c r="AC9" s="150">
        <f t="shared" si="11"/>
        <v>-1.7663200000015422E-2</v>
      </c>
      <c r="AD9" s="95">
        <f t="shared" si="12"/>
        <v>-44.158000000038555</v>
      </c>
      <c r="AE9" s="218">
        <f t="shared" si="13"/>
        <v>-1.535650011738328E-5</v>
      </c>
    </row>
    <row r="10" spans="1:31" ht="14.4">
      <c r="A10" s="180" t="s">
        <v>179</v>
      </c>
      <c r="B10" s="152"/>
      <c r="C10" s="158"/>
      <c r="D10" s="194"/>
      <c r="E10" s="182">
        <v>34858220</v>
      </c>
      <c r="F10" s="182">
        <v>-35000000</v>
      </c>
      <c r="G10" s="182">
        <v>35000000</v>
      </c>
      <c r="H10" s="189">
        <f t="shared" si="4"/>
        <v>0</v>
      </c>
      <c r="I10" s="159">
        <f t="shared" si="5"/>
        <v>34858220</v>
      </c>
      <c r="J10" s="282"/>
      <c r="M10" s="151" t="s">
        <v>249</v>
      </c>
      <c r="N10" s="151"/>
      <c r="O10" s="214">
        <v>2653.59</v>
      </c>
      <c r="P10" s="225">
        <f>E12</f>
        <v>6634148.1610099999</v>
      </c>
      <c r="Q10" s="225">
        <f>G12</f>
        <v>2683359</v>
      </c>
      <c r="R10" s="219">
        <v>4.0000000000000002E-4</v>
      </c>
      <c r="S10" s="215">
        <f t="shared" si="14"/>
        <v>1073.3436000000002</v>
      </c>
      <c r="T10" s="225">
        <f>F12</f>
        <v>-1826999</v>
      </c>
      <c r="U10" s="219">
        <v>4.0000000000000002E-4</v>
      </c>
      <c r="V10" s="216">
        <f t="shared" si="6"/>
        <v>-730.79960000000005</v>
      </c>
      <c r="W10" s="151"/>
      <c r="X10" s="150">
        <f>O10+S10+V10</f>
        <v>2996.134</v>
      </c>
      <c r="Y10" s="151"/>
      <c r="Z10" s="95">
        <f t="shared" si="8"/>
        <v>7490508.1610100009</v>
      </c>
      <c r="AA10" s="220">
        <f t="shared" si="9"/>
        <v>4.0000000000000002E-4</v>
      </c>
      <c r="AB10" s="217">
        <f t="shared" si="10"/>
        <v>2996.2032644040005</v>
      </c>
      <c r="AC10" s="150">
        <f t="shared" si="11"/>
        <v>-6.9264404000477953E-2</v>
      </c>
      <c r="AD10" s="95">
        <f t="shared" si="12"/>
        <v>-173.16101000119488</v>
      </c>
      <c r="AE10" s="218">
        <f t="shared" si="13"/>
        <v>-2.3117925967422668E-5</v>
      </c>
    </row>
    <row r="11" spans="1:31" ht="14.4">
      <c r="A11" s="180" t="s">
        <v>180</v>
      </c>
      <c r="B11" s="152"/>
      <c r="C11" s="158">
        <v>50</v>
      </c>
      <c r="D11" s="282">
        <f>E11/(SUM($E$3:$E$8,$E$11:$E$13))</f>
        <v>8.7394158043812217E-3</v>
      </c>
      <c r="E11" s="182">
        <v>2875569.1579999998</v>
      </c>
      <c r="F11" s="182">
        <v>0</v>
      </c>
      <c r="G11" s="182">
        <v>0</v>
      </c>
      <c r="H11" s="189">
        <f t="shared" si="4"/>
        <v>0</v>
      </c>
      <c r="I11" s="159">
        <f t="shared" si="5"/>
        <v>2875569.1579999998</v>
      </c>
      <c r="J11" s="282"/>
      <c r="M11" s="151" t="s">
        <v>250</v>
      </c>
      <c r="N11" s="151"/>
      <c r="O11" s="214">
        <v>246.42</v>
      </c>
      <c r="P11" s="225">
        <f>E13</f>
        <v>616418.36600000004</v>
      </c>
      <c r="Q11" s="225">
        <f>G13</f>
        <v>181337</v>
      </c>
      <c r="R11" s="219">
        <v>4.0000000000000002E-4</v>
      </c>
      <c r="S11" s="215">
        <f t="shared" si="14"/>
        <v>72.534800000000004</v>
      </c>
      <c r="T11" s="225">
        <f>F13</f>
        <v>-107471</v>
      </c>
      <c r="U11" s="219">
        <v>4.0000000000000002E-4</v>
      </c>
      <c r="V11" s="216">
        <f t="shared" si="6"/>
        <v>-42.988399999999999</v>
      </c>
      <c r="W11" s="151"/>
      <c r="X11" s="150">
        <f t="shared" si="7"/>
        <v>275.96639999999996</v>
      </c>
      <c r="Y11" s="151"/>
      <c r="Z11" s="95">
        <f t="shared" si="8"/>
        <v>690284.36600000004</v>
      </c>
      <c r="AA11" s="220">
        <f t="shared" si="9"/>
        <v>4.0000000000000002E-4</v>
      </c>
      <c r="AB11" s="217">
        <f t="shared" si="10"/>
        <v>276.11374640000003</v>
      </c>
      <c r="AC11" s="150">
        <f t="shared" si="11"/>
        <v>-0.14734640000006038</v>
      </c>
      <c r="AD11" s="95">
        <f t="shared" si="12"/>
        <v>-368.36600000015096</v>
      </c>
      <c r="AE11" s="218">
        <f t="shared" si="13"/>
        <v>-5.3392876814010841E-4</v>
      </c>
    </row>
    <row r="12" spans="1:31" ht="14.4">
      <c r="A12" s="180" t="s">
        <v>137</v>
      </c>
      <c r="B12" s="152"/>
      <c r="C12" s="158">
        <v>1203</v>
      </c>
      <c r="D12" s="282">
        <f>E12/(SUM($E$3:$E$8,$E$11:$E$13))</f>
        <v>2.0162470836647295E-2</v>
      </c>
      <c r="E12" s="182">
        <v>6634148.1610099999</v>
      </c>
      <c r="F12" s="182">
        <v>-1826999</v>
      </c>
      <c r="G12" s="182">
        <v>2683359</v>
      </c>
      <c r="H12" s="189">
        <f t="shared" si="4"/>
        <v>856360</v>
      </c>
      <c r="I12" s="159">
        <f t="shared" si="5"/>
        <v>7490508.1610099999</v>
      </c>
      <c r="J12" s="282"/>
      <c r="M12" s="151"/>
      <c r="N12" s="151"/>
      <c r="O12" s="221">
        <f>SUM(O3:O11)</f>
        <v>778535.42999999982</v>
      </c>
      <c r="P12" s="51">
        <f>SUM(P3:P11)</f>
        <v>329034482.66627008</v>
      </c>
      <c r="Q12" s="51">
        <f>SUM(Q3:Q11)</f>
        <v>171988155</v>
      </c>
      <c r="R12" s="151"/>
      <c r="S12" s="221">
        <f>SUM(S3:S11)</f>
        <v>412618.7686500001</v>
      </c>
      <c r="T12" s="51">
        <f>SUM(T3:T11)</f>
        <v>-178266827</v>
      </c>
      <c r="U12" s="151"/>
      <c r="V12" s="221">
        <f>SUM(V3:V11)</f>
        <v>-463254.62975000002</v>
      </c>
      <c r="W12" s="151"/>
      <c r="X12" s="221">
        <f>SUM(X3:X11)</f>
        <v>727899.56889999995</v>
      </c>
      <c r="Y12" s="151"/>
      <c r="Z12" s="51">
        <f>SUM(Z3:Z11)</f>
        <v>322755810.66627008</v>
      </c>
      <c r="AA12" s="151"/>
      <c r="AB12" s="51">
        <f>SUM(AB3:AB11)</f>
        <v>727710.04985784902</v>
      </c>
      <c r="AC12" s="221">
        <f>SUM(AC3:AC11)</f>
        <v>189.51904215094032</v>
      </c>
      <c r="AD12" s="51">
        <f>SUM(AD3:AD11)</f>
        <v>427916.4910333408</v>
      </c>
      <c r="AE12" s="218">
        <f t="shared" si="13"/>
        <v>2.6036427310616633E-4</v>
      </c>
    </row>
    <row r="13" spans="1:31" ht="14.4">
      <c r="A13" s="180" t="s">
        <v>138</v>
      </c>
      <c r="B13" s="152"/>
      <c r="C13" s="158">
        <v>1210</v>
      </c>
      <c r="D13" s="282">
        <f>E13/(SUM($E$3:$E$8,$E$11:$E$13))</f>
        <v>1.8734157010078939E-3</v>
      </c>
      <c r="E13" s="182">
        <v>616418.36600000004</v>
      </c>
      <c r="F13" s="182">
        <v>-107471</v>
      </c>
      <c r="G13" s="182">
        <v>181337</v>
      </c>
      <c r="H13" s="189">
        <f t="shared" si="4"/>
        <v>73866</v>
      </c>
      <c r="I13" s="159">
        <f t="shared" si="5"/>
        <v>690284.36600000004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425</v>
      </c>
      <c r="D14" s="194"/>
      <c r="E14" s="182">
        <v>941379.97799999989</v>
      </c>
      <c r="F14" s="182"/>
      <c r="G14" s="182"/>
      <c r="H14" s="189"/>
      <c r="I14" s="159">
        <f t="shared" si="5"/>
        <v>941379.97799999989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406203.65600000002</v>
      </c>
      <c r="F15" s="182"/>
      <c r="G15" s="182"/>
      <c r="H15" s="189">
        <f t="shared" si="4"/>
        <v>0</v>
      </c>
      <c r="I15" s="159">
        <f t="shared" si="5"/>
        <v>406203.65600000002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627047.86129303998</v>
      </c>
      <c r="Y15" s="151"/>
      <c r="Z15" s="151" t="s">
        <v>19</v>
      </c>
      <c r="AA15" s="50">
        <f>P3+P4+Q3+Q4+T3+T4</f>
        <v>147804376.68922001</v>
      </c>
      <c r="AB15" s="170">
        <v>4.2399999999999998E-3</v>
      </c>
      <c r="AC15" s="150">
        <f>AA15*AB15</f>
        <v>626690.55716229277</v>
      </c>
      <c r="AD15" s="150">
        <f>X15-AC15</f>
        <v>357.30413074721582</v>
      </c>
      <c r="AE15" s="218">
        <f>AD15/X15</f>
        <v>5.6981955095168711E-4</v>
      </c>
    </row>
    <row r="16" spans="1:31" ht="14.4">
      <c r="A16" s="180" t="s">
        <v>183</v>
      </c>
      <c r="B16" s="152"/>
      <c r="C16" s="158"/>
      <c r="D16" s="195"/>
      <c r="E16" s="182">
        <v>217937.796</v>
      </c>
      <c r="F16" s="182"/>
      <c r="G16" s="182"/>
      <c r="H16" s="189">
        <f t="shared" si="4"/>
        <v>0</v>
      </c>
      <c r="I16" s="159">
        <f t="shared" si="5"/>
        <v>217937.796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66875.539429414814</v>
      </c>
      <c r="Y16" s="151"/>
      <c r="Z16" s="151" t="s">
        <v>184</v>
      </c>
      <c r="AA16" s="50">
        <f>SUM(P5:Q11,T5:T11)</f>
        <v>174951433.97704998</v>
      </c>
      <c r="AB16" s="170">
        <v>3.8000000000000002E-4</v>
      </c>
      <c r="AC16" s="150">
        <f>AA16*AB16</f>
        <v>66481.544911278994</v>
      </c>
      <c r="AD16" s="150">
        <f>X16-AC16</f>
        <v>393.99451813581982</v>
      </c>
      <c r="AE16" s="218">
        <f>AD16/X16</f>
        <v>5.8914592913552428E-3</v>
      </c>
    </row>
    <row r="17" spans="1:26" ht="14.4">
      <c r="A17" s="152"/>
      <c r="B17" s="152"/>
      <c r="C17" s="160">
        <f>SUM(C3:C16)</f>
        <v>252072</v>
      </c>
      <c r="E17" s="160">
        <f>SUM(E3:E16)</f>
        <v>380975931.69627011</v>
      </c>
      <c r="F17" s="160">
        <f>SUM(F3:F16)</f>
        <v>-228167045</v>
      </c>
      <c r="G17" s="160">
        <f>SUM(G3:G16)</f>
        <v>264392947</v>
      </c>
      <c r="H17" s="160">
        <f>SUM(H3:H16)</f>
        <v>36225902</v>
      </c>
      <c r="I17" s="160">
        <f>SUM(I3:I16)</f>
        <v>417201833.69627011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 ht="13.8">
      <c r="A19" s="152" t="s">
        <v>19</v>
      </c>
      <c r="B19" s="152"/>
      <c r="C19" s="161">
        <f>C3+C4</f>
        <v>215099</v>
      </c>
      <c r="E19" s="162">
        <f>E3+E4</f>
        <v>159686942.68922001</v>
      </c>
      <c r="F19" s="162">
        <f>F3+F4</f>
        <v>-96777259</v>
      </c>
      <c r="G19" s="162">
        <f>G3+G4</f>
        <v>84894693</v>
      </c>
      <c r="H19" s="162">
        <f>H3+H4</f>
        <v>-11882566</v>
      </c>
      <c r="I19" s="161">
        <f>I3+I4</f>
        <v>147804376.68922001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36544</v>
      </c>
      <c r="E21" s="178">
        <f>SUM(E5:E8,E11:E13)</f>
        <v>169347539.97705001</v>
      </c>
      <c r="F21" s="178">
        <f>SUM(F5:F8,F11:F13)</f>
        <v>-81489568</v>
      </c>
      <c r="G21" s="178">
        <f>SUM(G5:G8,G11:G13)</f>
        <v>87093462</v>
      </c>
      <c r="H21" s="178">
        <f>SUM(H5:H8,H11:H13)</f>
        <v>5603894</v>
      </c>
      <c r="I21" s="177">
        <f>SUM(I5:I8,I11:I13)</f>
        <v>174951433.97705001</v>
      </c>
    </row>
    <row r="22" spans="1:26" ht="13.8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 ht="13.8">
      <c r="A24" s="180" t="s">
        <v>131</v>
      </c>
      <c r="B24" s="152"/>
      <c r="C24" s="181">
        <v>1986339.5</v>
      </c>
      <c r="D24" s="181">
        <v>14399728.27</v>
      </c>
      <c r="E24" s="183">
        <v>-9217175</v>
      </c>
      <c r="F24" s="183">
        <v>8173540</v>
      </c>
      <c r="G24" s="174">
        <f>SUM(D24:F24)</f>
        <v>13356093.27</v>
      </c>
      <c r="H24" s="174">
        <f>-J62</f>
        <v>89556.372359999994</v>
      </c>
      <c r="I24" s="174">
        <f>SUM(G24:H24)</f>
        <v>13445649.64236</v>
      </c>
    </row>
    <row r="25" spans="1:26" ht="13.8">
      <c r="A25" s="180" t="s">
        <v>178</v>
      </c>
      <c r="B25" s="152"/>
      <c r="C25" s="181">
        <v>3604.5</v>
      </c>
      <c r="D25" s="181">
        <v>29975.61</v>
      </c>
      <c r="E25" s="183">
        <v>-13428</v>
      </c>
      <c r="F25" s="183">
        <v>11339</v>
      </c>
      <c r="G25" s="174">
        <f t="shared" ref="G25:G33" si="15">SUM(D25:F25)</f>
        <v>27886.61</v>
      </c>
      <c r="H25" s="174">
        <f t="shared" ref="H25:H30" si="16">-J63</f>
        <v>-874.5454500000003</v>
      </c>
      <c r="I25" s="174">
        <f t="shared" ref="I25:I34" si="17">SUM(G25:H25)</f>
        <v>27012.064549999999</v>
      </c>
    </row>
    <row r="26" spans="1:26" ht="13.8">
      <c r="A26" s="180" t="s">
        <v>132</v>
      </c>
      <c r="B26" s="152"/>
      <c r="C26" s="181">
        <v>456206.06</v>
      </c>
      <c r="D26" s="181">
        <v>5130035.96</v>
      </c>
      <c r="E26" s="183">
        <v>-2678368</v>
      </c>
      <c r="F26" s="183">
        <v>2727768</v>
      </c>
      <c r="G26" s="174">
        <f t="shared" si="15"/>
        <v>5179435.96</v>
      </c>
      <c r="H26" s="174">
        <f t="shared" si="16"/>
        <v>-1696.8907799999999</v>
      </c>
      <c r="I26" s="174">
        <f t="shared" si="17"/>
        <v>5177739.0692199999</v>
      </c>
    </row>
    <row r="27" spans="1:26" ht="13.8">
      <c r="A27" s="180" t="s">
        <v>133</v>
      </c>
      <c r="B27" s="152"/>
      <c r="C27" s="181">
        <v>189792.27</v>
      </c>
      <c r="D27" s="181">
        <v>644451.87000000011</v>
      </c>
      <c r="E27" s="183">
        <v>-377537</v>
      </c>
      <c r="F27" s="183">
        <v>349193</v>
      </c>
      <c r="G27" s="174">
        <f t="shared" si="15"/>
        <v>616107.87000000011</v>
      </c>
      <c r="H27" s="174">
        <f t="shared" si="16"/>
        <v>1955.2784899999997</v>
      </c>
      <c r="I27" s="174">
        <f t="shared" si="17"/>
        <v>618063.14849000017</v>
      </c>
    </row>
    <row r="28" spans="1:26" ht="13.8">
      <c r="A28" s="180" t="s">
        <v>134</v>
      </c>
      <c r="B28" s="152"/>
      <c r="C28" s="181">
        <v>931123.33</v>
      </c>
      <c r="D28" s="181">
        <v>10075469.110000001</v>
      </c>
      <c r="E28" s="183">
        <v>-4443577</v>
      </c>
      <c r="F28" s="183">
        <v>4819547</v>
      </c>
      <c r="G28" s="174">
        <f t="shared" si="15"/>
        <v>10451439.110000001</v>
      </c>
      <c r="H28" s="174">
        <f t="shared" si="16"/>
        <v>-22037.760190000001</v>
      </c>
      <c r="I28" s="174">
        <f t="shared" si="17"/>
        <v>10429401.349810001</v>
      </c>
    </row>
    <row r="29" spans="1:26" ht="13.8">
      <c r="A29" s="180" t="s">
        <v>135</v>
      </c>
      <c r="B29" s="152"/>
      <c r="C29" s="181">
        <v>24500</v>
      </c>
      <c r="D29" s="181">
        <v>215818.22000000003</v>
      </c>
      <c r="E29" s="183">
        <v>-110290</v>
      </c>
      <c r="F29" s="183">
        <v>107104</v>
      </c>
      <c r="G29" s="174">
        <f t="shared" si="15"/>
        <v>212632.22000000003</v>
      </c>
      <c r="H29" s="174">
        <f t="shared" si="16"/>
        <v>203.65288000000004</v>
      </c>
      <c r="I29" s="174">
        <f t="shared" si="17"/>
        <v>212835.87288000004</v>
      </c>
    </row>
    <row r="30" spans="1:26" ht="13.8">
      <c r="A30" s="180" t="s">
        <v>136</v>
      </c>
      <c r="B30" s="152"/>
      <c r="C30" s="181">
        <v>93286.27</v>
      </c>
      <c r="D30" s="181">
        <f>2777525.28-83147.87</f>
        <v>2694377.4099999997</v>
      </c>
      <c r="E30" s="183">
        <v>-2876434</v>
      </c>
      <c r="F30" s="183">
        <v>6174557</v>
      </c>
      <c r="G30" s="174">
        <f t="shared" si="15"/>
        <v>5992500.4100000001</v>
      </c>
      <c r="H30" s="174">
        <f t="shared" si="16"/>
        <v>-103711.16055999999</v>
      </c>
      <c r="I30" s="174">
        <f t="shared" si="17"/>
        <v>5888789.2494400004</v>
      </c>
      <c r="J30" s="283"/>
    </row>
    <row r="31" spans="1:26" ht="13.8">
      <c r="A31" s="180" t="s">
        <v>180</v>
      </c>
      <c r="B31" s="152"/>
      <c r="C31" s="181">
        <v>992</v>
      </c>
      <c r="D31" s="181">
        <v>199493.18</v>
      </c>
      <c r="E31" s="183">
        <v>0</v>
      </c>
      <c r="F31" s="183">
        <v>0</v>
      </c>
      <c r="G31" s="174">
        <f t="shared" si="15"/>
        <v>199493.18</v>
      </c>
      <c r="H31" s="174">
        <f>-J69</f>
        <v>0</v>
      </c>
      <c r="I31" s="174">
        <f t="shared" si="17"/>
        <v>199493.18</v>
      </c>
    </row>
    <row r="32" spans="1:26" ht="13.8">
      <c r="A32" s="180" t="s">
        <v>137</v>
      </c>
      <c r="B32" s="152"/>
      <c r="C32" s="181">
        <v>23782</v>
      </c>
      <c r="D32" s="181">
        <v>581893.98</v>
      </c>
      <c r="E32" s="183">
        <v>-116144</v>
      </c>
      <c r="F32" s="183">
        <v>165633</v>
      </c>
      <c r="G32" s="174">
        <f t="shared" si="15"/>
        <v>631382.98</v>
      </c>
      <c r="H32" s="174">
        <f>-J70</f>
        <v>-3562.4575999999997</v>
      </c>
      <c r="I32" s="174">
        <f t="shared" si="17"/>
        <v>627820.52240000002</v>
      </c>
    </row>
    <row r="33" spans="1:12" ht="13.8">
      <c r="A33" s="180" t="s">
        <v>138</v>
      </c>
      <c r="B33" s="152"/>
      <c r="C33" s="181">
        <v>24236</v>
      </c>
      <c r="D33" s="181">
        <v>76465.19</v>
      </c>
      <c r="E33" s="183">
        <v>-19268</v>
      </c>
      <c r="F33" s="183">
        <v>27222</v>
      </c>
      <c r="G33" s="174">
        <f t="shared" si="15"/>
        <v>84419.19</v>
      </c>
      <c r="H33" s="174">
        <f>-J71</f>
        <v>-247.45110000000003</v>
      </c>
      <c r="I33" s="174">
        <f t="shared" si="17"/>
        <v>84171.738899999997</v>
      </c>
    </row>
    <row r="34" spans="1:12" ht="13.8">
      <c r="A34" s="180" t="s">
        <v>192</v>
      </c>
      <c r="B34" s="152"/>
      <c r="C34" s="174"/>
      <c r="D34" s="181">
        <v>548624.18000000005</v>
      </c>
      <c r="E34" s="181"/>
      <c r="F34" s="181"/>
      <c r="G34" s="174">
        <f>SUM(D34:F34)</f>
        <v>548624.18000000005</v>
      </c>
      <c r="H34" s="174"/>
      <c r="I34" s="174">
        <f t="shared" si="17"/>
        <v>548624.18000000005</v>
      </c>
    </row>
    <row r="35" spans="1:12" ht="13.8">
      <c r="A35" s="180" t="s">
        <v>193</v>
      </c>
      <c r="B35" s="152"/>
      <c r="C35" s="194"/>
      <c r="D35" s="181">
        <v>2150447.5700000003</v>
      </c>
      <c r="E35" s="181"/>
      <c r="F35" s="181"/>
      <c r="G35" s="174"/>
      <c r="H35" s="174"/>
      <c r="I35" s="174"/>
    </row>
    <row r="36" spans="1:12" ht="13.8">
      <c r="A36" s="180" t="s">
        <v>194</v>
      </c>
      <c r="B36" s="152"/>
      <c r="C36" s="194"/>
      <c r="D36" s="181">
        <v>1343608.8100000003</v>
      </c>
      <c r="E36" s="181"/>
      <c r="F36" s="181"/>
      <c r="G36" s="174"/>
      <c r="H36" s="174"/>
      <c r="I36" s="174"/>
    </row>
    <row r="37" spans="1:12" ht="13.8">
      <c r="A37" s="152"/>
      <c r="B37" s="152"/>
      <c r="C37" s="166">
        <f t="shared" ref="C37:I37" si="18">SUM(C24:C36)</f>
        <v>3733861.93</v>
      </c>
      <c r="D37" s="166">
        <f t="shared" si="18"/>
        <v>38090389.359999999</v>
      </c>
      <c r="E37" s="166">
        <f t="shared" si="18"/>
        <v>-19852221</v>
      </c>
      <c r="F37" s="166">
        <f t="shared" si="18"/>
        <v>22555903</v>
      </c>
      <c r="G37" s="166">
        <f t="shared" si="18"/>
        <v>37300014.979999997</v>
      </c>
      <c r="H37" s="166">
        <f t="shared" si="18"/>
        <v>-40414.961950000012</v>
      </c>
      <c r="I37" s="166">
        <f t="shared" si="18"/>
        <v>37259600.01805</v>
      </c>
    </row>
    <row r="38" spans="1:12" ht="14.4" thickBot="1">
      <c r="A38" s="152"/>
      <c r="B38" s="152"/>
      <c r="D38" s="167"/>
      <c r="E38" s="152"/>
      <c r="F38" s="152"/>
    </row>
    <row r="39" spans="1:12" ht="13.8">
      <c r="A39" s="152" t="s">
        <v>19</v>
      </c>
      <c r="B39" s="152"/>
      <c r="C39" s="169">
        <f t="shared" ref="C39:I39" si="19">C24+C25</f>
        <v>1989944</v>
      </c>
      <c r="D39" s="168">
        <f t="shared" si="19"/>
        <v>14429703.879999999</v>
      </c>
      <c r="E39" s="168">
        <f t="shared" si="19"/>
        <v>-9230603</v>
      </c>
      <c r="F39" s="168">
        <f t="shared" si="19"/>
        <v>8184879</v>
      </c>
      <c r="G39" s="168">
        <f t="shared" si="19"/>
        <v>13383979.879999999</v>
      </c>
      <c r="H39" s="168">
        <f t="shared" si="19"/>
        <v>88681.826909999989</v>
      </c>
      <c r="I39" s="169">
        <f t="shared" si="19"/>
        <v>13472661.706909999</v>
      </c>
    </row>
    <row r="40" spans="1:12" ht="6" customHeight="1">
      <c r="A40" s="152"/>
      <c r="B40" s="152"/>
      <c r="C40" s="173"/>
      <c r="D40" s="168"/>
      <c r="E40" s="152"/>
      <c r="F40" s="152"/>
      <c r="I40" s="190"/>
    </row>
    <row r="41" spans="1:12" ht="14.4" thickBot="1">
      <c r="A41" s="152" t="s">
        <v>184</v>
      </c>
      <c r="B41" s="152"/>
      <c r="C41" s="175">
        <f>SUM(C26:C29,C31:C33)</f>
        <v>1650631.66</v>
      </c>
      <c r="D41" s="176">
        <f t="shared" ref="D41:I41" si="20">SUM(D26:D29,D31:D33)</f>
        <v>16923627.510000002</v>
      </c>
      <c r="E41" s="176">
        <f t="shared" si="20"/>
        <v>-7745184</v>
      </c>
      <c r="F41" s="176">
        <f t="shared" si="20"/>
        <v>8196467</v>
      </c>
      <c r="G41" s="176">
        <f t="shared" si="20"/>
        <v>17374910.510000002</v>
      </c>
      <c r="H41" s="176">
        <f t="shared" si="20"/>
        <v>-25385.628299999997</v>
      </c>
      <c r="I41" s="175">
        <f t="shared" si="20"/>
        <v>17349524.881699998</v>
      </c>
    </row>
    <row r="42" spans="1:12" ht="13.8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2" ht="13.8">
      <c r="C43" s="191">
        <v>43040</v>
      </c>
      <c r="D43" s="196">
        <v>43040</v>
      </c>
      <c r="E43" s="192">
        <v>42278</v>
      </c>
      <c r="F43" s="191">
        <v>42583</v>
      </c>
      <c r="G43" s="191">
        <v>43009</v>
      </c>
      <c r="H43" s="191">
        <v>42380</v>
      </c>
      <c r="I43" s="191">
        <v>42917</v>
      </c>
      <c r="J43" s="191"/>
      <c r="K43" s="196"/>
    </row>
    <row r="44" spans="1:12" ht="42" customHeight="1">
      <c r="A44" s="179" t="s">
        <v>195</v>
      </c>
      <c r="B44" s="154"/>
      <c r="C44" s="165" t="s">
        <v>196</v>
      </c>
      <c r="D44" s="165" t="s">
        <v>213</v>
      </c>
      <c r="E44" s="165" t="s">
        <v>197</v>
      </c>
      <c r="F44" s="165" t="s">
        <v>198</v>
      </c>
      <c r="G44" s="165" t="s">
        <v>199</v>
      </c>
      <c r="H44" s="165" t="s">
        <v>200</v>
      </c>
      <c r="I44" s="165" t="s">
        <v>201</v>
      </c>
      <c r="K44" s="211" t="s">
        <v>229</v>
      </c>
      <c r="L44" s="1" t="s">
        <v>230</v>
      </c>
    </row>
    <row r="45" spans="1:12" ht="13.8">
      <c r="A45" s="180" t="s">
        <v>131</v>
      </c>
      <c r="B45" s="152"/>
      <c r="C45" s="171">
        <v>-8.0999999999999996E-4</v>
      </c>
      <c r="D45" s="171">
        <v>4.45E-3</v>
      </c>
      <c r="E45" s="171"/>
      <c r="F45" s="171">
        <v>3.4399999999999999E-3</v>
      </c>
      <c r="G45" s="171">
        <v>1.0499999999999999E-3</v>
      </c>
      <c r="H45" s="171">
        <v>0</v>
      </c>
      <c r="I45" s="171">
        <v>-5.6999999999999998E-4</v>
      </c>
      <c r="K45" s="171">
        <f>SUM(C45:I45)</f>
        <v>7.5599999999999999E-3</v>
      </c>
      <c r="L45" s="212">
        <f t="shared" ref="L45:L57" si="21">K45*H3</f>
        <v>-89556.372359999994</v>
      </c>
    </row>
    <row r="46" spans="1:12" ht="13.8">
      <c r="A46" s="180" t="s">
        <v>178</v>
      </c>
      <c r="B46" s="152"/>
      <c r="C46" s="171">
        <v>-8.0999999999999996E-4</v>
      </c>
      <c r="D46" s="171">
        <v>4.45E-3</v>
      </c>
      <c r="E46" s="171">
        <v>-3.1530000000000002E-2</v>
      </c>
      <c r="F46" s="171">
        <v>3.4399999999999999E-3</v>
      </c>
      <c r="G46" s="171">
        <v>1.0499999999999999E-3</v>
      </c>
      <c r="H46" s="171">
        <v>0</v>
      </c>
      <c r="I46" s="171">
        <v>-5.6999999999999998E-4</v>
      </c>
      <c r="K46" s="171">
        <f>SUM(C46:I46)</f>
        <v>-2.3970000000000005E-2</v>
      </c>
      <c r="L46" s="212">
        <f t="shared" si="21"/>
        <v>874.54545000000019</v>
      </c>
    </row>
    <row r="47" spans="1:12" ht="13.8">
      <c r="A47" s="180" t="s">
        <v>132</v>
      </c>
      <c r="B47" s="152"/>
      <c r="C47" s="171">
        <v>0</v>
      </c>
      <c r="D47" s="171">
        <v>4.0000000000000002E-4</v>
      </c>
      <c r="E47" s="171"/>
      <c r="F47" s="171">
        <v>4.6299999999999996E-3</v>
      </c>
      <c r="G47" s="171">
        <v>1.5200000000000001E-3</v>
      </c>
      <c r="H47" s="171">
        <v>0</v>
      </c>
      <c r="I47" s="171">
        <v>-5.6999999999999998E-4</v>
      </c>
      <c r="K47" s="171">
        <f t="shared" ref="K47:K57" si="22">SUM(C47:I47)</f>
        <v>5.9800000000000001E-3</v>
      </c>
      <c r="L47" s="212">
        <f t="shared" si="21"/>
        <v>1696.8907799999999</v>
      </c>
    </row>
    <row r="48" spans="1:12" ht="13.8">
      <c r="A48" s="180" t="s">
        <v>133</v>
      </c>
      <c r="B48" s="152"/>
      <c r="C48" s="171">
        <v>-8.0999999999999996E-4</v>
      </c>
      <c r="D48" s="171">
        <v>4.0000000000000002E-4</v>
      </c>
      <c r="E48" s="171"/>
      <c r="F48" s="171">
        <v>4.6299999999999996E-3</v>
      </c>
      <c r="G48" s="171">
        <v>1.5200000000000001E-3</v>
      </c>
      <c r="H48" s="171">
        <v>0</v>
      </c>
      <c r="I48" s="171">
        <v>-5.6999999999999998E-4</v>
      </c>
      <c r="K48" s="171">
        <f t="shared" si="22"/>
        <v>5.1700000000000001E-3</v>
      </c>
      <c r="L48" s="212">
        <f t="shared" si="21"/>
        <v>-1955.2784900000001</v>
      </c>
    </row>
    <row r="49" spans="1:13" ht="13.8">
      <c r="A49" s="180" t="s">
        <v>134</v>
      </c>
      <c r="B49" s="152"/>
      <c r="C49" s="171">
        <v>0</v>
      </c>
      <c r="D49" s="171">
        <v>4.0000000000000002E-4</v>
      </c>
      <c r="E49" s="171"/>
      <c r="F49" s="171">
        <v>3.6600000000000001E-3</v>
      </c>
      <c r="G49" s="171">
        <v>1.1000000000000001E-3</v>
      </c>
      <c r="H49" s="171">
        <v>0</v>
      </c>
      <c r="I49" s="171">
        <v>-5.9000000000000003E-4</v>
      </c>
      <c r="K49" s="171">
        <f t="shared" si="22"/>
        <v>4.5700000000000003E-3</v>
      </c>
      <c r="L49" s="212">
        <f t="shared" si="21"/>
        <v>22037.760190000001</v>
      </c>
    </row>
    <row r="50" spans="1:13" ht="13.8">
      <c r="A50" s="180" t="s">
        <v>135</v>
      </c>
      <c r="B50" s="152"/>
      <c r="C50" s="171">
        <v>-8.0999999999999996E-4</v>
      </c>
      <c r="D50" s="171">
        <v>4.0000000000000002E-4</v>
      </c>
      <c r="E50" s="171"/>
      <c r="F50" s="171">
        <v>3.6600000000000001E-3</v>
      </c>
      <c r="G50" s="171">
        <v>1.1000000000000001E-3</v>
      </c>
      <c r="H50" s="171">
        <v>0</v>
      </c>
      <c r="I50" s="171">
        <v>-5.9000000000000003E-4</v>
      </c>
      <c r="K50" s="171">
        <f t="shared" si="22"/>
        <v>3.7600000000000003E-3</v>
      </c>
      <c r="L50" s="212">
        <f t="shared" si="21"/>
        <v>-203.65288000000001</v>
      </c>
    </row>
    <row r="51" spans="1:13" ht="13.8">
      <c r="A51" s="180" t="s">
        <v>136</v>
      </c>
      <c r="B51" s="152"/>
      <c r="C51" s="171">
        <v>0</v>
      </c>
      <c r="D51" s="171">
        <v>0</v>
      </c>
      <c r="E51" s="171"/>
      <c r="F51" s="171">
        <v>2.32E-3</v>
      </c>
      <c r="G51" s="171">
        <v>6.8999999999999997E-4</v>
      </c>
      <c r="H51" s="171">
        <v>0</v>
      </c>
      <c r="I51" s="171">
        <v>-5.6999999999999998E-4</v>
      </c>
      <c r="K51" s="171">
        <f t="shared" si="22"/>
        <v>2.4400000000000003E-3</v>
      </c>
      <c r="L51" s="212">
        <f t="shared" si="21"/>
        <v>103711.16056000002</v>
      </c>
    </row>
    <row r="52" spans="1:13" ht="13.8">
      <c r="A52" s="180" t="s">
        <v>179</v>
      </c>
      <c r="B52" s="152"/>
      <c r="C52" s="171">
        <v>0</v>
      </c>
      <c r="D52" s="171">
        <v>0</v>
      </c>
      <c r="E52" s="171"/>
      <c r="F52" s="171">
        <v>2.32E-3</v>
      </c>
      <c r="G52" s="171">
        <v>0</v>
      </c>
      <c r="H52" s="171">
        <v>0</v>
      </c>
      <c r="I52" s="171">
        <v>-5.6999999999999998E-4</v>
      </c>
      <c r="K52" s="171">
        <f t="shared" si="22"/>
        <v>1.75E-3</v>
      </c>
      <c r="L52" s="212">
        <f t="shared" si="21"/>
        <v>0</v>
      </c>
    </row>
    <row r="53" spans="1:13" ht="13.8">
      <c r="A53" s="180" t="s">
        <v>180</v>
      </c>
      <c r="B53" s="152"/>
      <c r="C53" s="171">
        <v>0</v>
      </c>
      <c r="D53" s="171">
        <v>4.0000000000000002E-4</v>
      </c>
      <c r="E53" s="171"/>
      <c r="F53" s="171">
        <v>3.4099999999999998E-3</v>
      </c>
      <c r="G53" s="171">
        <v>9.6000000000000002E-4</v>
      </c>
      <c r="H53" s="171">
        <v>0</v>
      </c>
      <c r="I53" s="171">
        <v>-6.0999999999999997E-4</v>
      </c>
      <c r="K53" s="171">
        <f t="shared" si="22"/>
        <v>4.1599999999999996E-3</v>
      </c>
      <c r="L53" s="212">
        <f t="shared" si="21"/>
        <v>0</v>
      </c>
    </row>
    <row r="54" spans="1:13" ht="13.8">
      <c r="A54" s="180" t="s">
        <v>137</v>
      </c>
      <c r="B54" s="152"/>
      <c r="C54" s="171">
        <v>0</v>
      </c>
      <c r="D54" s="171">
        <v>4.0000000000000002E-4</v>
      </c>
      <c r="E54" s="171"/>
      <c r="F54" s="171">
        <v>3.4099999999999998E-3</v>
      </c>
      <c r="G54" s="171">
        <v>9.6000000000000002E-4</v>
      </c>
      <c r="H54" s="171">
        <v>0</v>
      </c>
      <c r="I54" s="171">
        <v>-6.0999999999999997E-4</v>
      </c>
      <c r="K54" s="171">
        <f t="shared" si="22"/>
        <v>4.1599999999999996E-3</v>
      </c>
      <c r="L54" s="212">
        <f t="shared" si="21"/>
        <v>3562.4575999999997</v>
      </c>
    </row>
    <row r="55" spans="1:13" ht="13.8">
      <c r="A55" s="180" t="s">
        <v>138</v>
      </c>
      <c r="B55" s="152"/>
      <c r="C55" s="171">
        <v>-8.0999999999999996E-4</v>
      </c>
      <c r="D55" s="171">
        <v>4.0000000000000002E-4</v>
      </c>
      <c r="E55" s="171"/>
      <c r="F55" s="171">
        <v>3.4099999999999998E-3</v>
      </c>
      <c r="G55" s="171">
        <v>9.6000000000000002E-4</v>
      </c>
      <c r="H55" s="171">
        <v>0</v>
      </c>
      <c r="I55" s="171">
        <v>-6.0999999999999997E-4</v>
      </c>
      <c r="K55" s="171">
        <f t="shared" si="22"/>
        <v>3.3500000000000001E-3</v>
      </c>
      <c r="L55" s="212">
        <f t="shared" si="21"/>
        <v>247.4511</v>
      </c>
    </row>
    <row r="56" spans="1:13" ht="14.4" customHeight="1">
      <c r="A56" s="180" t="s">
        <v>192</v>
      </c>
      <c r="B56" s="152"/>
      <c r="C56" s="171">
        <v>0</v>
      </c>
      <c r="D56" s="171">
        <v>0</v>
      </c>
      <c r="E56" s="171"/>
      <c r="F56" s="186">
        <v>1.2149999999999999E-2</v>
      </c>
      <c r="G56" s="401" t="s">
        <v>214</v>
      </c>
      <c r="H56" s="171">
        <v>0</v>
      </c>
      <c r="I56" s="186">
        <v>-6.4999999999999997E-4</v>
      </c>
      <c r="K56" s="171">
        <f>SUM(C56:I56)</f>
        <v>1.15E-2</v>
      </c>
      <c r="L56" s="212">
        <f t="shared" si="21"/>
        <v>0</v>
      </c>
    </row>
    <row r="57" spans="1:13" ht="13.8">
      <c r="A57" s="180" t="s">
        <v>183</v>
      </c>
      <c r="B57" s="152"/>
      <c r="C57" s="171">
        <v>-8.0999999999999996E-4</v>
      </c>
      <c r="D57" s="171">
        <v>0</v>
      </c>
      <c r="E57" s="171"/>
      <c r="F57" s="186">
        <v>1.2149999999999999E-2</v>
      </c>
      <c r="G57" s="401"/>
      <c r="H57" s="171">
        <v>0</v>
      </c>
      <c r="I57" s="186">
        <v>-6.4999999999999997E-4</v>
      </c>
      <c r="K57" s="171">
        <f t="shared" si="22"/>
        <v>1.069E-2</v>
      </c>
      <c r="L57" s="212">
        <f t="shared" si="21"/>
        <v>0</v>
      </c>
    </row>
    <row r="58" spans="1:13" ht="13.8">
      <c r="A58" s="180"/>
      <c r="B58" s="152"/>
      <c r="C58" s="171"/>
      <c r="D58" s="171"/>
      <c r="E58" s="171"/>
      <c r="F58" s="186"/>
      <c r="G58" s="236"/>
      <c r="H58" s="171"/>
      <c r="I58" s="186"/>
      <c r="K58" s="171"/>
      <c r="L58" s="212"/>
    </row>
    <row r="59" spans="1:13" ht="13.8">
      <c r="A59" s="180"/>
      <c r="B59" s="152"/>
      <c r="C59" s="171"/>
      <c r="D59" s="171"/>
      <c r="E59" s="171"/>
      <c r="F59" s="186"/>
      <c r="G59" s="236"/>
      <c r="H59" s="171"/>
      <c r="I59" s="186"/>
      <c r="K59" s="171"/>
      <c r="L59" s="212"/>
    </row>
    <row r="60" spans="1:13" ht="13.8">
      <c r="E60" s="152"/>
      <c r="L60" s="212">
        <f>SUM(L45:L57)</f>
        <v>40414.961950000041</v>
      </c>
      <c r="M60" s="235"/>
    </row>
    <row r="61" spans="1:13" ht="52.8">
      <c r="A61" s="179" t="s">
        <v>202</v>
      </c>
      <c r="B61" s="154"/>
      <c r="C61" s="172" t="s">
        <v>209</v>
      </c>
      <c r="D61" s="172" t="s">
        <v>213</v>
      </c>
      <c r="E61" s="172" t="s">
        <v>203</v>
      </c>
      <c r="F61" s="172" t="s">
        <v>204</v>
      </c>
      <c r="G61" s="172" t="s">
        <v>205</v>
      </c>
      <c r="H61" s="172" t="s">
        <v>206</v>
      </c>
      <c r="I61" s="172" t="s">
        <v>207</v>
      </c>
      <c r="J61" s="172" t="s">
        <v>208</v>
      </c>
      <c r="M61" s="168"/>
    </row>
    <row r="62" spans="1:13" ht="13.8">
      <c r="A62" s="180" t="s">
        <v>131</v>
      </c>
      <c r="C62" s="168">
        <f t="shared" ref="C62:C67" si="23">C45*H3</f>
        <v>9595.3256099999999</v>
      </c>
      <c r="D62" s="168">
        <f t="shared" ref="D62:D67" si="24">D45*H3</f>
        <v>-52715.060449999997</v>
      </c>
      <c r="E62" s="168">
        <f t="shared" ref="E62:E67" si="25">$H3*E45</f>
        <v>0</v>
      </c>
      <c r="F62" s="168">
        <f t="shared" ref="F62:G67" si="26">($H3*F45)</f>
        <v>-40750.518640000002</v>
      </c>
      <c r="G62" s="168">
        <f t="shared" si="26"/>
        <v>-12438.385049999999</v>
      </c>
      <c r="H62" s="168">
        <f t="shared" ref="H62:H67" si="27">$H3*H45</f>
        <v>0</v>
      </c>
      <c r="I62" s="168">
        <f t="shared" ref="I62:I67" si="28">(I45*H3)</f>
        <v>6752.2661699999999</v>
      </c>
      <c r="J62" s="168">
        <f>SUM(C62:I62)</f>
        <v>-89556.372359999994</v>
      </c>
      <c r="M62" s="168"/>
    </row>
    <row r="63" spans="1:13" ht="13.8">
      <c r="A63" s="180" t="s">
        <v>178</v>
      </c>
      <c r="C63" s="168">
        <f t="shared" si="23"/>
        <v>29.552849999999999</v>
      </c>
      <c r="D63" s="168">
        <f t="shared" si="24"/>
        <v>-162.35825</v>
      </c>
      <c r="E63" s="168">
        <f t="shared" si="25"/>
        <v>1150.3720500000002</v>
      </c>
      <c r="F63" s="168">
        <f t="shared" si="26"/>
        <v>-125.50839999999999</v>
      </c>
      <c r="G63" s="168">
        <f t="shared" si="26"/>
        <v>-38.309249999999999</v>
      </c>
      <c r="H63" s="168">
        <f t="shared" si="27"/>
        <v>0</v>
      </c>
      <c r="I63" s="168">
        <f t="shared" si="28"/>
        <v>20.79645</v>
      </c>
      <c r="J63" s="168">
        <f t="shared" ref="J63:J72" si="29">SUM(C63:I63)</f>
        <v>874.5454500000003</v>
      </c>
      <c r="M63" s="168"/>
    </row>
    <row r="64" spans="1:13" ht="13.8">
      <c r="A64" s="180" t="s">
        <v>132</v>
      </c>
      <c r="C64" s="168">
        <f t="shared" si="23"/>
        <v>0</v>
      </c>
      <c r="D64" s="168">
        <f t="shared" si="24"/>
        <v>113.5044</v>
      </c>
      <c r="E64" s="168">
        <f t="shared" si="25"/>
        <v>0</v>
      </c>
      <c r="F64" s="168">
        <f t="shared" si="26"/>
        <v>1313.8134299999999</v>
      </c>
      <c r="G64" s="168">
        <f t="shared" si="26"/>
        <v>431.31672000000003</v>
      </c>
      <c r="H64" s="168">
        <f t="shared" si="27"/>
        <v>0</v>
      </c>
      <c r="I64" s="168">
        <f t="shared" si="28"/>
        <v>-161.74376999999998</v>
      </c>
      <c r="J64" s="168">
        <f t="shared" si="29"/>
        <v>1696.8907799999999</v>
      </c>
      <c r="M64" s="168"/>
    </row>
    <row r="65" spans="1:13" ht="13.8">
      <c r="A65" s="180" t="s">
        <v>133</v>
      </c>
      <c r="C65" s="168">
        <f t="shared" si="23"/>
        <v>306.33956999999998</v>
      </c>
      <c r="D65" s="168">
        <f t="shared" si="24"/>
        <v>-151.27880000000002</v>
      </c>
      <c r="E65" s="168">
        <f t="shared" si="25"/>
        <v>0</v>
      </c>
      <c r="F65" s="168">
        <f t="shared" si="26"/>
        <v>-1751.0521099999999</v>
      </c>
      <c r="G65" s="168">
        <f t="shared" si="26"/>
        <v>-574.85944000000006</v>
      </c>
      <c r="H65" s="168">
        <f t="shared" si="27"/>
        <v>0</v>
      </c>
      <c r="I65" s="168">
        <f t="shared" si="28"/>
        <v>215.57228999999998</v>
      </c>
      <c r="J65" s="168">
        <f t="shared" si="29"/>
        <v>-1955.2784899999997</v>
      </c>
      <c r="M65" s="168"/>
    </row>
    <row r="66" spans="1:13" ht="13.8">
      <c r="A66" s="180" t="s">
        <v>134</v>
      </c>
      <c r="C66" s="168">
        <f t="shared" si="23"/>
        <v>0</v>
      </c>
      <c r="D66" s="168">
        <f t="shared" si="24"/>
        <v>1928.9068000000002</v>
      </c>
      <c r="E66" s="168">
        <f t="shared" si="25"/>
        <v>0</v>
      </c>
      <c r="F66" s="168">
        <f t="shared" si="26"/>
        <v>17649.497220000001</v>
      </c>
      <c r="G66" s="168">
        <f t="shared" si="26"/>
        <v>5304.4937</v>
      </c>
      <c r="H66" s="168">
        <f t="shared" si="27"/>
        <v>0</v>
      </c>
      <c r="I66" s="168">
        <f t="shared" si="28"/>
        <v>-2845.13753</v>
      </c>
      <c r="J66" s="168">
        <f t="shared" si="29"/>
        <v>22037.760190000001</v>
      </c>
      <c r="M66" s="168"/>
    </row>
    <row r="67" spans="1:13" ht="13.8">
      <c r="A67" s="180" t="s">
        <v>135</v>
      </c>
      <c r="C67" s="168">
        <f t="shared" si="23"/>
        <v>43.872029999999995</v>
      </c>
      <c r="D67" s="168">
        <f t="shared" si="24"/>
        <v>-21.665200000000002</v>
      </c>
      <c r="E67" s="168">
        <f t="shared" si="25"/>
        <v>0</v>
      </c>
      <c r="F67" s="168">
        <f t="shared" si="26"/>
        <v>-198.23658</v>
      </c>
      <c r="G67" s="168">
        <f t="shared" si="26"/>
        <v>-59.579300000000003</v>
      </c>
      <c r="H67" s="168">
        <f t="shared" si="27"/>
        <v>0</v>
      </c>
      <c r="I67" s="168">
        <f t="shared" si="28"/>
        <v>31.95617</v>
      </c>
      <c r="J67" s="168">
        <f>SUM(C67:I67)</f>
        <v>-203.65288000000004</v>
      </c>
      <c r="M67" s="168"/>
    </row>
    <row r="68" spans="1:13" ht="13.8">
      <c r="A68" s="180" t="s">
        <v>136</v>
      </c>
      <c r="C68" s="168">
        <f t="shared" ref="C68:I68" si="30">$H9*C51+$H10*C52</f>
        <v>0</v>
      </c>
      <c r="D68" s="168">
        <f t="shared" si="30"/>
        <v>0</v>
      </c>
      <c r="E68" s="168">
        <f t="shared" si="30"/>
        <v>0</v>
      </c>
      <c r="F68" s="168">
        <f t="shared" si="30"/>
        <v>98610.611680000002</v>
      </c>
      <c r="G68" s="168">
        <f t="shared" si="30"/>
        <v>29328.156059999998</v>
      </c>
      <c r="H68" s="168">
        <f t="shared" si="30"/>
        <v>0</v>
      </c>
      <c r="I68" s="168">
        <f t="shared" si="30"/>
        <v>-24227.607179999999</v>
      </c>
      <c r="J68" s="168">
        <f t="shared" si="29"/>
        <v>103711.16055999999</v>
      </c>
      <c r="M68" s="168"/>
    </row>
    <row r="69" spans="1:13" ht="13.8">
      <c r="A69" s="180" t="s">
        <v>180</v>
      </c>
      <c r="C69" s="168">
        <f t="shared" ref="C69:E71" si="31">$H11*C53</f>
        <v>0</v>
      </c>
      <c r="D69" s="168">
        <f t="shared" si="31"/>
        <v>0</v>
      </c>
      <c r="E69" s="168">
        <f t="shared" si="31"/>
        <v>0</v>
      </c>
      <c r="F69" s="168">
        <f t="shared" ref="F69:G71" si="32">($H11*F53)</f>
        <v>0</v>
      </c>
      <c r="G69" s="168">
        <f t="shared" si="32"/>
        <v>0</v>
      </c>
      <c r="H69" s="168">
        <f t="shared" ref="H69:I71" si="33">$H11*H53</f>
        <v>0</v>
      </c>
      <c r="I69" s="168">
        <f t="shared" si="33"/>
        <v>0</v>
      </c>
      <c r="J69" s="168">
        <f t="shared" si="29"/>
        <v>0</v>
      </c>
      <c r="M69" s="168"/>
    </row>
    <row r="70" spans="1:13" ht="13.8">
      <c r="A70" s="180" t="s">
        <v>137</v>
      </c>
      <c r="C70" s="168">
        <f t="shared" si="31"/>
        <v>0</v>
      </c>
      <c r="D70" s="168">
        <f t="shared" si="31"/>
        <v>342.54400000000004</v>
      </c>
      <c r="E70" s="168">
        <f t="shared" si="31"/>
        <v>0</v>
      </c>
      <c r="F70" s="168">
        <f t="shared" si="32"/>
        <v>2920.1875999999997</v>
      </c>
      <c r="G70" s="168">
        <f t="shared" si="32"/>
        <v>822.10559999999998</v>
      </c>
      <c r="H70" s="168">
        <f t="shared" si="33"/>
        <v>0</v>
      </c>
      <c r="I70" s="168">
        <f t="shared" si="33"/>
        <v>-522.37959999999998</v>
      </c>
      <c r="J70" s="168">
        <f t="shared" si="29"/>
        <v>3562.4575999999997</v>
      </c>
      <c r="M70" s="168"/>
    </row>
    <row r="71" spans="1:13" ht="13.8">
      <c r="A71" s="180" t="s">
        <v>138</v>
      </c>
      <c r="C71" s="168">
        <f t="shared" si="31"/>
        <v>-59.83146</v>
      </c>
      <c r="D71" s="168">
        <f t="shared" si="31"/>
        <v>29.546400000000002</v>
      </c>
      <c r="E71" s="168">
        <f t="shared" si="31"/>
        <v>0</v>
      </c>
      <c r="F71" s="168">
        <f t="shared" si="32"/>
        <v>251.88306</v>
      </c>
      <c r="G71" s="168">
        <f t="shared" si="32"/>
        <v>70.911360000000002</v>
      </c>
      <c r="H71" s="168">
        <f t="shared" si="33"/>
        <v>0</v>
      </c>
      <c r="I71" s="168">
        <f t="shared" si="33"/>
        <v>-45.058259999999997</v>
      </c>
      <c r="J71" s="168">
        <f t="shared" si="29"/>
        <v>247.45110000000003</v>
      </c>
      <c r="M71" s="168"/>
    </row>
    <row r="72" spans="1:13" ht="13.8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/>
      <c r="H72" s="168">
        <f>($H14+$H15)*H56+$H16*H57</f>
        <v>0</v>
      </c>
      <c r="I72" s="168">
        <f>($H14+$H15)*I56+$H16*I57</f>
        <v>0</v>
      </c>
      <c r="J72" s="168">
        <f t="shared" si="29"/>
        <v>0</v>
      </c>
    </row>
    <row r="73" spans="1:13" ht="13.8">
      <c r="A73" s="157"/>
      <c r="C73" s="193">
        <f t="shared" ref="C73:J73" si="34">SUM(C62:C72)</f>
        <v>9915.258600000001</v>
      </c>
      <c r="D73" s="193">
        <f t="shared" si="34"/>
        <v>-50635.861100000002</v>
      </c>
      <c r="E73" s="193">
        <f t="shared" si="34"/>
        <v>1150.3720500000002</v>
      </c>
      <c r="F73" s="193">
        <f t="shared" si="34"/>
        <v>77920.677259999997</v>
      </c>
      <c r="G73" s="193">
        <f t="shared" si="34"/>
        <v>22845.850399999996</v>
      </c>
      <c r="H73" s="193">
        <f t="shared" si="34"/>
        <v>0</v>
      </c>
      <c r="I73" s="193">
        <f t="shared" si="34"/>
        <v>-20781.33526</v>
      </c>
      <c r="J73" s="193">
        <f t="shared" si="34"/>
        <v>40414.961950000012</v>
      </c>
    </row>
    <row r="75" spans="1:13" ht="13.8">
      <c r="A75" s="152" t="s">
        <v>19</v>
      </c>
      <c r="B75" s="152"/>
      <c r="C75" s="168">
        <f t="shared" ref="C75:J75" si="35">C62+C63</f>
        <v>9624.8784599999999</v>
      </c>
      <c r="D75" s="168">
        <f t="shared" si="35"/>
        <v>-52877.418699999995</v>
      </c>
      <c r="E75" s="168">
        <f t="shared" si="35"/>
        <v>1150.3720500000002</v>
      </c>
      <c r="F75" s="168">
        <f t="shared" si="35"/>
        <v>-40876.027040000001</v>
      </c>
      <c r="G75" s="168">
        <f t="shared" si="35"/>
        <v>-12476.694299999999</v>
      </c>
      <c r="H75" s="168">
        <f t="shared" si="35"/>
        <v>0</v>
      </c>
      <c r="I75" s="168">
        <f t="shared" si="35"/>
        <v>6773.0626199999997</v>
      </c>
      <c r="J75" s="168">
        <f t="shared" si="35"/>
        <v>-88681.826909999989</v>
      </c>
    </row>
    <row r="76" spans="1:13" ht="13.8">
      <c r="A76" s="152"/>
      <c r="B76" s="152"/>
      <c r="C76" s="168"/>
      <c r="D76" s="168"/>
      <c r="E76" s="168"/>
      <c r="F76" s="168"/>
      <c r="G76" s="168"/>
      <c r="H76" s="168"/>
      <c r="I76" s="168"/>
      <c r="J76" s="168"/>
    </row>
    <row r="77" spans="1:13" ht="13.8">
      <c r="A77" s="152" t="s">
        <v>184</v>
      </c>
      <c r="B77" s="152"/>
      <c r="C77" s="176">
        <f t="shared" ref="C77:J77" si="36">SUM(C64:C67,C69:C71)</f>
        <v>290.38013999999998</v>
      </c>
      <c r="D77" s="176">
        <f t="shared" si="36"/>
        <v>2241.5576000000005</v>
      </c>
      <c r="E77" s="176">
        <f t="shared" si="36"/>
        <v>0</v>
      </c>
      <c r="F77" s="176">
        <f t="shared" si="36"/>
        <v>20186.092620000003</v>
      </c>
      <c r="G77" s="176">
        <f t="shared" si="36"/>
        <v>5994.3886399999992</v>
      </c>
      <c r="H77" s="176">
        <f t="shared" si="36"/>
        <v>0</v>
      </c>
      <c r="I77" s="176">
        <f t="shared" si="36"/>
        <v>-3326.7906999999996</v>
      </c>
      <c r="J77" s="176">
        <f t="shared" si="36"/>
        <v>25385.628299999997</v>
      </c>
    </row>
    <row r="79" spans="1:13" ht="14.4">
      <c r="A79" s="151" t="s">
        <v>215</v>
      </c>
      <c r="B79" s="151"/>
      <c r="C79" s="151"/>
      <c r="D79" s="151"/>
      <c r="E79" s="151"/>
      <c r="F79" s="151"/>
    </row>
    <row r="80" spans="1:13" ht="14.4">
      <c r="A80" s="151" t="s">
        <v>223</v>
      </c>
      <c r="B80" s="151"/>
      <c r="C80" s="151"/>
      <c r="D80" s="151"/>
      <c r="E80" s="151"/>
      <c r="F80" s="151"/>
    </row>
    <row r="81" spans="1:14" ht="14.4">
      <c r="A81" s="170" t="s">
        <v>222</v>
      </c>
      <c r="B81" s="170"/>
      <c r="C81" s="170"/>
      <c r="D81" s="170"/>
      <c r="E81" s="170"/>
      <c r="F81" s="151"/>
    </row>
    <row r="82" spans="1:14" ht="28.2" customHeight="1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310</v>
      </c>
      <c r="H82" s="403"/>
      <c r="I82" s="403"/>
      <c r="J82" s="403"/>
      <c r="M82" s="200"/>
      <c r="N82" s="200"/>
    </row>
    <row r="83" spans="1:14" ht="14.4">
      <c r="A83" s="170" t="s">
        <v>311</v>
      </c>
      <c r="B83" s="198">
        <v>1</v>
      </c>
      <c r="C83" s="199">
        <v>896023</v>
      </c>
      <c r="D83" s="200">
        <f>77630.31-C83*SUM(K51)</f>
        <v>75444.013879999999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 customHeight="1">
      <c r="A84" s="202" t="s">
        <v>258</v>
      </c>
      <c r="B84" s="203">
        <f>SUM(B83:B83)</f>
        <v>1</v>
      </c>
      <c r="C84" s="204">
        <f>SUM(C83:C83)</f>
        <v>896023</v>
      </c>
      <c r="D84" s="205">
        <f>SUM(D83:D83)</f>
        <v>75444.013879999999</v>
      </c>
      <c r="E84" s="205">
        <f>SUM(E83:E83)</f>
        <v>500</v>
      </c>
      <c r="F84" s="151"/>
    </row>
    <row r="85" spans="1:14" ht="9" customHeight="1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</sheetData>
  <mergeCells count="3">
    <mergeCell ref="A1:I1"/>
    <mergeCell ref="G56:G57"/>
    <mergeCell ref="G82:J82"/>
  </mergeCells>
  <printOptions horizontalCentered="1"/>
  <pageMargins left="0.45" right="0.45" top="0.5" bottom="0.5" header="0.3" footer="0.3"/>
  <pageSetup scale="74" fitToHeight="2" orientation="landscape" r:id="rId1"/>
  <headerFooter>
    <oddFooter>&amp;L&amp;F / &amp;A&amp;RPage &amp;P</oddFooter>
  </headerFooter>
  <rowBreaks count="1" manualBreakCount="1">
    <brk id="42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</sheetPr>
  <dimension ref="A1:AE89"/>
  <sheetViews>
    <sheetView workbookViewId="0">
      <selection sqref="A1:I1"/>
    </sheetView>
  </sheetViews>
  <sheetFormatPr defaultColWidth="9.109375" defaultRowHeight="13.8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4.109375" style="1" customWidth="1"/>
    <col min="11" max="11" width="13.109375" style="1" customWidth="1"/>
    <col min="12" max="12" width="13.5546875" style="1" bestFit="1" customWidth="1"/>
    <col min="13" max="13" width="14.6640625" style="1" customWidth="1"/>
    <col min="14" max="14" width="2.6640625" style="1" customWidth="1"/>
    <col min="15" max="15" width="13.44140625" style="1" customWidth="1"/>
    <col min="16" max="16" width="13.33203125" style="1" customWidth="1"/>
    <col min="17" max="17" width="13" style="1" customWidth="1"/>
    <col min="18" max="18" width="10.109375" style="1" customWidth="1"/>
    <col min="19" max="19" width="12.3320312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16.109375" style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83</v>
      </c>
      <c r="AB1" s="151"/>
      <c r="AC1" s="151" t="s">
        <v>237</v>
      </c>
      <c r="AD1" s="224" t="s">
        <v>82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13" t="str">
        <f>AA1&amp;" Billed Schedule 75 Revenue"</f>
        <v>April Billed Schedule 75 Revenue</v>
      </c>
      <c r="P2" s="213" t="str">
        <f>AA1&amp;" Billed kWhs"</f>
        <v>April Billed kWhs</v>
      </c>
      <c r="Q2" s="213" t="str">
        <f>AA1&amp;" Unbilled kWhs"</f>
        <v>April Unbilled kWhs</v>
      </c>
      <c r="R2" s="213" t="s">
        <v>238</v>
      </c>
      <c r="S2" s="213" t="s">
        <v>239</v>
      </c>
      <c r="T2" s="213" t="str">
        <f>AD1&amp;" Unbilled kWhs reversal"</f>
        <v>March Unbilled kWhs reversal</v>
      </c>
      <c r="U2" s="213" t="s">
        <v>238</v>
      </c>
      <c r="V2" s="213" t="str">
        <f>AD1&amp;" Schedule 75 Unbilled Reversal"</f>
        <v>March Schedule 75 Unbilled Reversal</v>
      </c>
      <c r="W2" s="151"/>
      <c r="X2" s="213" t="str">
        <f>"Total "&amp;AA1&amp;" Schedule 75 Revenue"</f>
        <v>Total April Schedule 75 Revenue</v>
      </c>
      <c r="Y2" s="151"/>
      <c r="Z2" s="213" t="str">
        <f>"Calendar "&amp;AA1&amp;" Usage"</f>
        <v>Calendar April Usage</v>
      </c>
      <c r="AA2" s="213" t="str">
        <f>R2</f>
        <v>11/1/2017 rate</v>
      </c>
      <c r="AB2" s="213" t="s">
        <v>240</v>
      </c>
      <c r="AC2" s="213" t="s">
        <v>241</v>
      </c>
      <c r="AD2" s="213" t="str">
        <f>"implied "&amp;AD1&amp;" unbilled/Cancel-Rebill True-up kWhs"</f>
        <v>implied March unbilled/Cancel-Rebill True-up kWhs</v>
      </c>
      <c r="AE2" s="151"/>
    </row>
    <row r="3" spans="1:31" ht="15" customHeight="1">
      <c r="A3" s="180" t="s">
        <v>131</v>
      </c>
      <c r="B3" s="152"/>
      <c r="C3" s="158">
        <v>214565</v>
      </c>
      <c r="D3" s="194"/>
      <c r="E3" s="182">
        <v>195370733.43000999</v>
      </c>
      <c r="F3" s="182">
        <v>-117838911</v>
      </c>
      <c r="G3" s="182">
        <v>96562318</v>
      </c>
      <c r="H3" s="189">
        <f>SUM(F3:G3)</f>
        <v>-21276593</v>
      </c>
      <c r="I3" s="159">
        <f>E3+H3</f>
        <v>174094140.43000999</v>
      </c>
      <c r="M3" s="151" t="s">
        <v>242</v>
      </c>
      <c r="N3" s="151"/>
      <c r="O3" s="214">
        <v>869427.59</v>
      </c>
      <c r="P3" s="225">
        <f t="shared" ref="P3:P8" si="0">E3</f>
        <v>195370733.43000999</v>
      </c>
      <c r="Q3" s="225">
        <f t="shared" ref="Q3:Q8" si="1">G3</f>
        <v>96562318</v>
      </c>
      <c r="R3" s="206">
        <v>4.45E-3</v>
      </c>
      <c r="S3" s="215">
        <f>Q3*R3</f>
        <v>429702.31510000001</v>
      </c>
      <c r="T3" s="225">
        <f t="shared" ref="T3:T8" si="2">F3</f>
        <v>-117838911</v>
      </c>
      <c r="U3" s="206">
        <v>4.45E-3</v>
      </c>
      <c r="V3" s="216">
        <f>T3*U3</f>
        <v>-524383.15394999995</v>
      </c>
      <c r="W3" s="151"/>
      <c r="X3" s="150">
        <f>O3+S3+V3</f>
        <v>774746.75115000014</v>
      </c>
      <c r="Y3" s="151"/>
      <c r="Z3" s="95">
        <f>P3+Q3+T3</f>
        <v>174094140.43000996</v>
      </c>
      <c r="AA3" s="170">
        <f>R3</f>
        <v>4.45E-3</v>
      </c>
      <c r="AB3" s="217">
        <f>Z3*AA3</f>
        <v>774718.92491354432</v>
      </c>
      <c r="AC3" s="150">
        <f>X3-AB3</f>
        <v>27.826236455817707</v>
      </c>
      <c r="AD3" s="95">
        <f>AC3/AA3</f>
        <v>6253.0868440039794</v>
      </c>
      <c r="AE3" s="218">
        <f>AC3/X3</f>
        <v>3.5916557784222598E-5</v>
      </c>
    </row>
    <row r="4" spans="1:31" ht="14.4">
      <c r="A4" s="180" t="s">
        <v>178</v>
      </c>
      <c r="B4" s="152"/>
      <c r="C4" s="158">
        <v>406</v>
      </c>
      <c r="D4" s="194"/>
      <c r="E4" s="182">
        <v>456615.86800000002</v>
      </c>
      <c r="F4" s="182">
        <v>-277558</v>
      </c>
      <c r="G4" s="182">
        <v>214941</v>
      </c>
      <c r="H4" s="189">
        <f t="shared" ref="H4:H16" si="3">SUM(F4:G4)</f>
        <v>-62617</v>
      </c>
      <c r="I4" s="159">
        <f t="shared" ref="I4:I16" si="4">E4+H4</f>
        <v>393998.86800000002</v>
      </c>
      <c r="M4" s="151" t="s">
        <v>243</v>
      </c>
      <c r="N4" s="151"/>
      <c r="O4" s="214">
        <v>2031.96</v>
      </c>
      <c r="P4" s="225">
        <f t="shared" si="0"/>
        <v>456615.86800000002</v>
      </c>
      <c r="Q4" s="225">
        <f t="shared" si="1"/>
        <v>214941</v>
      </c>
      <c r="R4" s="206">
        <v>4.45E-3</v>
      </c>
      <c r="S4" s="215">
        <f>Q4*R4</f>
        <v>956.48744999999997</v>
      </c>
      <c r="T4" s="225">
        <f t="shared" si="2"/>
        <v>-277558</v>
      </c>
      <c r="U4" s="206">
        <v>4.45E-3</v>
      </c>
      <c r="V4" s="216">
        <f t="shared" ref="V4:V11" si="5">T4*U4</f>
        <v>-1235.1331</v>
      </c>
      <c r="W4" s="151"/>
      <c r="X4" s="150">
        <f t="shared" ref="X4:X11" si="6">O4+S4+V4</f>
        <v>1753.3143500000001</v>
      </c>
      <c r="Y4" s="151"/>
      <c r="Z4" s="95">
        <f t="shared" ref="Z4:Z11" si="7">P4+Q4+T4</f>
        <v>393998.86800000002</v>
      </c>
      <c r="AA4" s="170">
        <f t="shared" ref="AA4:AA11" si="8">R4</f>
        <v>4.45E-3</v>
      </c>
      <c r="AB4" s="217">
        <f t="shared" ref="AB4:AB11" si="9">Z4*AA4</f>
        <v>1753.2949626</v>
      </c>
      <c r="AC4" s="150">
        <f t="shared" ref="AC4:AC11" si="10">X4-AB4</f>
        <v>1.9387400000141497E-2</v>
      </c>
      <c r="AD4" s="95">
        <f t="shared" ref="AD4:AD11" si="11">AC4/AA4</f>
        <v>4.3567191011553925</v>
      </c>
      <c r="AE4" s="218">
        <f t="shared" ref="AE4:AE12" si="12">AC4/X4</f>
        <v>1.1057572191855669E-5</v>
      </c>
    </row>
    <row r="5" spans="1:31" ht="14.4">
      <c r="A5" s="180" t="s">
        <v>132</v>
      </c>
      <c r="B5" s="152"/>
      <c r="C5" s="158">
        <v>22562</v>
      </c>
      <c r="D5" s="194"/>
      <c r="E5" s="182">
        <v>45542639.403999999</v>
      </c>
      <c r="F5" s="182">
        <v>-24980245</v>
      </c>
      <c r="G5" s="182">
        <v>22407616</v>
      </c>
      <c r="H5" s="189">
        <f t="shared" si="3"/>
        <v>-2572629</v>
      </c>
      <c r="I5" s="159">
        <f t="shared" si="4"/>
        <v>42970010.403999999</v>
      </c>
      <c r="M5" s="151" t="s">
        <v>244</v>
      </c>
      <c r="N5" s="151"/>
      <c r="O5" s="214">
        <v>18215.41</v>
      </c>
      <c r="P5" s="225">
        <f t="shared" si="0"/>
        <v>45542639.403999999</v>
      </c>
      <c r="Q5" s="225">
        <f t="shared" si="1"/>
        <v>22407616</v>
      </c>
      <c r="R5" s="219">
        <v>4.0000000000000002E-4</v>
      </c>
      <c r="S5" s="215">
        <f>Q5*R5</f>
        <v>8963.0464000000011</v>
      </c>
      <c r="T5" s="225">
        <f t="shared" si="2"/>
        <v>-24980245</v>
      </c>
      <c r="U5" s="219">
        <v>4.0000000000000002E-4</v>
      </c>
      <c r="V5" s="216">
        <f t="shared" si="5"/>
        <v>-9992.098</v>
      </c>
      <c r="W5" s="151"/>
      <c r="X5" s="150">
        <f t="shared" si="6"/>
        <v>17186.358400000005</v>
      </c>
      <c r="Y5" s="151"/>
      <c r="Z5" s="95">
        <f t="shared" si="7"/>
        <v>42970010.403999999</v>
      </c>
      <c r="AA5" s="220">
        <f t="shared" si="8"/>
        <v>4.0000000000000002E-4</v>
      </c>
      <c r="AB5" s="217">
        <f t="shared" si="9"/>
        <v>17188.004161600002</v>
      </c>
      <c r="AC5" s="150">
        <f t="shared" si="10"/>
        <v>-1.6457615999970585</v>
      </c>
      <c r="AD5" s="95">
        <f t="shared" si="11"/>
        <v>-4114.4039999926463</v>
      </c>
      <c r="AE5" s="218">
        <f t="shared" si="12"/>
        <v>-9.5759762579899308E-5</v>
      </c>
    </row>
    <row r="6" spans="1:31" ht="14.4">
      <c r="A6" s="180" t="s">
        <v>133</v>
      </c>
      <c r="B6" s="152"/>
      <c r="C6" s="158">
        <v>9385</v>
      </c>
      <c r="D6" s="194"/>
      <c r="E6" s="182">
        <v>5149600.71</v>
      </c>
      <c r="F6" s="182">
        <v>-3114821</v>
      </c>
      <c r="G6" s="182">
        <v>2552426</v>
      </c>
      <c r="H6" s="189">
        <f t="shared" si="3"/>
        <v>-562395</v>
      </c>
      <c r="I6" s="159">
        <f t="shared" si="4"/>
        <v>4587205.71</v>
      </c>
      <c r="M6" s="151" t="s">
        <v>245</v>
      </c>
      <c r="N6" s="151"/>
      <c r="O6" s="214">
        <v>2058.6799999999998</v>
      </c>
      <c r="P6" s="225">
        <f t="shared" si="0"/>
        <v>5149600.71</v>
      </c>
      <c r="Q6" s="225">
        <f t="shared" si="1"/>
        <v>2552426</v>
      </c>
      <c r="R6" s="219">
        <v>4.0000000000000002E-4</v>
      </c>
      <c r="S6" s="215">
        <f t="shared" ref="S6:S11" si="13">Q6*R6</f>
        <v>1020.9704</v>
      </c>
      <c r="T6" s="225">
        <f t="shared" si="2"/>
        <v>-3114821</v>
      </c>
      <c r="U6" s="219">
        <v>4.0000000000000002E-4</v>
      </c>
      <c r="V6" s="216">
        <f t="shared" si="5"/>
        <v>-1245.9284</v>
      </c>
      <c r="W6" s="151"/>
      <c r="X6" s="150">
        <f t="shared" si="6"/>
        <v>1833.722</v>
      </c>
      <c r="Y6" s="151"/>
      <c r="Z6" s="95">
        <f t="shared" si="7"/>
        <v>4587205.71</v>
      </c>
      <c r="AA6" s="220">
        <f t="shared" si="8"/>
        <v>4.0000000000000002E-4</v>
      </c>
      <c r="AB6" s="217">
        <f t="shared" si="9"/>
        <v>1834.882284</v>
      </c>
      <c r="AC6" s="150">
        <f t="shared" si="10"/>
        <v>-1.1602840000000469</v>
      </c>
      <c r="AD6" s="95">
        <f t="shared" si="11"/>
        <v>-2900.7100000001174</v>
      </c>
      <c r="AE6" s="218">
        <f t="shared" si="12"/>
        <v>-6.3274803923388983E-4</v>
      </c>
    </row>
    <row r="7" spans="1:31" ht="14.4">
      <c r="A7" s="180" t="s">
        <v>134</v>
      </c>
      <c r="B7" s="152"/>
      <c r="C7" s="158">
        <v>1842</v>
      </c>
      <c r="D7" s="194"/>
      <c r="E7" s="182">
        <v>108414515.04799999</v>
      </c>
      <c r="F7" s="182">
        <v>-54956540</v>
      </c>
      <c r="G7" s="182">
        <v>53278541</v>
      </c>
      <c r="H7" s="189">
        <f t="shared" si="3"/>
        <v>-1677999</v>
      </c>
      <c r="I7" s="159">
        <f t="shared" si="4"/>
        <v>106736516.04799999</v>
      </c>
      <c r="M7" s="151" t="s">
        <v>246</v>
      </c>
      <c r="N7" s="151"/>
      <c r="O7" s="214">
        <v>43365.95</v>
      </c>
      <c r="P7" s="225">
        <f t="shared" si="0"/>
        <v>108414515.04799999</v>
      </c>
      <c r="Q7" s="225">
        <f t="shared" si="1"/>
        <v>53278541</v>
      </c>
      <c r="R7" s="219">
        <v>4.0000000000000002E-4</v>
      </c>
      <c r="S7" s="215">
        <f t="shared" si="13"/>
        <v>21311.416400000002</v>
      </c>
      <c r="T7" s="225">
        <f t="shared" si="2"/>
        <v>-54956540</v>
      </c>
      <c r="U7" s="219">
        <v>4.0000000000000002E-4</v>
      </c>
      <c r="V7" s="216">
        <f t="shared" si="5"/>
        <v>-21982.616000000002</v>
      </c>
      <c r="W7" s="151"/>
      <c r="X7" s="150">
        <f t="shared" si="6"/>
        <v>42694.750399999997</v>
      </c>
      <c r="Y7" s="151"/>
      <c r="Z7" s="95">
        <f t="shared" si="7"/>
        <v>106736516.04799998</v>
      </c>
      <c r="AA7" s="220">
        <f t="shared" si="8"/>
        <v>4.0000000000000002E-4</v>
      </c>
      <c r="AB7" s="217">
        <f t="shared" si="9"/>
        <v>42694.60641919999</v>
      </c>
      <c r="AC7" s="150">
        <f t="shared" si="10"/>
        <v>0.14398080000682967</v>
      </c>
      <c r="AD7" s="95">
        <f t="shared" si="11"/>
        <v>359.95200001707417</v>
      </c>
      <c r="AE7" s="218">
        <f t="shared" si="12"/>
        <v>3.3723302902089265E-6</v>
      </c>
    </row>
    <row r="8" spans="1:31" ht="14.4">
      <c r="A8" s="180" t="s">
        <v>135</v>
      </c>
      <c r="B8" s="152"/>
      <c r="C8" s="158">
        <v>47</v>
      </c>
      <c r="D8" s="194"/>
      <c r="E8" s="182">
        <v>2676218.56</v>
      </c>
      <c r="F8" s="182">
        <v>-1541990</v>
      </c>
      <c r="G8" s="182">
        <v>1316515</v>
      </c>
      <c r="H8" s="189">
        <f t="shared" si="3"/>
        <v>-225475</v>
      </c>
      <c r="I8" s="159">
        <f t="shared" si="4"/>
        <v>2450743.56</v>
      </c>
      <c r="M8" s="151" t="s">
        <v>247</v>
      </c>
      <c r="N8" s="151"/>
      <c r="O8" s="214">
        <v>1070.48</v>
      </c>
      <c r="P8" s="225">
        <f t="shared" si="0"/>
        <v>2676218.56</v>
      </c>
      <c r="Q8" s="225">
        <f t="shared" si="1"/>
        <v>1316515</v>
      </c>
      <c r="R8" s="219">
        <v>4.0000000000000002E-4</v>
      </c>
      <c r="S8" s="215">
        <f t="shared" si="13"/>
        <v>526.60599999999999</v>
      </c>
      <c r="T8" s="225">
        <f t="shared" si="2"/>
        <v>-1541990</v>
      </c>
      <c r="U8" s="219">
        <v>4.0000000000000002E-4</v>
      </c>
      <c r="V8" s="216">
        <f t="shared" si="5"/>
        <v>-616.79600000000005</v>
      </c>
      <c r="W8" s="151"/>
      <c r="X8" s="150">
        <f t="shared" si="6"/>
        <v>980.29</v>
      </c>
      <c r="Y8" s="151"/>
      <c r="Z8" s="95">
        <f t="shared" si="7"/>
        <v>2450743.56</v>
      </c>
      <c r="AA8" s="220">
        <f t="shared" si="8"/>
        <v>4.0000000000000002E-4</v>
      </c>
      <c r="AB8" s="217">
        <f t="shared" si="9"/>
        <v>980.29742400000009</v>
      </c>
      <c r="AC8" s="150">
        <f t="shared" si="10"/>
        <v>-7.4240000001282169E-3</v>
      </c>
      <c r="AD8" s="95">
        <f t="shared" si="11"/>
        <v>-18.560000000320542</v>
      </c>
      <c r="AE8" s="218">
        <f t="shared" si="12"/>
        <v>-7.5732691347746252E-6</v>
      </c>
    </row>
    <row r="9" spans="1:31" ht="14.4">
      <c r="A9" s="180" t="s">
        <v>136</v>
      </c>
      <c r="B9" s="152"/>
      <c r="C9" s="158">
        <v>23</v>
      </c>
      <c r="D9" s="194"/>
      <c r="E9" s="182">
        <f>91719050-E10</f>
        <v>55707042</v>
      </c>
      <c r="F9" s="182">
        <v>-10932134</v>
      </c>
      <c r="G9" s="182">
        <f>49900218-G10</f>
        <v>14900218</v>
      </c>
      <c r="H9" s="189">
        <f t="shared" si="3"/>
        <v>3968084</v>
      </c>
      <c r="I9" s="159">
        <f t="shared" si="4"/>
        <v>59675126</v>
      </c>
      <c r="M9" s="151" t="s">
        <v>248</v>
      </c>
      <c r="N9" s="151"/>
      <c r="O9" s="214">
        <v>269.08999999999997</v>
      </c>
      <c r="P9" s="225">
        <f>E11</f>
        <v>672678.255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269.08999999999997</v>
      </c>
      <c r="Y9" s="151"/>
      <c r="Z9" s="95">
        <f t="shared" si="7"/>
        <v>672678.255</v>
      </c>
      <c r="AA9" s="220">
        <f t="shared" si="8"/>
        <v>4.0000000000000002E-4</v>
      </c>
      <c r="AB9" s="217">
        <f t="shared" si="9"/>
        <v>269.071302</v>
      </c>
      <c r="AC9" s="150">
        <f t="shared" si="10"/>
        <v>1.8697999999972126E-2</v>
      </c>
      <c r="AD9" s="95">
        <f t="shared" si="11"/>
        <v>46.744999999930315</v>
      </c>
      <c r="AE9" s="218">
        <f t="shared" si="12"/>
        <v>6.9486045560861146E-5</v>
      </c>
    </row>
    <row r="10" spans="1:31" ht="14.4">
      <c r="A10" s="180" t="s">
        <v>179</v>
      </c>
      <c r="B10" s="152"/>
      <c r="C10" s="158"/>
      <c r="D10" s="194"/>
      <c r="E10" s="182">
        <v>36012008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36012008</v>
      </c>
      <c r="M10" s="151" t="s">
        <v>249</v>
      </c>
      <c r="N10" s="151"/>
      <c r="O10" s="214">
        <v>1717.39</v>
      </c>
      <c r="P10" s="225">
        <f>E12</f>
        <v>4293787.9720000001</v>
      </c>
      <c r="Q10" s="225">
        <f>G12</f>
        <v>1826999</v>
      </c>
      <c r="R10" s="219">
        <v>4.0000000000000002E-4</v>
      </c>
      <c r="S10" s="215">
        <f t="shared" si="13"/>
        <v>730.79960000000005</v>
      </c>
      <c r="T10" s="225">
        <f>F12</f>
        <v>-1788709</v>
      </c>
      <c r="U10" s="219">
        <v>4.0000000000000002E-4</v>
      </c>
      <c r="V10" s="216">
        <f t="shared" si="5"/>
        <v>-715.48360000000002</v>
      </c>
      <c r="W10" s="151"/>
      <c r="X10" s="150">
        <f>O10+S10+V10</f>
        <v>1732.7060000000001</v>
      </c>
      <c r="Y10" s="151"/>
      <c r="Z10" s="95">
        <f t="shared" si="7"/>
        <v>4332077.9720000001</v>
      </c>
      <c r="AA10" s="220">
        <f t="shared" si="8"/>
        <v>4.0000000000000002E-4</v>
      </c>
      <c r="AB10" s="217">
        <f t="shared" si="9"/>
        <v>1732.8311888000001</v>
      </c>
      <c r="AC10" s="150">
        <f t="shared" si="10"/>
        <v>-0.1251887999999326</v>
      </c>
      <c r="AD10" s="95">
        <f t="shared" si="11"/>
        <v>-312.9719999998315</v>
      </c>
      <c r="AE10" s="218">
        <f t="shared" si="12"/>
        <v>-7.2250456799902925E-5</v>
      </c>
    </row>
    <row r="11" spans="1:31" ht="14.4">
      <c r="A11" s="180" t="s">
        <v>180</v>
      </c>
      <c r="B11" s="152"/>
      <c r="C11" s="158">
        <v>48</v>
      </c>
      <c r="D11" s="194"/>
      <c r="E11" s="182">
        <v>672678.255</v>
      </c>
      <c r="F11" s="182">
        <v>0</v>
      </c>
      <c r="G11" s="182">
        <v>0</v>
      </c>
      <c r="H11" s="189">
        <f t="shared" si="3"/>
        <v>0</v>
      </c>
      <c r="I11" s="159">
        <f t="shared" si="4"/>
        <v>672678.255</v>
      </c>
      <c r="M11" s="151" t="s">
        <v>250</v>
      </c>
      <c r="N11" s="151"/>
      <c r="O11" s="214">
        <v>142.81</v>
      </c>
      <c r="P11" s="225">
        <f>E13</f>
        <v>357364.77600000001</v>
      </c>
      <c r="Q11" s="225">
        <f>G13</f>
        <v>107471</v>
      </c>
      <c r="R11" s="219">
        <v>4.0000000000000002E-4</v>
      </c>
      <c r="S11" s="215">
        <f t="shared" si="13"/>
        <v>42.988399999999999</v>
      </c>
      <c r="T11" s="225">
        <f>F13</f>
        <v>-123359</v>
      </c>
      <c r="U11" s="219">
        <v>4.0000000000000002E-4</v>
      </c>
      <c r="V11" s="216">
        <f t="shared" si="5"/>
        <v>-49.343600000000002</v>
      </c>
      <c r="W11" s="151"/>
      <c r="X11" s="150">
        <f t="shared" si="6"/>
        <v>136.45480000000001</v>
      </c>
      <c r="Y11" s="151"/>
      <c r="Z11" s="95">
        <f t="shared" si="7"/>
        <v>341476.77600000001</v>
      </c>
      <c r="AA11" s="220">
        <f t="shared" si="8"/>
        <v>4.0000000000000002E-4</v>
      </c>
      <c r="AB11" s="217">
        <f t="shared" si="9"/>
        <v>136.59071040000001</v>
      </c>
      <c r="AC11" s="150">
        <f t="shared" si="10"/>
        <v>-0.13591040000000021</v>
      </c>
      <c r="AD11" s="95">
        <f t="shared" si="11"/>
        <v>-339.77600000000052</v>
      </c>
      <c r="AE11" s="218">
        <f t="shared" si="12"/>
        <v>-9.9601040051357811E-4</v>
      </c>
    </row>
    <row r="12" spans="1:31" ht="14.4">
      <c r="A12" s="180" t="s">
        <v>137</v>
      </c>
      <c r="B12" s="152"/>
      <c r="C12" s="158">
        <v>1192</v>
      </c>
      <c r="D12" s="194"/>
      <c r="E12" s="182">
        <v>4293787.9720000001</v>
      </c>
      <c r="F12" s="182">
        <v>-1788709</v>
      </c>
      <c r="G12" s="182">
        <v>1826999</v>
      </c>
      <c r="H12" s="189">
        <f t="shared" si="3"/>
        <v>38290</v>
      </c>
      <c r="I12" s="159">
        <f t="shared" si="4"/>
        <v>4332077.9720000001</v>
      </c>
      <c r="M12" s="151"/>
      <c r="N12" s="151"/>
      <c r="O12" s="221">
        <f>SUM(O3:O11)</f>
        <v>938299.36</v>
      </c>
      <c r="P12" s="51">
        <f>SUM(P3:P11)</f>
        <v>362934154.02301002</v>
      </c>
      <c r="Q12" s="51">
        <f>SUM(Q3:Q11)</f>
        <v>178266827</v>
      </c>
      <c r="R12" s="151"/>
      <c r="S12" s="221">
        <f>SUM(S3:S11)</f>
        <v>463254.62975000002</v>
      </c>
      <c r="T12" s="51">
        <f>SUM(T3:T11)</f>
        <v>-204622133</v>
      </c>
      <c r="U12" s="151"/>
      <c r="V12" s="221">
        <f>SUM(V3:V11)</f>
        <v>-560220.55264999997</v>
      </c>
      <c r="W12" s="151"/>
      <c r="X12" s="221">
        <f>SUM(X3:X11)</f>
        <v>841333.4371000001</v>
      </c>
      <c r="Y12" s="151"/>
      <c r="Z12" s="51">
        <f>SUM(Z3:Z11)</f>
        <v>336578848.02300996</v>
      </c>
      <c r="AA12" s="151"/>
      <c r="AB12" s="51">
        <f>SUM(AB3:AB11)</f>
        <v>841308.50336614437</v>
      </c>
      <c r="AC12" s="221">
        <f>SUM(AC3:AC11)</f>
        <v>24.933733855827484</v>
      </c>
      <c r="AD12" s="51">
        <f>SUM(AD3:AD11)</f>
        <v>-1022.281436870777</v>
      </c>
      <c r="AE12" s="218">
        <f t="shared" si="12"/>
        <v>2.9635971609272774E-5</v>
      </c>
    </row>
    <row r="13" spans="1:31" ht="14.4">
      <c r="A13" s="180" t="s">
        <v>138</v>
      </c>
      <c r="B13" s="152"/>
      <c r="C13" s="158">
        <v>1179</v>
      </c>
      <c r="D13" s="194"/>
      <c r="E13" s="182">
        <v>357364.77600000001</v>
      </c>
      <c r="F13" s="182">
        <v>-123359</v>
      </c>
      <c r="G13" s="182">
        <v>107471</v>
      </c>
      <c r="H13" s="189">
        <f t="shared" si="3"/>
        <v>-15888</v>
      </c>
      <c r="I13" s="159">
        <f t="shared" si="4"/>
        <v>341476.77600000001</v>
      </c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426</v>
      </c>
      <c r="D14" s="194"/>
      <c r="E14" s="182">
        <v>896160.39314000006</v>
      </c>
      <c r="F14" s="182"/>
      <c r="G14" s="182"/>
      <c r="H14" s="189"/>
      <c r="I14" s="159">
        <f t="shared" si="4"/>
        <v>896160.39314000006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390020.04262000002</v>
      </c>
      <c r="F15" s="182"/>
      <c r="G15" s="182"/>
      <c r="H15" s="189">
        <f t="shared" si="3"/>
        <v>0</v>
      </c>
      <c r="I15" s="159">
        <f t="shared" si="4"/>
        <v>390020.04262000002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740255.3719426567</v>
      </c>
      <c r="Y15" s="151"/>
      <c r="Z15" s="151" t="s">
        <v>19</v>
      </c>
      <c r="AA15" s="50">
        <f>P3+P4+Q3+Q4+T3+T4</f>
        <v>174488139.29800999</v>
      </c>
      <c r="AB15" s="170">
        <v>4.2399999999999998E-3</v>
      </c>
      <c r="AC15" s="150">
        <f>AA15*AB15</f>
        <v>739829.71062356234</v>
      </c>
      <c r="AD15" s="150">
        <f>X15-AC15</f>
        <v>425.66131909436081</v>
      </c>
      <c r="AE15" s="218">
        <f>AD15/X15</f>
        <v>5.7501956112428502E-4</v>
      </c>
    </row>
    <row r="16" spans="1:31" ht="14.4">
      <c r="A16" s="180" t="s">
        <v>183</v>
      </c>
      <c r="B16" s="152"/>
      <c r="C16" s="158"/>
      <c r="D16" s="195"/>
      <c r="E16" s="182">
        <v>217388.30072</v>
      </c>
      <c r="F16" s="182"/>
      <c r="G16" s="182"/>
      <c r="H16" s="189">
        <f t="shared" si="3"/>
        <v>0</v>
      </c>
      <c r="I16" s="159">
        <f t="shared" si="4"/>
        <v>217388.30072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61807.1443138268</v>
      </c>
      <c r="Y16" s="151"/>
      <c r="Z16" s="151" t="s">
        <v>184</v>
      </c>
      <c r="AA16" s="50">
        <f>SUM(P5:Q11,T5:T11)</f>
        <v>162090708.72499999</v>
      </c>
      <c r="AB16" s="170">
        <v>3.8000000000000002E-4</v>
      </c>
      <c r="AC16" s="150">
        <f>AA16*AB16</f>
        <v>61594.469315499999</v>
      </c>
      <c r="AD16" s="150">
        <f>X16-AC16</f>
        <v>212.67499832680187</v>
      </c>
      <c r="AE16" s="218">
        <f>AD16/X16</f>
        <v>3.440945228709177E-3</v>
      </c>
    </row>
    <row r="17" spans="1:26" ht="14.4">
      <c r="A17" s="152"/>
      <c r="B17" s="152"/>
      <c r="C17" s="160">
        <f>SUM(C3:C16)</f>
        <v>251675</v>
      </c>
      <c r="E17" s="160">
        <f>SUM(E3:E16)</f>
        <v>456156772.75949001</v>
      </c>
      <c r="F17" s="160">
        <f>SUM(F3:F16)</f>
        <v>-250554267</v>
      </c>
      <c r="G17" s="160">
        <f>SUM(G3:G16)</f>
        <v>228167045</v>
      </c>
      <c r="H17" s="160">
        <f>SUM(H3:H16)</f>
        <v>-22387222</v>
      </c>
      <c r="I17" s="160">
        <f>SUM(I3:I16)</f>
        <v>433769550.75949001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214971</v>
      </c>
      <c r="E19" s="162">
        <f>E3+E4</f>
        <v>195827349.29800999</v>
      </c>
      <c r="F19" s="162">
        <f>F3+F4</f>
        <v>-118116469</v>
      </c>
      <c r="G19" s="162">
        <f>G3+G4</f>
        <v>96777259</v>
      </c>
      <c r="H19" s="162">
        <f>H3+H4</f>
        <v>-21339210</v>
      </c>
      <c r="I19" s="161">
        <f>I3+I4</f>
        <v>174488139.29800999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36255</v>
      </c>
      <c r="E21" s="178">
        <f>SUM(E5:E8,E11:E13)</f>
        <v>167106804.72499999</v>
      </c>
      <c r="F21" s="178">
        <f>SUM(F5:F8,F11:F13)</f>
        <v>-86505664</v>
      </c>
      <c r="G21" s="178">
        <f>SUM(G5:G8,G11:G13)</f>
        <v>81489568</v>
      </c>
      <c r="H21" s="178">
        <f>SUM(H5:H8,H11:H13)</f>
        <v>-5016096</v>
      </c>
      <c r="I21" s="177">
        <f>SUM(I5:I8,I11:I13)</f>
        <v>162090708.72499999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1863177.5</v>
      </c>
      <c r="D24" s="181">
        <v>17316901.239999998</v>
      </c>
      <c r="E24" s="183">
        <v>-11352157</v>
      </c>
      <c r="F24" s="183">
        <v>9217175</v>
      </c>
      <c r="G24" s="174">
        <f>SUM(D24:F24)</f>
        <v>15181919.239999998</v>
      </c>
      <c r="H24" s="174">
        <f>-J65</f>
        <v>160851.04307999997</v>
      </c>
      <c r="I24" s="174">
        <f>SUM(G24:H24)</f>
        <v>15342770.283079999</v>
      </c>
    </row>
    <row r="25" spans="1:26">
      <c r="A25" s="180" t="s">
        <v>178</v>
      </c>
      <c r="B25" s="152"/>
      <c r="C25" s="181">
        <v>3494.5</v>
      </c>
      <c r="D25" s="181">
        <v>40217.269999999997</v>
      </c>
      <c r="E25" s="183">
        <v>-17552</v>
      </c>
      <c r="F25" s="183">
        <v>13428</v>
      </c>
      <c r="G25" s="174">
        <f t="shared" ref="G25:G33" si="14">SUM(D25:F25)</f>
        <v>36093.269999999997</v>
      </c>
      <c r="H25" s="174">
        <f t="shared" ref="H25:H30" si="15">-J66</f>
        <v>-1500.9294900000002</v>
      </c>
      <c r="I25" s="174">
        <f t="shared" ref="I25:I34" si="16">SUM(G25:H25)</f>
        <v>34592.340509999995</v>
      </c>
    </row>
    <row r="26" spans="1:26">
      <c r="A26" s="180" t="s">
        <v>132</v>
      </c>
      <c r="B26" s="152"/>
      <c r="C26" s="181">
        <v>415560.91</v>
      </c>
      <c r="D26" s="181">
        <v>5341482.72</v>
      </c>
      <c r="E26" s="183">
        <v>-2934622</v>
      </c>
      <c r="F26" s="183">
        <v>2678368</v>
      </c>
      <c r="G26" s="174">
        <f t="shared" si="14"/>
        <v>5085228.72</v>
      </c>
      <c r="H26" s="174">
        <f t="shared" si="15"/>
        <v>15384.321419999998</v>
      </c>
      <c r="I26" s="174">
        <f t="shared" si="16"/>
        <v>5100613.0414199997</v>
      </c>
    </row>
    <row r="27" spans="1:26">
      <c r="A27" s="180" t="s">
        <v>133</v>
      </c>
      <c r="B27" s="152"/>
      <c r="C27" s="181">
        <v>170523.51999999999</v>
      </c>
      <c r="D27" s="181">
        <v>737361.29</v>
      </c>
      <c r="E27" s="183">
        <v>-440806</v>
      </c>
      <c r="F27" s="183">
        <v>377537</v>
      </c>
      <c r="G27" s="174">
        <f t="shared" si="14"/>
        <v>674092.29</v>
      </c>
      <c r="H27" s="174">
        <f t="shared" si="15"/>
        <v>2907.5821500000002</v>
      </c>
      <c r="I27" s="174">
        <f t="shared" si="16"/>
        <v>676999.87215000007</v>
      </c>
    </row>
    <row r="28" spans="1:26">
      <c r="A28" s="180" t="s">
        <v>134</v>
      </c>
      <c r="B28" s="152"/>
      <c r="C28" s="181">
        <v>925152.69</v>
      </c>
      <c r="D28" s="181">
        <v>9737161.0099999998</v>
      </c>
      <c r="E28" s="183">
        <v>-4570629</v>
      </c>
      <c r="F28" s="183">
        <v>4443577</v>
      </c>
      <c r="G28" s="174">
        <f t="shared" si="14"/>
        <v>9610109.0099999998</v>
      </c>
      <c r="H28" s="174">
        <f t="shared" si="15"/>
        <v>7668.4554300000009</v>
      </c>
      <c r="I28" s="174">
        <f t="shared" si="16"/>
        <v>9617777.4654299989</v>
      </c>
    </row>
    <row r="29" spans="1:26">
      <c r="A29" s="180" t="s">
        <v>135</v>
      </c>
      <c r="B29" s="152"/>
      <c r="C29" s="181">
        <v>23500</v>
      </c>
      <c r="D29" s="181">
        <v>237602.49</v>
      </c>
      <c r="E29" s="183">
        <v>-126949</v>
      </c>
      <c r="F29" s="183">
        <v>110290</v>
      </c>
      <c r="G29" s="174">
        <f t="shared" si="14"/>
        <v>220943.49</v>
      </c>
      <c r="H29" s="174">
        <f t="shared" si="15"/>
        <v>847.78600000000006</v>
      </c>
      <c r="I29" s="174">
        <f t="shared" si="16"/>
        <v>221791.27599999998</v>
      </c>
    </row>
    <row r="30" spans="1:26">
      <c r="A30" s="180" t="s">
        <v>136</v>
      </c>
      <c r="B30" s="152"/>
      <c r="C30" s="181">
        <v>483100</v>
      </c>
      <c r="D30" s="181">
        <f>5442252.49-84583</f>
        <v>5357669.49</v>
      </c>
      <c r="E30" s="183">
        <v>-2559011</v>
      </c>
      <c r="F30" s="183">
        <v>2876434</v>
      </c>
      <c r="G30" s="174">
        <f t="shared" si="14"/>
        <v>5675092.4900000002</v>
      </c>
      <c r="H30" s="174">
        <f t="shared" si="15"/>
        <v>-9682.1249599999992</v>
      </c>
      <c r="I30" s="174">
        <f t="shared" si="16"/>
        <v>5665410.3650400005</v>
      </c>
    </row>
    <row r="31" spans="1:26">
      <c r="A31" s="180" t="s">
        <v>180</v>
      </c>
      <c r="B31" s="152"/>
      <c r="C31" s="181">
        <v>882</v>
      </c>
      <c r="D31" s="181">
        <v>46848.09</v>
      </c>
      <c r="E31" s="183">
        <v>0</v>
      </c>
      <c r="F31" s="183">
        <v>0</v>
      </c>
      <c r="G31" s="174">
        <f t="shared" si="14"/>
        <v>46848.09</v>
      </c>
      <c r="H31" s="174">
        <f>-J72</f>
        <v>0</v>
      </c>
      <c r="I31" s="174">
        <f t="shared" si="16"/>
        <v>46848.09</v>
      </c>
    </row>
    <row r="32" spans="1:26">
      <c r="A32" s="180" t="s">
        <v>137</v>
      </c>
      <c r="B32" s="152"/>
      <c r="C32" s="181">
        <v>21550</v>
      </c>
      <c r="D32" s="181">
        <v>375766.04</v>
      </c>
      <c r="E32" s="183">
        <v>-113785</v>
      </c>
      <c r="F32" s="183">
        <v>116144</v>
      </c>
      <c r="G32" s="174">
        <f t="shared" si="14"/>
        <v>378125.04</v>
      </c>
      <c r="H32" s="174">
        <f>-J73</f>
        <v>-159.28639999999999</v>
      </c>
      <c r="I32" s="174">
        <f t="shared" si="16"/>
        <v>377965.7536</v>
      </c>
    </row>
    <row r="33" spans="1:11">
      <c r="A33" s="180" t="s">
        <v>138</v>
      </c>
      <c r="B33" s="152"/>
      <c r="C33" s="181">
        <v>21368</v>
      </c>
      <c r="D33" s="181">
        <v>51941.97</v>
      </c>
      <c r="E33" s="183">
        <v>-20534</v>
      </c>
      <c r="F33" s="183">
        <v>19268</v>
      </c>
      <c r="G33" s="174">
        <f t="shared" si="14"/>
        <v>50675.97</v>
      </c>
      <c r="H33" s="174">
        <f>-J74</f>
        <v>53.224799999999995</v>
      </c>
      <c r="I33" s="174">
        <f t="shared" si="16"/>
        <v>50729.194800000005</v>
      </c>
    </row>
    <row r="34" spans="1:11">
      <c r="A34" s="180" t="s">
        <v>192</v>
      </c>
      <c r="B34" s="152"/>
      <c r="C34" s="174"/>
      <c r="D34" s="181">
        <v>537581.99</v>
      </c>
      <c r="E34" s="181"/>
      <c r="F34" s="181"/>
      <c r="G34" s="174">
        <f>SUM(D34:F34)</f>
        <v>537581.99</v>
      </c>
      <c r="H34" s="174"/>
      <c r="I34" s="174">
        <f t="shared" si="16"/>
        <v>537581.99</v>
      </c>
    </row>
    <row r="35" spans="1:11">
      <c r="A35" s="180" t="s">
        <v>193</v>
      </c>
      <c r="B35" s="152"/>
      <c r="C35" s="194"/>
      <c r="D35" s="181">
        <v>2515678.0499999998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1559730.95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17">SUM(C24:C36)</f>
        <v>3928309.12</v>
      </c>
      <c r="D37" s="166">
        <f t="shared" si="17"/>
        <v>43855942.599999994</v>
      </c>
      <c r="E37" s="166">
        <f t="shared" si="17"/>
        <v>-22136045</v>
      </c>
      <c r="F37" s="166">
        <f t="shared" si="17"/>
        <v>19852221</v>
      </c>
      <c r="G37" s="166">
        <f t="shared" si="17"/>
        <v>37496709.599999994</v>
      </c>
      <c r="H37" s="166">
        <f t="shared" si="17"/>
        <v>176370.07202999995</v>
      </c>
      <c r="I37" s="166">
        <f t="shared" si="17"/>
        <v>37673079.672030002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18">C24+C25</f>
        <v>1866672</v>
      </c>
      <c r="D39" s="168">
        <f t="shared" si="18"/>
        <v>17357118.509999998</v>
      </c>
      <c r="E39" s="168">
        <f t="shared" si="18"/>
        <v>-11369709</v>
      </c>
      <c r="F39" s="168">
        <f t="shared" si="18"/>
        <v>9230603</v>
      </c>
      <c r="G39" s="168">
        <f t="shared" si="18"/>
        <v>15218012.509999998</v>
      </c>
      <c r="H39" s="168">
        <f t="shared" si="18"/>
        <v>159350.11358999996</v>
      </c>
      <c r="I39" s="169">
        <f t="shared" si="18"/>
        <v>15377362.623589998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1578537.1199999999</v>
      </c>
      <c r="D41" s="176">
        <f t="shared" ref="D41:I41" si="19">SUM(D26:D29,D31:D33)</f>
        <v>16528163.609999999</v>
      </c>
      <c r="E41" s="176">
        <f t="shared" si="19"/>
        <v>-8207325</v>
      </c>
      <c r="F41" s="176">
        <f t="shared" si="19"/>
        <v>7745184</v>
      </c>
      <c r="G41" s="176">
        <f t="shared" si="19"/>
        <v>16066022.609999999</v>
      </c>
      <c r="H41" s="176">
        <f t="shared" si="19"/>
        <v>26702.0834</v>
      </c>
      <c r="I41" s="175">
        <f t="shared" si="19"/>
        <v>16092724.693399999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 hidden="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 hidden="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 hidden="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 hidden="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 hidden="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K49" s="211" t="s">
        <v>229</v>
      </c>
      <c r="L49" s="1" t="s">
        <v>230</v>
      </c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K50" s="171">
        <f>SUM(C50:I50)</f>
        <v>7.5599999999999999E-3</v>
      </c>
      <c r="L50" s="212">
        <f t="shared" ref="L50:L62" si="20">K50*H3</f>
        <v>-160851.04308</v>
      </c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K51" s="171">
        <f>SUM(C51:I51)</f>
        <v>-2.3970000000000005E-2</v>
      </c>
      <c r="L51" s="212">
        <f t="shared" si="20"/>
        <v>1500.9294900000002</v>
      </c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K52" s="171">
        <f t="shared" ref="K52:K62" si="21">SUM(C52:I52)</f>
        <v>5.9800000000000001E-3</v>
      </c>
      <c r="L52" s="212">
        <f t="shared" si="20"/>
        <v>-15384.32142</v>
      </c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K53" s="171">
        <f t="shared" si="21"/>
        <v>5.1700000000000001E-3</v>
      </c>
      <c r="L53" s="212">
        <f t="shared" si="20"/>
        <v>-2907.5821500000002</v>
      </c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K54" s="171">
        <f t="shared" si="21"/>
        <v>4.5700000000000003E-3</v>
      </c>
      <c r="L54" s="212">
        <f t="shared" si="20"/>
        <v>-7668.4554300000009</v>
      </c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K55" s="171">
        <f t="shared" si="21"/>
        <v>3.7600000000000003E-3</v>
      </c>
      <c r="L55" s="212">
        <f t="shared" si="20"/>
        <v>-847.78600000000006</v>
      </c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K56" s="171">
        <f t="shared" si="21"/>
        <v>2.4400000000000003E-3</v>
      </c>
      <c r="L56" s="212">
        <f t="shared" si="20"/>
        <v>9682.124960000001</v>
      </c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K57" s="171">
        <f t="shared" si="21"/>
        <v>1.75E-3</v>
      </c>
      <c r="L57" s="212">
        <f t="shared" si="20"/>
        <v>0</v>
      </c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K58" s="171">
        <f t="shared" si="21"/>
        <v>4.1599999999999996E-3</v>
      </c>
      <c r="L58" s="212">
        <f t="shared" si="20"/>
        <v>0</v>
      </c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K59" s="171">
        <f t="shared" si="21"/>
        <v>4.1599999999999996E-3</v>
      </c>
      <c r="L59" s="212">
        <f t="shared" si="20"/>
        <v>159.28639999999999</v>
      </c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K60" s="171">
        <f t="shared" si="21"/>
        <v>3.3500000000000001E-3</v>
      </c>
      <c r="L60" s="212">
        <f t="shared" si="20"/>
        <v>-53.224800000000002</v>
      </c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K61" s="171">
        <f t="shared" si="21"/>
        <v>1.15E-2</v>
      </c>
      <c r="L61" s="212">
        <f t="shared" si="20"/>
        <v>0</v>
      </c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K62" s="171">
        <f t="shared" si="21"/>
        <v>1.069E-2</v>
      </c>
      <c r="L62" s="212">
        <f t="shared" si="20"/>
        <v>0</v>
      </c>
    </row>
    <row r="63" spans="1:13">
      <c r="E63" s="152"/>
      <c r="L63" s="212">
        <f>SUM(L50:L62)</f>
        <v>-176370.07202999998</v>
      </c>
      <c r="M63" s="210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168"/>
    </row>
    <row r="65" spans="1:13">
      <c r="A65" s="180" t="s">
        <v>131</v>
      </c>
      <c r="C65" s="168">
        <f t="shared" ref="C65:C70" si="22">C50*H3</f>
        <v>17234.04033</v>
      </c>
      <c r="D65" s="168">
        <f t="shared" ref="D65:D70" si="23">D50*H3</f>
        <v>-94680.83885</v>
      </c>
      <c r="E65" s="168">
        <f t="shared" ref="E65:E70" si="24">$H3*E50</f>
        <v>0</v>
      </c>
      <c r="F65" s="168">
        <f t="shared" ref="F65:G70" si="25">($H3*F50)</f>
        <v>-73191.479919999998</v>
      </c>
      <c r="G65" s="168">
        <f t="shared" si="25"/>
        <v>-22340.42265</v>
      </c>
      <c r="H65" s="168">
        <f t="shared" ref="H65:H70" si="26">$H3*H50</f>
        <v>0</v>
      </c>
      <c r="I65" s="168">
        <f t="shared" ref="I65:I70" si="27">(I50*H3)</f>
        <v>12127.658009999999</v>
      </c>
      <c r="J65" s="168">
        <f>SUM(C65:I65)</f>
        <v>-160851.04307999997</v>
      </c>
      <c r="M65" s="168"/>
    </row>
    <row r="66" spans="1:13">
      <c r="A66" s="180" t="s">
        <v>178</v>
      </c>
      <c r="C66" s="168">
        <f t="shared" si="22"/>
        <v>50.719769999999997</v>
      </c>
      <c r="D66" s="168">
        <f t="shared" si="23"/>
        <v>-278.64564999999999</v>
      </c>
      <c r="E66" s="168">
        <f t="shared" si="24"/>
        <v>1974.3140100000001</v>
      </c>
      <c r="F66" s="168">
        <f t="shared" si="25"/>
        <v>-215.40248</v>
      </c>
      <c r="G66" s="168">
        <f t="shared" si="25"/>
        <v>-65.74785</v>
      </c>
      <c r="H66" s="168">
        <f t="shared" si="26"/>
        <v>0</v>
      </c>
      <c r="I66" s="168">
        <f t="shared" si="27"/>
        <v>35.691690000000001</v>
      </c>
      <c r="J66" s="168">
        <f t="shared" ref="J66:J75" si="28">SUM(C66:I66)</f>
        <v>1500.9294900000002</v>
      </c>
      <c r="M66" s="168"/>
    </row>
    <row r="67" spans="1:13">
      <c r="A67" s="180" t="s">
        <v>132</v>
      </c>
      <c r="C67" s="168">
        <f t="shared" si="22"/>
        <v>0</v>
      </c>
      <c r="D67" s="168">
        <f t="shared" si="23"/>
        <v>-1029.0516</v>
      </c>
      <c r="E67" s="168">
        <f t="shared" si="24"/>
        <v>0</v>
      </c>
      <c r="F67" s="168">
        <f t="shared" si="25"/>
        <v>-11911.272269999999</v>
      </c>
      <c r="G67" s="168">
        <f t="shared" si="25"/>
        <v>-3910.3960800000004</v>
      </c>
      <c r="H67" s="168">
        <f t="shared" si="26"/>
        <v>0</v>
      </c>
      <c r="I67" s="168">
        <f t="shared" si="27"/>
        <v>1466.3985299999999</v>
      </c>
      <c r="J67" s="168">
        <f t="shared" si="28"/>
        <v>-15384.321419999998</v>
      </c>
      <c r="M67" s="168"/>
    </row>
    <row r="68" spans="1:13">
      <c r="A68" s="180" t="s">
        <v>133</v>
      </c>
      <c r="C68" s="168">
        <f t="shared" si="22"/>
        <v>455.53994999999998</v>
      </c>
      <c r="D68" s="168">
        <f t="shared" si="23"/>
        <v>-224.958</v>
      </c>
      <c r="E68" s="168">
        <f t="shared" si="24"/>
        <v>0</v>
      </c>
      <c r="F68" s="168">
        <f t="shared" si="25"/>
        <v>-2603.8888499999998</v>
      </c>
      <c r="G68" s="168">
        <f t="shared" si="25"/>
        <v>-854.84040000000005</v>
      </c>
      <c r="H68" s="168">
        <f t="shared" si="26"/>
        <v>0</v>
      </c>
      <c r="I68" s="168">
        <f t="shared" si="27"/>
        <v>320.56514999999996</v>
      </c>
      <c r="J68" s="168">
        <f t="shared" si="28"/>
        <v>-2907.5821500000002</v>
      </c>
      <c r="M68" s="168"/>
    </row>
    <row r="69" spans="1:13">
      <c r="A69" s="180" t="s">
        <v>134</v>
      </c>
      <c r="C69" s="168">
        <f t="shared" si="22"/>
        <v>0</v>
      </c>
      <c r="D69" s="168">
        <f t="shared" si="23"/>
        <v>-671.19960000000003</v>
      </c>
      <c r="E69" s="168">
        <f t="shared" si="24"/>
        <v>0</v>
      </c>
      <c r="F69" s="168">
        <f t="shared" si="25"/>
        <v>-6141.4763400000002</v>
      </c>
      <c r="G69" s="168">
        <f t="shared" si="25"/>
        <v>-1845.7989</v>
      </c>
      <c r="H69" s="168">
        <f t="shared" si="26"/>
        <v>0</v>
      </c>
      <c r="I69" s="168">
        <f t="shared" si="27"/>
        <v>990.01940999999999</v>
      </c>
      <c r="J69" s="168">
        <f t="shared" si="28"/>
        <v>-7668.4554300000009</v>
      </c>
      <c r="M69" s="168"/>
    </row>
    <row r="70" spans="1:13">
      <c r="A70" s="180" t="s">
        <v>135</v>
      </c>
      <c r="C70" s="168">
        <f t="shared" si="22"/>
        <v>182.63475</v>
      </c>
      <c r="D70" s="168">
        <f t="shared" si="23"/>
        <v>-90.19</v>
      </c>
      <c r="E70" s="168">
        <f t="shared" si="24"/>
        <v>0</v>
      </c>
      <c r="F70" s="168">
        <f t="shared" si="25"/>
        <v>-825.23850000000004</v>
      </c>
      <c r="G70" s="168">
        <f t="shared" si="25"/>
        <v>-248.02250000000001</v>
      </c>
      <c r="H70" s="168">
        <f t="shared" si="26"/>
        <v>0</v>
      </c>
      <c r="I70" s="168">
        <f t="shared" si="27"/>
        <v>133.03025</v>
      </c>
      <c r="J70" s="168">
        <f>SUM(C70:I70)</f>
        <v>-847.78600000000006</v>
      </c>
      <c r="M70" s="168"/>
    </row>
    <row r="71" spans="1:13">
      <c r="A71" s="180" t="s">
        <v>136</v>
      </c>
      <c r="C71" s="168">
        <f t="shared" ref="C71:I71" si="29">$H9*C56+$H10*C57</f>
        <v>0</v>
      </c>
      <c r="D71" s="168">
        <f t="shared" si="29"/>
        <v>0</v>
      </c>
      <c r="E71" s="168">
        <f t="shared" si="29"/>
        <v>0</v>
      </c>
      <c r="F71" s="168">
        <f t="shared" si="29"/>
        <v>9205.9548799999993</v>
      </c>
      <c r="G71" s="168">
        <f t="shared" si="29"/>
        <v>2737.9779599999997</v>
      </c>
      <c r="H71" s="168">
        <f t="shared" si="29"/>
        <v>0</v>
      </c>
      <c r="I71" s="168">
        <f t="shared" si="29"/>
        <v>-2261.8078799999998</v>
      </c>
      <c r="J71" s="168">
        <f t="shared" si="28"/>
        <v>9682.1249599999992</v>
      </c>
      <c r="M71" s="168"/>
    </row>
    <row r="72" spans="1:13">
      <c r="A72" s="180" t="s">
        <v>180</v>
      </c>
      <c r="C72" s="168">
        <f t="shared" ref="C72:E74" si="30">$H11*C58</f>
        <v>0</v>
      </c>
      <c r="D72" s="168">
        <f t="shared" si="30"/>
        <v>0</v>
      </c>
      <c r="E72" s="168">
        <f t="shared" si="30"/>
        <v>0</v>
      </c>
      <c r="F72" s="168">
        <f t="shared" ref="F72:G74" si="31">($H11*F58)</f>
        <v>0</v>
      </c>
      <c r="G72" s="168">
        <f t="shared" si="31"/>
        <v>0</v>
      </c>
      <c r="H72" s="168">
        <f t="shared" ref="H72:I74" si="32">$H11*H58</f>
        <v>0</v>
      </c>
      <c r="I72" s="168">
        <f t="shared" si="32"/>
        <v>0</v>
      </c>
      <c r="J72" s="168">
        <f t="shared" si="28"/>
        <v>0</v>
      </c>
      <c r="M72" s="168"/>
    </row>
    <row r="73" spans="1:13">
      <c r="A73" s="180" t="s">
        <v>137</v>
      </c>
      <c r="C73" s="168">
        <f t="shared" si="30"/>
        <v>0</v>
      </c>
      <c r="D73" s="168">
        <f t="shared" si="30"/>
        <v>15.316000000000001</v>
      </c>
      <c r="E73" s="168">
        <f t="shared" si="30"/>
        <v>0</v>
      </c>
      <c r="F73" s="168">
        <f t="shared" si="31"/>
        <v>130.56889999999999</v>
      </c>
      <c r="G73" s="168">
        <f t="shared" si="31"/>
        <v>36.758400000000002</v>
      </c>
      <c r="H73" s="168">
        <f t="shared" si="32"/>
        <v>0</v>
      </c>
      <c r="I73" s="168">
        <f t="shared" si="32"/>
        <v>-23.3569</v>
      </c>
      <c r="J73" s="168">
        <f t="shared" si="28"/>
        <v>159.28639999999999</v>
      </c>
      <c r="M73" s="168"/>
    </row>
    <row r="74" spans="1:13">
      <c r="A74" s="180" t="s">
        <v>138</v>
      </c>
      <c r="C74" s="168">
        <f t="shared" si="30"/>
        <v>12.86928</v>
      </c>
      <c r="D74" s="168">
        <f t="shared" si="30"/>
        <v>-6.3552</v>
      </c>
      <c r="E74" s="168">
        <f t="shared" si="30"/>
        <v>0</v>
      </c>
      <c r="F74" s="168">
        <f t="shared" si="31"/>
        <v>-54.178079999999994</v>
      </c>
      <c r="G74" s="168">
        <f t="shared" si="31"/>
        <v>-15.25248</v>
      </c>
      <c r="H74" s="168">
        <f t="shared" si="32"/>
        <v>0</v>
      </c>
      <c r="I74" s="168">
        <f t="shared" si="32"/>
        <v>9.6916799999999999</v>
      </c>
      <c r="J74" s="168">
        <f t="shared" si="28"/>
        <v>-53.224799999999995</v>
      </c>
      <c r="M74" s="168"/>
    </row>
    <row r="75" spans="1:13">
      <c r="A75" s="180" t="s">
        <v>192</v>
      </c>
      <c r="C75" s="168">
        <f>($H14+$H15)*C61+$H16*C62</f>
        <v>0</v>
      </c>
      <c r="D75" s="168">
        <f>($H14+$H15)*D61+$H16*D62</f>
        <v>0</v>
      </c>
      <c r="E75" s="168">
        <f>($H14+$H15)*E61+$H16*E62</f>
        <v>0</v>
      </c>
      <c r="F75" s="168">
        <f>($H14+$H15)*F61+$H16*F62</f>
        <v>0</v>
      </c>
      <c r="G75" s="168"/>
      <c r="H75" s="168">
        <f>($H14+$H15)*H61+$H16*H62</f>
        <v>0</v>
      </c>
      <c r="I75" s="168">
        <f>($H14+$H15)*I61+$H16*I62</f>
        <v>0</v>
      </c>
      <c r="J75" s="168">
        <f t="shared" si="28"/>
        <v>0</v>
      </c>
    </row>
    <row r="76" spans="1:13">
      <c r="A76" s="157"/>
      <c r="C76" s="193">
        <f t="shared" ref="C76:J76" si="33">SUM(C65:C75)</f>
        <v>17935.804079999998</v>
      </c>
      <c r="D76" s="193">
        <f t="shared" si="33"/>
        <v>-96965.92290000002</v>
      </c>
      <c r="E76" s="193">
        <f t="shared" si="33"/>
        <v>1974.3140100000001</v>
      </c>
      <c r="F76" s="193">
        <f t="shared" si="33"/>
        <v>-85606.412660000002</v>
      </c>
      <c r="G76" s="193">
        <f t="shared" si="33"/>
        <v>-26505.744500000001</v>
      </c>
      <c r="H76" s="193">
        <f t="shared" si="33"/>
        <v>0</v>
      </c>
      <c r="I76" s="193">
        <f t="shared" si="33"/>
        <v>12797.889939999999</v>
      </c>
      <c r="J76" s="193">
        <f t="shared" si="33"/>
        <v>-176370.07202999995</v>
      </c>
    </row>
    <row r="77" spans="1:13" ht="15.75" customHeight="1"/>
    <row r="78" spans="1:13">
      <c r="A78" s="152" t="s">
        <v>19</v>
      </c>
      <c r="B78" s="152"/>
      <c r="C78" s="168">
        <f t="shared" ref="C78:J78" si="34">C65+C66</f>
        <v>17284.7601</v>
      </c>
      <c r="D78" s="168">
        <f t="shared" si="34"/>
        <v>-94959.484500000006</v>
      </c>
      <c r="E78" s="168">
        <f t="shared" si="34"/>
        <v>1974.3140100000001</v>
      </c>
      <c r="F78" s="168">
        <f t="shared" si="34"/>
        <v>-73406.882400000002</v>
      </c>
      <c r="G78" s="168">
        <f t="shared" si="34"/>
        <v>-22406.1705</v>
      </c>
      <c r="H78" s="168">
        <f t="shared" si="34"/>
        <v>0</v>
      </c>
      <c r="I78" s="168">
        <f t="shared" si="34"/>
        <v>12163.349699999999</v>
      </c>
      <c r="J78" s="168">
        <f t="shared" si="34"/>
        <v>-159350.11358999996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 t="shared" ref="C80:J80" si="35">SUM(C67:C70,C72:C74)</f>
        <v>651.04398000000003</v>
      </c>
      <c r="D80" s="176">
        <f t="shared" si="35"/>
        <v>-2006.4384000000002</v>
      </c>
      <c r="E80" s="176">
        <f t="shared" si="35"/>
        <v>0</v>
      </c>
      <c r="F80" s="176">
        <f t="shared" si="35"/>
        <v>-21405.485140000001</v>
      </c>
      <c r="G80" s="176">
        <f t="shared" si="35"/>
        <v>-6837.5519600000007</v>
      </c>
      <c r="H80" s="176">
        <f t="shared" si="35"/>
        <v>0</v>
      </c>
      <c r="I80" s="176">
        <f t="shared" si="35"/>
        <v>2896.3481199999992</v>
      </c>
      <c r="J80" s="176">
        <f t="shared" si="35"/>
        <v>-26702.0834</v>
      </c>
    </row>
    <row r="81" spans="1:14" ht="15.75" customHeight="1"/>
    <row r="82" spans="1:14" ht="14.4">
      <c r="A82" s="151" t="s">
        <v>215</v>
      </c>
      <c r="B82" s="151"/>
      <c r="C82" s="151"/>
      <c r="D82" s="151"/>
      <c r="E82" s="151"/>
      <c r="F82" s="151"/>
    </row>
    <row r="83" spans="1:14" ht="14.4">
      <c r="A83" s="151" t="s">
        <v>223</v>
      </c>
      <c r="B83" s="151"/>
      <c r="C83" s="151"/>
      <c r="D83" s="151"/>
      <c r="E83" s="151"/>
      <c r="F83" s="151"/>
    </row>
    <row r="84" spans="1:14" ht="14.4">
      <c r="A84" s="170" t="s">
        <v>222</v>
      </c>
      <c r="B84" s="170"/>
      <c r="C84" s="170"/>
      <c r="D84" s="170"/>
      <c r="E84" s="170"/>
      <c r="F84" s="151"/>
    </row>
    <row r="85" spans="1:14" ht="28.2" customHeight="1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  <c r="G85" s="403" t="s">
        <v>265</v>
      </c>
      <c r="H85" s="403"/>
      <c r="I85" s="403"/>
      <c r="J85" s="403"/>
      <c r="M85" s="200"/>
      <c r="N85" s="200"/>
    </row>
    <row r="86" spans="1:14" ht="14.4">
      <c r="A86" s="170" t="s">
        <v>233</v>
      </c>
      <c r="B86" s="198">
        <v>1</v>
      </c>
      <c r="C86" s="199">
        <v>876397</v>
      </c>
      <c r="D86" s="200">
        <f>73706.75-C86*SUM(K56)</f>
        <v>71568.341320000007</v>
      </c>
      <c r="E86" s="200">
        <f>500*B86</f>
        <v>500</v>
      </c>
      <c r="F86" s="201" t="s">
        <v>219</v>
      </c>
      <c r="H86" s="198"/>
      <c r="I86" s="199"/>
      <c r="J86" s="200"/>
      <c r="K86" s="200"/>
      <c r="L86" s="201"/>
    </row>
    <row r="87" spans="1:14" ht="14.4" customHeight="1">
      <c r="A87" s="202" t="s">
        <v>258</v>
      </c>
      <c r="B87" s="203">
        <f>SUM(B86:B86)</f>
        <v>1</v>
      </c>
      <c r="C87" s="204">
        <f>SUM(C86:C86)</f>
        <v>876397</v>
      </c>
      <c r="D87" s="205">
        <f>SUM(D86:D86)</f>
        <v>71568.341320000007</v>
      </c>
      <c r="E87" s="205">
        <f>SUM(E86:E86)</f>
        <v>500</v>
      </c>
      <c r="F87" s="151"/>
    </row>
    <row r="88" spans="1:14" ht="9" customHeight="1">
      <c r="A88" s="170"/>
      <c r="B88" s="170"/>
      <c r="C88" s="170"/>
      <c r="D88" s="170"/>
      <c r="E88" s="170"/>
      <c r="F88" s="151"/>
    </row>
    <row r="89" spans="1:14" ht="14.4">
      <c r="A89" s="206"/>
      <c r="B89" s="206"/>
      <c r="C89" s="206"/>
      <c r="D89" s="206"/>
      <c r="E89"/>
      <c r="F89" s="151"/>
    </row>
  </sheetData>
  <mergeCells count="3">
    <mergeCell ref="A1:I1"/>
    <mergeCell ref="G61:G62"/>
    <mergeCell ref="G85:J85"/>
  </mergeCells>
  <printOptions horizontalCentered="1"/>
  <pageMargins left="0.45" right="0.45" top="0.6" bottom="0.6" header="0.3" footer="0.3"/>
  <pageSetup scale="79" orientation="landscape" r:id="rId1"/>
  <headerFooter>
    <oddFooter>&amp;L&amp;F / &amp;A&amp;RPage &amp;P</oddFooter>
  </headerFooter>
  <rowBreaks count="1" manualBreakCount="1">
    <brk id="42" max="9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N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5.55468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3.5546875" style="1" customWidth="1"/>
    <col min="11" max="11" width="13.109375" style="1" customWidth="1"/>
    <col min="12" max="12" width="13.554687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215639</v>
      </c>
      <c r="D3" s="194"/>
      <c r="E3" s="182">
        <v>232576104.734</v>
      </c>
      <c r="F3" s="182">
        <v>-120366856</v>
      </c>
      <c r="G3" s="182">
        <v>117838911</v>
      </c>
      <c r="H3" s="189">
        <f>SUM(F3:G3)</f>
        <v>-2527945</v>
      </c>
      <c r="I3" s="159">
        <f>E3+H3</f>
        <v>230048159.734</v>
      </c>
    </row>
    <row r="4" spans="1:9">
      <c r="A4" s="180" t="s">
        <v>178</v>
      </c>
      <c r="B4" s="152"/>
      <c r="C4" s="158">
        <v>406</v>
      </c>
      <c r="D4" s="194"/>
      <c r="E4" s="182">
        <v>559959.473</v>
      </c>
      <c r="F4" s="182">
        <v>-288189</v>
      </c>
      <c r="G4" s="182">
        <v>277558</v>
      </c>
      <c r="H4" s="189">
        <f t="shared" ref="H4:H16" si="0">SUM(F4:G4)</f>
        <v>-10631</v>
      </c>
      <c r="I4" s="159">
        <f t="shared" ref="I4:I16" si="1">E4+H4</f>
        <v>549328.473</v>
      </c>
    </row>
    <row r="5" spans="1:9">
      <c r="A5" s="180" t="s">
        <v>132</v>
      </c>
      <c r="B5" s="152"/>
      <c r="C5" s="158">
        <v>22750</v>
      </c>
      <c r="D5" s="194"/>
      <c r="E5" s="182">
        <v>49597716.839000002</v>
      </c>
      <c r="F5" s="182">
        <v>-26321244</v>
      </c>
      <c r="G5" s="182">
        <v>24980245</v>
      </c>
      <c r="H5" s="189">
        <f t="shared" si="0"/>
        <v>-1340999</v>
      </c>
      <c r="I5" s="159">
        <f t="shared" si="1"/>
        <v>48256717.839000002</v>
      </c>
    </row>
    <row r="6" spans="1:9">
      <c r="A6" s="180" t="s">
        <v>133</v>
      </c>
      <c r="B6" s="152"/>
      <c r="C6" s="158">
        <v>9436</v>
      </c>
      <c r="D6" s="194"/>
      <c r="E6" s="182">
        <v>6142389.0769999996</v>
      </c>
      <c r="F6" s="182">
        <v>-3266140</v>
      </c>
      <c r="G6" s="182">
        <v>3114821</v>
      </c>
      <c r="H6" s="189">
        <f t="shared" si="0"/>
        <v>-151319</v>
      </c>
      <c r="I6" s="159">
        <f t="shared" si="1"/>
        <v>5991070.0769999996</v>
      </c>
    </row>
    <row r="7" spans="1:9">
      <c r="A7" s="180" t="s">
        <v>134</v>
      </c>
      <c r="B7" s="152"/>
      <c r="C7" s="158">
        <v>1867</v>
      </c>
      <c r="D7" s="194"/>
      <c r="E7" s="182">
        <v>109199871.412</v>
      </c>
      <c r="F7" s="182">
        <v>-58150096</v>
      </c>
      <c r="G7" s="182">
        <f>3854976+51101564</f>
        <v>54956540</v>
      </c>
      <c r="H7" s="189">
        <f t="shared" si="0"/>
        <v>-3193556</v>
      </c>
      <c r="I7" s="159">
        <f t="shared" si="1"/>
        <v>106006315.412</v>
      </c>
    </row>
    <row r="8" spans="1:9">
      <c r="A8" s="180" t="s">
        <v>135</v>
      </c>
      <c r="B8" s="152"/>
      <c r="C8" s="158">
        <v>47</v>
      </c>
      <c r="D8" s="194"/>
      <c r="E8" s="182">
        <v>3024058.96</v>
      </c>
      <c r="F8" s="182">
        <v>-1633070</v>
      </c>
      <c r="G8" s="182">
        <v>1541990</v>
      </c>
      <c r="H8" s="189">
        <f t="shared" si="0"/>
        <v>-91080</v>
      </c>
      <c r="I8" s="159">
        <f t="shared" si="1"/>
        <v>2932978.96</v>
      </c>
    </row>
    <row r="9" spans="1:9">
      <c r="A9" s="180" t="s">
        <v>136</v>
      </c>
      <c r="B9" s="152"/>
      <c r="C9" s="158">
        <v>22</v>
      </c>
      <c r="D9" s="194"/>
      <c r="E9" s="182">
        <f>59452404.5-E10</f>
        <v>59452404.5</v>
      </c>
      <c r="F9" s="182">
        <v>-16075679</v>
      </c>
      <c r="G9" s="182">
        <f>45932134-G10</f>
        <v>10932134</v>
      </c>
      <c r="H9" s="189">
        <f t="shared" si="0"/>
        <v>-5143545</v>
      </c>
      <c r="I9" s="159">
        <f t="shared" si="1"/>
        <v>54308859.5</v>
      </c>
    </row>
    <row r="10" spans="1:9">
      <c r="A10" s="180" t="s">
        <v>179</v>
      </c>
      <c r="B10" s="152"/>
      <c r="C10" s="158"/>
      <c r="D10" s="194"/>
      <c r="E10" s="182">
        <v>0</v>
      </c>
      <c r="F10" s="182">
        <v>0</v>
      </c>
      <c r="G10" s="182">
        <v>35000000</v>
      </c>
      <c r="H10" s="189">
        <f t="shared" si="0"/>
        <v>35000000</v>
      </c>
      <c r="I10" s="159">
        <f t="shared" si="1"/>
        <v>35000000</v>
      </c>
    </row>
    <row r="11" spans="1:9">
      <c r="A11" s="180" t="s">
        <v>180</v>
      </c>
      <c r="B11" s="152"/>
      <c r="C11" s="158">
        <v>48</v>
      </c>
      <c r="D11" s="194"/>
      <c r="E11" s="182">
        <v>10492.6</v>
      </c>
      <c r="F11" s="182">
        <v>0</v>
      </c>
      <c r="G11" s="182">
        <v>0</v>
      </c>
      <c r="H11" s="189">
        <f t="shared" si="0"/>
        <v>0</v>
      </c>
      <c r="I11" s="159">
        <f t="shared" si="1"/>
        <v>10492.6</v>
      </c>
    </row>
    <row r="12" spans="1:9">
      <c r="A12" s="180" t="s">
        <v>137</v>
      </c>
      <c r="B12" s="152"/>
      <c r="C12" s="158">
        <v>1195</v>
      </c>
      <c r="D12" s="194"/>
      <c r="E12" s="182">
        <v>3933829.2289999998</v>
      </c>
      <c r="F12" s="182">
        <v>-1921259</v>
      </c>
      <c r="G12" s="182">
        <v>1788709</v>
      </c>
      <c r="H12" s="189">
        <f t="shared" si="0"/>
        <v>-132550</v>
      </c>
      <c r="I12" s="159">
        <f t="shared" si="1"/>
        <v>3801279.2289999998</v>
      </c>
    </row>
    <row r="13" spans="1:9">
      <c r="A13" s="180" t="s">
        <v>138</v>
      </c>
      <c r="B13" s="152"/>
      <c r="C13" s="158">
        <v>1209</v>
      </c>
      <c r="D13" s="194"/>
      <c r="E13" s="182">
        <v>282325.97100000002</v>
      </c>
      <c r="F13" s="182">
        <v>-128084</v>
      </c>
      <c r="G13" s="182">
        <v>123359</v>
      </c>
      <c r="H13" s="189">
        <f t="shared" si="0"/>
        <v>-4725</v>
      </c>
      <c r="I13" s="159">
        <f t="shared" si="1"/>
        <v>277600.97100000002</v>
      </c>
    </row>
    <row r="14" spans="1:9">
      <c r="A14" s="180" t="s">
        <v>181</v>
      </c>
      <c r="B14" s="152"/>
      <c r="C14" s="158">
        <v>425</v>
      </c>
      <c r="D14" s="194"/>
      <c r="E14" s="182">
        <v>858053.76017000014</v>
      </c>
      <c r="F14" s="182"/>
      <c r="G14" s="182"/>
      <c r="H14" s="189"/>
      <c r="I14" s="159">
        <f t="shared" si="1"/>
        <v>858053.76017000014</v>
      </c>
    </row>
    <row r="15" spans="1:9">
      <c r="A15" s="180" t="s">
        <v>182</v>
      </c>
      <c r="B15" s="152"/>
      <c r="C15" s="158"/>
      <c r="D15" s="194"/>
      <c r="E15" s="182">
        <v>407399.72499999998</v>
      </c>
      <c r="F15" s="182"/>
      <c r="G15" s="182"/>
      <c r="H15" s="189">
        <f t="shared" si="0"/>
        <v>0</v>
      </c>
      <c r="I15" s="159">
        <f t="shared" si="1"/>
        <v>407399.72499999998</v>
      </c>
    </row>
    <row r="16" spans="1:9">
      <c r="A16" s="180" t="s">
        <v>183</v>
      </c>
      <c r="B16" s="152"/>
      <c r="C16" s="158"/>
      <c r="D16" s="195"/>
      <c r="E16" s="182">
        <v>208808.4523</v>
      </c>
      <c r="F16" s="182"/>
      <c r="G16" s="182"/>
      <c r="H16" s="189">
        <f t="shared" si="0"/>
        <v>0</v>
      </c>
      <c r="I16" s="159">
        <f t="shared" si="1"/>
        <v>208808.4523</v>
      </c>
    </row>
    <row r="17" spans="1:9">
      <c r="A17" s="152"/>
      <c r="B17" s="152"/>
      <c r="C17" s="160">
        <f>SUM(C3:C16)</f>
        <v>253044</v>
      </c>
      <c r="E17" s="160">
        <f>SUM(E3:E16)</f>
        <v>466253414.73247004</v>
      </c>
      <c r="F17" s="160">
        <f>SUM(F3:F16)</f>
        <v>-228150617</v>
      </c>
      <c r="G17" s="160">
        <f>SUM(G3:G16)</f>
        <v>250554267</v>
      </c>
      <c r="H17" s="160">
        <f>SUM(H3:H16)</f>
        <v>22403650</v>
      </c>
      <c r="I17" s="160">
        <f>SUM(I3:I16)</f>
        <v>488657064.73247004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216045</v>
      </c>
      <c r="E19" s="162">
        <f>E3+E4</f>
        <v>233136064.20699999</v>
      </c>
      <c r="F19" s="162">
        <f>F3+F4</f>
        <v>-120655045</v>
      </c>
      <c r="G19" s="162">
        <f>G3+G4</f>
        <v>118116469</v>
      </c>
      <c r="H19" s="162">
        <f>H3+H4</f>
        <v>-2538576</v>
      </c>
      <c r="I19" s="161">
        <f>I3+I4</f>
        <v>230597488.20699999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36552</v>
      </c>
      <c r="E21" s="178">
        <f>SUM(E5:E8,E11:E13)</f>
        <v>172190684.088</v>
      </c>
      <c r="F21" s="178">
        <f>SUM(F5:F8,F11:F13)</f>
        <v>-91419893</v>
      </c>
      <c r="G21" s="178">
        <f>SUM(G5:G8,G11:G13)</f>
        <v>86505664</v>
      </c>
      <c r="H21" s="178">
        <f>SUM(H5:H8,H11:H13)</f>
        <v>-4914229</v>
      </c>
      <c r="I21" s="177">
        <f>SUM(I5:I8,I11:I13)</f>
        <v>167276455.088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1871538.5</v>
      </c>
      <c r="D24" s="181">
        <v>20707001.530000001</v>
      </c>
      <c r="E24" s="183">
        <v>-11801787</v>
      </c>
      <c r="F24" s="183">
        <v>11352157</v>
      </c>
      <c r="G24" s="174">
        <f>SUM(D24:F24)</f>
        <v>20257371.530000001</v>
      </c>
      <c r="H24" s="174">
        <f>-J65</f>
        <v>19111.264199999998</v>
      </c>
      <c r="I24" s="174">
        <f>SUM(G24:H24)</f>
        <v>20276482.794199999</v>
      </c>
    </row>
    <row r="25" spans="1:9">
      <c r="A25" s="180" t="s">
        <v>178</v>
      </c>
      <c r="B25" s="152"/>
      <c r="C25" s="181">
        <v>3468</v>
      </c>
      <c r="D25" s="181">
        <v>49890.76</v>
      </c>
      <c r="E25" s="183">
        <v>-18728</v>
      </c>
      <c r="F25" s="183">
        <v>17552</v>
      </c>
      <c r="G25" s="174">
        <f t="shared" ref="G25:G33" si="2">SUM(D25:F25)</f>
        <v>48714.76</v>
      </c>
      <c r="H25" s="174">
        <f t="shared" ref="H25:H30" si="3">-J66</f>
        <v>-254.82507000000001</v>
      </c>
      <c r="I25" s="174">
        <f t="shared" ref="I25:I34" si="4">SUM(G25:H25)</f>
        <v>48459.934930000003</v>
      </c>
    </row>
    <row r="26" spans="1:9">
      <c r="A26" s="180" t="s">
        <v>132</v>
      </c>
      <c r="B26" s="152"/>
      <c r="C26" s="181">
        <v>417725.76</v>
      </c>
      <c r="D26" s="181">
        <v>5745129.3899999997</v>
      </c>
      <c r="E26" s="183">
        <v>-3051861</v>
      </c>
      <c r="F26" s="183">
        <v>2934622</v>
      </c>
      <c r="G26" s="174">
        <f t="shared" si="2"/>
        <v>5627890.3899999997</v>
      </c>
      <c r="H26" s="174">
        <f t="shared" si="3"/>
        <v>8019.1740199999995</v>
      </c>
      <c r="I26" s="174">
        <f t="shared" si="4"/>
        <v>5635909.5640199995</v>
      </c>
    </row>
    <row r="27" spans="1:9">
      <c r="A27" s="180" t="s">
        <v>133</v>
      </c>
      <c r="B27" s="152"/>
      <c r="C27" s="181">
        <v>171554.01</v>
      </c>
      <c r="D27" s="181">
        <v>846882.72</v>
      </c>
      <c r="E27" s="183">
        <v>-453450</v>
      </c>
      <c r="F27" s="183">
        <v>440806</v>
      </c>
      <c r="G27" s="174">
        <f t="shared" si="2"/>
        <v>834238.72</v>
      </c>
      <c r="H27" s="174">
        <f t="shared" si="3"/>
        <v>782.31922999999995</v>
      </c>
      <c r="I27" s="174">
        <f t="shared" si="4"/>
        <v>835021.03922999999</v>
      </c>
    </row>
    <row r="28" spans="1:9">
      <c r="A28" s="180" t="s">
        <v>134</v>
      </c>
      <c r="B28" s="152"/>
      <c r="C28" s="181">
        <v>934452.7</v>
      </c>
      <c r="D28" s="181">
        <v>9817261.8100000005</v>
      </c>
      <c r="E28" s="183">
        <v>-4802235</v>
      </c>
      <c r="F28" s="183">
        <f>4262877+307752</f>
        <v>4570629</v>
      </c>
      <c r="G28" s="174">
        <f t="shared" si="2"/>
        <v>9585655.8100000005</v>
      </c>
      <c r="H28" s="174">
        <f t="shared" si="3"/>
        <v>14594.550920000001</v>
      </c>
      <c r="I28" s="174">
        <f t="shared" si="4"/>
        <v>9600250.3609200008</v>
      </c>
    </row>
    <row r="29" spans="1:9">
      <c r="A29" s="180" t="s">
        <v>135</v>
      </c>
      <c r="B29" s="152"/>
      <c r="C29" s="181">
        <v>23500</v>
      </c>
      <c r="D29" s="181">
        <v>267223.74</v>
      </c>
      <c r="E29" s="183">
        <v>-133641</v>
      </c>
      <c r="F29" s="183">
        <v>126949</v>
      </c>
      <c r="G29" s="174">
        <f t="shared" si="2"/>
        <v>260531.74</v>
      </c>
      <c r="H29" s="174">
        <f t="shared" si="3"/>
        <v>342.46079999999995</v>
      </c>
      <c r="I29" s="174">
        <f t="shared" si="4"/>
        <v>260874.20079999999</v>
      </c>
    </row>
    <row r="30" spans="1:9">
      <c r="A30" s="180" t="s">
        <v>136</v>
      </c>
      <c r="B30" s="152"/>
      <c r="C30" s="181">
        <v>483000</v>
      </c>
      <c r="D30" s="181">
        <f>3806218.86-0</f>
        <v>3806218.86</v>
      </c>
      <c r="E30" s="183">
        <v>-1009705</v>
      </c>
      <c r="F30" s="183">
        <v>2559011</v>
      </c>
      <c r="G30" s="174">
        <f t="shared" si="2"/>
        <v>5355524.8599999994</v>
      </c>
      <c r="H30" s="174">
        <f t="shared" si="3"/>
        <v>-48699.750200000002</v>
      </c>
      <c r="I30" s="174">
        <f t="shared" si="4"/>
        <v>5306825.1097999997</v>
      </c>
    </row>
    <row r="31" spans="1:9">
      <c r="A31" s="180" t="s">
        <v>180</v>
      </c>
      <c r="B31" s="152"/>
      <c r="C31" s="181">
        <v>882</v>
      </c>
      <c r="D31" s="181">
        <v>1607.3</v>
      </c>
      <c r="E31" s="183">
        <v>0</v>
      </c>
      <c r="F31" s="183">
        <v>0</v>
      </c>
      <c r="G31" s="174">
        <f t="shared" si="2"/>
        <v>1607.3</v>
      </c>
      <c r="H31" s="174">
        <f>-J72</f>
        <v>0</v>
      </c>
      <c r="I31" s="174">
        <f t="shared" si="4"/>
        <v>1607.3</v>
      </c>
    </row>
    <row r="32" spans="1:9">
      <c r="A32" s="180" t="s">
        <v>137</v>
      </c>
      <c r="B32" s="152"/>
      <c r="C32" s="181">
        <v>21636</v>
      </c>
      <c r="D32" s="181">
        <v>344840.58</v>
      </c>
      <c r="E32" s="183">
        <v>-123720</v>
      </c>
      <c r="F32" s="183">
        <v>113785</v>
      </c>
      <c r="G32" s="174">
        <f t="shared" si="2"/>
        <v>334905.58</v>
      </c>
      <c r="H32" s="174">
        <f>-J73</f>
        <v>551.40800000000002</v>
      </c>
      <c r="I32" s="174">
        <f t="shared" si="4"/>
        <v>335456.98800000001</v>
      </c>
    </row>
    <row r="33" spans="1:11">
      <c r="A33" s="180" t="s">
        <v>138</v>
      </c>
      <c r="B33" s="152"/>
      <c r="C33" s="181">
        <v>21816</v>
      </c>
      <c r="D33" s="181">
        <v>46005.46</v>
      </c>
      <c r="E33" s="183">
        <v>-21063</v>
      </c>
      <c r="F33" s="183">
        <v>20534</v>
      </c>
      <c r="G33" s="174">
        <f t="shared" si="2"/>
        <v>45476.46</v>
      </c>
      <c r="H33" s="174">
        <f>-J74</f>
        <v>15.828750000000003</v>
      </c>
      <c r="I33" s="174">
        <f t="shared" si="4"/>
        <v>45492.28875</v>
      </c>
    </row>
    <row r="34" spans="1:11">
      <c r="A34" s="180" t="s">
        <v>192</v>
      </c>
      <c r="B34" s="152"/>
      <c r="C34" s="174"/>
      <c r="D34" s="181">
        <v>365597.41</v>
      </c>
      <c r="E34" s="181"/>
      <c r="F34" s="181"/>
      <c r="G34" s="174">
        <f>SUM(D34:F34)</f>
        <v>365597.41</v>
      </c>
      <c r="H34" s="174"/>
      <c r="I34" s="174">
        <f t="shared" si="4"/>
        <v>365597.41</v>
      </c>
    </row>
    <row r="35" spans="1:11">
      <c r="A35" s="180" t="s">
        <v>193</v>
      </c>
      <c r="B35" s="152"/>
      <c r="C35" s="194"/>
      <c r="D35" s="181">
        <v>2767250.6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1863434.5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3949572.9699999997</v>
      </c>
      <c r="D37" s="166">
        <f t="shared" si="5"/>
        <v>46628344.659999996</v>
      </c>
      <c r="E37" s="166">
        <f t="shared" si="5"/>
        <v>-21416190</v>
      </c>
      <c r="F37" s="166">
        <f t="shared" si="5"/>
        <v>22136045</v>
      </c>
      <c r="G37" s="166">
        <f t="shared" si="5"/>
        <v>42717514.559999995</v>
      </c>
      <c r="H37" s="166">
        <f t="shared" si="5"/>
        <v>-5537.5693500000016</v>
      </c>
      <c r="I37" s="166">
        <f t="shared" si="5"/>
        <v>42711976.990649998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6">C24+C25</f>
        <v>1875006.5</v>
      </c>
      <c r="D39" s="168">
        <f t="shared" si="6"/>
        <v>20756892.290000003</v>
      </c>
      <c r="E39" s="168">
        <f t="shared" si="6"/>
        <v>-11820515</v>
      </c>
      <c r="F39" s="168">
        <f t="shared" si="6"/>
        <v>11369709</v>
      </c>
      <c r="G39" s="168">
        <f t="shared" si="6"/>
        <v>20306086.290000003</v>
      </c>
      <c r="H39" s="168">
        <f t="shared" si="6"/>
        <v>18856.439129999999</v>
      </c>
      <c r="I39" s="169">
        <f t="shared" si="6"/>
        <v>20324942.72913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1591566.47</v>
      </c>
      <c r="D41" s="176">
        <f t="shared" ref="D41:I41" si="7">SUM(D26:D29,D31:D33)</f>
        <v>17068951</v>
      </c>
      <c r="E41" s="176">
        <f t="shared" si="7"/>
        <v>-8585970</v>
      </c>
      <c r="F41" s="176">
        <f t="shared" si="7"/>
        <v>8207325</v>
      </c>
      <c r="G41" s="176">
        <f t="shared" si="7"/>
        <v>16690306.000000002</v>
      </c>
      <c r="H41" s="176">
        <f t="shared" si="7"/>
        <v>24305.741720000002</v>
      </c>
      <c r="I41" s="175">
        <f t="shared" si="7"/>
        <v>16714611.741720002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K49" s="211" t="s">
        <v>229</v>
      </c>
      <c r="L49" s="1" t="s">
        <v>230</v>
      </c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K50" s="171">
        <f t="shared" ref="K50:K62" si="8">SUM(C50:I50)</f>
        <v>7.5599999999999999E-3</v>
      </c>
      <c r="L50" s="212">
        <f t="shared" ref="L50:L62" si="9">K50*H3</f>
        <v>-19111.264200000001</v>
      </c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K51" s="171">
        <f t="shared" si="8"/>
        <v>-2.3970000000000005E-2</v>
      </c>
      <c r="L51" s="212">
        <f t="shared" si="9"/>
        <v>254.82507000000007</v>
      </c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K52" s="171">
        <f t="shared" si="8"/>
        <v>5.9800000000000001E-3</v>
      </c>
      <c r="L52" s="212">
        <f t="shared" si="9"/>
        <v>-8019.1740200000004</v>
      </c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K53" s="171">
        <f t="shared" si="8"/>
        <v>5.1700000000000001E-3</v>
      </c>
      <c r="L53" s="212">
        <f t="shared" si="9"/>
        <v>-782.31923000000006</v>
      </c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K54" s="171">
        <f t="shared" si="8"/>
        <v>4.5700000000000003E-3</v>
      </c>
      <c r="L54" s="212">
        <f t="shared" si="9"/>
        <v>-14594.550920000001</v>
      </c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K55" s="171">
        <f t="shared" si="8"/>
        <v>3.7600000000000003E-3</v>
      </c>
      <c r="L55" s="212">
        <f t="shared" si="9"/>
        <v>-342.46080000000001</v>
      </c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K56" s="171">
        <f t="shared" si="8"/>
        <v>2.4400000000000003E-3</v>
      </c>
      <c r="L56" s="212">
        <f t="shared" si="9"/>
        <v>-12550.249800000001</v>
      </c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K57" s="171">
        <f t="shared" si="8"/>
        <v>1.75E-3</v>
      </c>
      <c r="L57" s="212">
        <f t="shared" si="9"/>
        <v>61250</v>
      </c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K58" s="171">
        <f t="shared" si="8"/>
        <v>4.1599999999999996E-3</v>
      </c>
      <c r="L58" s="212">
        <f t="shared" si="9"/>
        <v>0</v>
      </c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K59" s="171">
        <f t="shared" si="8"/>
        <v>4.1599999999999996E-3</v>
      </c>
      <c r="L59" s="212">
        <f t="shared" si="9"/>
        <v>-551.4079999999999</v>
      </c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K60" s="171">
        <f t="shared" si="8"/>
        <v>3.3500000000000001E-3</v>
      </c>
      <c r="L60" s="212">
        <f t="shared" si="9"/>
        <v>-15.828750000000001</v>
      </c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K61" s="171">
        <f t="shared" si="8"/>
        <v>1.15E-2</v>
      </c>
      <c r="L61" s="212">
        <f t="shared" si="9"/>
        <v>0</v>
      </c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K62" s="171">
        <f t="shared" si="8"/>
        <v>1.069E-2</v>
      </c>
      <c r="L62" s="212">
        <f t="shared" si="9"/>
        <v>0</v>
      </c>
    </row>
    <row r="63" spans="1:13">
      <c r="E63" s="152"/>
      <c r="L63" s="212">
        <f>SUM(L50:L62)</f>
        <v>5537.5693499999879</v>
      </c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9"/>
    </row>
    <row r="65" spans="1:13">
      <c r="A65" s="180" t="s">
        <v>131</v>
      </c>
      <c r="C65" s="168">
        <f t="shared" ref="C65:C70" si="10">C50*H3</f>
        <v>2047.63545</v>
      </c>
      <c r="D65" s="168">
        <f t="shared" ref="D65:D70" si="11">D50*H3</f>
        <v>-11249.355250000001</v>
      </c>
      <c r="E65" s="168">
        <f t="shared" ref="E65:E70" si="12">$H3*E50</f>
        <v>0</v>
      </c>
      <c r="F65" s="168">
        <f t="shared" ref="F65:G70" si="13">($H3*F50)</f>
        <v>-8696.130799999999</v>
      </c>
      <c r="G65" s="168">
        <f t="shared" si="13"/>
        <v>-2654.3422499999997</v>
      </c>
      <c r="H65" s="168">
        <f t="shared" ref="H65:H70" si="14">$H3*H50</f>
        <v>0</v>
      </c>
      <c r="I65" s="168">
        <f t="shared" ref="I65:I70" si="15">(I50*H3)</f>
        <v>1440.9286499999998</v>
      </c>
      <c r="J65" s="168">
        <f>SUM(C65:I65)</f>
        <v>-19111.264199999998</v>
      </c>
      <c r="M65" s="168"/>
    </row>
    <row r="66" spans="1:13">
      <c r="A66" s="180" t="s">
        <v>178</v>
      </c>
      <c r="C66" s="168">
        <f t="shared" si="10"/>
        <v>8.61111</v>
      </c>
      <c r="D66" s="168">
        <f t="shared" si="11"/>
        <v>-47.307949999999998</v>
      </c>
      <c r="E66" s="168">
        <f t="shared" si="12"/>
        <v>335.19543000000004</v>
      </c>
      <c r="F66" s="168">
        <f t="shared" si="13"/>
        <v>-36.570639999999997</v>
      </c>
      <c r="G66" s="168">
        <f t="shared" si="13"/>
        <v>-11.16255</v>
      </c>
      <c r="H66" s="168">
        <f t="shared" si="14"/>
        <v>0</v>
      </c>
      <c r="I66" s="168">
        <f t="shared" si="15"/>
        <v>6.0596699999999997</v>
      </c>
      <c r="J66" s="168">
        <f t="shared" ref="J66:J75" si="16">SUM(C66:I66)</f>
        <v>254.82507000000001</v>
      </c>
      <c r="M66" s="168"/>
    </row>
    <row r="67" spans="1:13">
      <c r="A67" s="180" t="s">
        <v>132</v>
      </c>
      <c r="C67" s="168">
        <f t="shared" si="10"/>
        <v>0</v>
      </c>
      <c r="D67" s="168">
        <f t="shared" si="11"/>
        <v>-536.39960000000008</v>
      </c>
      <c r="E67" s="168">
        <f t="shared" si="12"/>
        <v>0</v>
      </c>
      <c r="F67" s="168">
        <f t="shared" si="13"/>
        <v>-6208.8253699999996</v>
      </c>
      <c r="G67" s="168">
        <f t="shared" si="13"/>
        <v>-2038.3184800000001</v>
      </c>
      <c r="H67" s="168">
        <f t="shared" si="14"/>
        <v>0</v>
      </c>
      <c r="I67" s="168">
        <f t="shared" si="15"/>
        <v>764.36942999999997</v>
      </c>
      <c r="J67" s="168">
        <f t="shared" si="16"/>
        <v>-8019.1740199999995</v>
      </c>
      <c r="M67" s="168"/>
    </row>
    <row r="68" spans="1:13">
      <c r="A68" s="180" t="s">
        <v>133</v>
      </c>
      <c r="C68" s="168">
        <f t="shared" si="10"/>
        <v>122.56838999999999</v>
      </c>
      <c r="D68" s="168">
        <f t="shared" si="11"/>
        <v>-60.5276</v>
      </c>
      <c r="E68" s="168">
        <f t="shared" si="12"/>
        <v>0</v>
      </c>
      <c r="F68" s="168">
        <f t="shared" si="13"/>
        <v>-700.60696999999993</v>
      </c>
      <c r="G68" s="168">
        <f t="shared" si="13"/>
        <v>-230.00488000000001</v>
      </c>
      <c r="H68" s="168">
        <f t="shared" si="14"/>
        <v>0</v>
      </c>
      <c r="I68" s="168">
        <f t="shared" si="15"/>
        <v>86.251829999999998</v>
      </c>
      <c r="J68" s="168">
        <f t="shared" si="16"/>
        <v>-782.31922999999995</v>
      </c>
      <c r="M68" s="168"/>
    </row>
    <row r="69" spans="1:13">
      <c r="A69" s="180" t="s">
        <v>134</v>
      </c>
      <c r="C69" s="168">
        <f t="shared" si="10"/>
        <v>0</v>
      </c>
      <c r="D69" s="168">
        <f t="shared" si="11"/>
        <v>-1277.4224000000002</v>
      </c>
      <c r="E69" s="168">
        <f t="shared" si="12"/>
        <v>0</v>
      </c>
      <c r="F69" s="168">
        <f t="shared" si="13"/>
        <v>-11688.41496</v>
      </c>
      <c r="G69" s="168">
        <f t="shared" si="13"/>
        <v>-3512.9116000000004</v>
      </c>
      <c r="H69" s="168">
        <f t="shared" si="14"/>
        <v>0</v>
      </c>
      <c r="I69" s="168">
        <f t="shared" si="15"/>
        <v>1884.19804</v>
      </c>
      <c r="J69" s="168">
        <f t="shared" si="16"/>
        <v>-14594.550920000001</v>
      </c>
      <c r="M69" s="168"/>
    </row>
    <row r="70" spans="1:13">
      <c r="A70" s="180" t="s">
        <v>135</v>
      </c>
      <c r="C70" s="168">
        <f t="shared" si="10"/>
        <v>73.774799999999999</v>
      </c>
      <c r="D70" s="168">
        <f t="shared" si="11"/>
        <v>-36.432000000000002</v>
      </c>
      <c r="E70" s="168">
        <f t="shared" si="12"/>
        <v>0</v>
      </c>
      <c r="F70" s="168">
        <f t="shared" si="13"/>
        <v>-333.3528</v>
      </c>
      <c r="G70" s="168">
        <f t="shared" si="13"/>
        <v>-100.188</v>
      </c>
      <c r="H70" s="168">
        <f t="shared" si="14"/>
        <v>0</v>
      </c>
      <c r="I70" s="168">
        <f t="shared" si="15"/>
        <v>53.737200000000001</v>
      </c>
      <c r="J70" s="168">
        <f>SUM(C70:I70)</f>
        <v>-342.46079999999995</v>
      </c>
      <c r="M70" s="168"/>
    </row>
    <row r="71" spans="1:13">
      <c r="A71" s="180" t="s">
        <v>136</v>
      </c>
      <c r="C71" s="168">
        <f t="shared" ref="C71:I71" si="17">$H9*C56+$H10*C57</f>
        <v>0</v>
      </c>
      <c r="D71" s="168">
        <f t="shared" si="17"/>
        <v>0</v>
      </c>
      <c r="E71" s="168">
        <f t="shared" si="17"/>
        <v>0</v>
      </c>
      <c r="F71" s="168">
        <f t="shared" si="17"/>
        <v>69266.975600000005</v>
      </c>
      <c r="G71" s="168">
        <f t="shared" si="17"/>
        <v>-3549.0460499999999</v>
      </c>
      <c r="H71" s="168">
        <f t="shared" si="17"/>
        <v>0</v>
      </c>
      <c r="I71" s="168">
        <f t="shared" si="17"/>
        <v>-17018.179349999999</v>
      </c>
      <c r="J71" s="168">
        <f t="shared" si="16"/>
        <v>48699.750200000002</v>
      </c>
      <c r="M71" s="168"/>
    </row>
    <row r="72" spans="1:13">
      <c r="A72" s="180" t="s">
        <v>180</v>
      </c>
      <c r="C72" s="168">
        <f t="shared" ref="C72:E74" si="18">$H11*C58</f>
        <v>0</v>
      </c>
      <c r="D72" s="168">
        <f t="shared" si="18"/>
        <v>0</v>
      </c>
      <c r="E72" s="168">
        <f t="shared" si="18"/>
        <v>0</v>
      </c>
      <c r="F72" s="168">
        <f t="shared" ref="F72:G74" si="19">($H11*F58)</f>
        <v>0</v>
      </c>
      <c r="G72" s="168">
        <f t="shared" si="19"/>
        <v>0</v>
      </c>
      <c r="H72" s="168">
        <f t="shared" ref="H72:I74" si="20">$H11*H58</f>
        <v>0</v>
      </c>
      <c r="I72" s="168">
        <f t="shared" si="20"/>
        <v>0</v>
      </c>
      <c r="J72" s="168">
        <f t="shared" si="16"/>
        <v>0</v>
      </c>
      <c r="M72" s="168"/>
    </row>
    <row r="73" spans="1:13">
      <c r="A73" s="180" t="s">
        <v>137</v>
      </c>
      <c r="C73" s="168">
        <f t="shared" si="18"/>
        <v>0</v>
      </c>
      <c r="D73" s="168">
        <f t="shared" si="18"/>
        <v>-53.02</v>
      </c>
      <c r="E73" s="168">
        <f t="shared" si="18"/>
        <v>0</v>
      </c>
      <c r="F73" s="168">
        <f t="shared" si="19"/>
        <v>-451.99549999999999</v>
      </c>
      <c r="G73" s="168">
        <f t="shared" si="19"/>
        <v>-127.248</v>
      </c>
      <c r="H73" s="168">
        <f t="shared" si="20"/>
        <v>0</v>
      </c>
      <c r="I73" s="168">
        <f t="shared" si="20"/>
        <v>80.855499999999992</v>
      </c>
      <c r="J73" s="168">
        <f t="shared" si="16"/>
        <v>-551.40800000000002</v>
      </c>
      <c r="M73" s="168"/>
    </row>
    <row r="74" spans="1:13">
      <c r="A74" s="180" t="s">
        <v>138</v>
      </c>
      <c r="C74" s="168">
        <f t="shared" si="18"/>
        <v>3.8272499999999998</v>
      </c>
      <c r="D74" s="168">
        <f t="shared" si="18"/>
        <v>-1.8900000000000001</v>
      </c>
      <c r="E74" s="168">
        <f t="shared" si="18"/>
        <v>0</v>
      </c>
      <c r="F74" s="168">
        <f t="shared" si="19"/>
        <v>-16.11225</v>
      </c>
      <c r="G74" s="168">
        <f t="shared" si="19"/>
        <v>-4.5360000000000005</v>
      </c>
      <c r="H74" s="168">
        <f t="shared" si="20"/>
        <v>0</v>
      </c>
      <c r="I74" s="168">
        <f t="shared" si="20"/>
        <v>2.88225</v>
      </c>
      <c r="J74" s="168">
        <f t="shared" si="16"/>
        <v>-15.828750000000003</v>
      </c>
      <c r="M74" s="168"/>
    </row>
    <row r="75" spans="1:13">
      <c r="A75" s="180" t="s">
        <v>192</v>
      </c>
      <c r="C75" s="168">
        <f>($H14+$H15)*C61+$H16*C62</f>
        <v>0</v>
      </c>
      <c r="D75" s="168">
        <f>($H14+$H15)*D61+$H16*D62</f>
        <v>0</v>
      </c>
      <c r="E75" s="168">
        <f>($H14+$H15)*E61+$H16*E62</f>
        <v>0</v>
      </c>
      <c r="F75" s="168">
        <f>($H14+$H15)*F61+$H16*F62</f>
        <v>0</v>
      </c>
      <c r="G75" s="168"/>
      <c r="H75" s="168">
        <f>($H14+$H15)*H61+$H16*H62</f>
        <v>0</v>
      </c>
      <c r="I75" s="168">
        <f>($H14+$H15)*I61+$H16*I62</f>
        <v>0</v>
      </c>
      <c r="J75" s="168">
        <f t="shared" si="16"/>
        <v>0</v>
      </c>
      <c r="M75" s="168"/>
    </row>
    <row r="76" spans="1:13">
      <c r="A76" s="157"/>
      <c r="C76" s="193">
        <f t="shared" ref="C76:J76" si="21">SUM(C65:C75)</f>
        <v>2256.4169999999999</v>
      </c>
      <c r="D76" s="193">
        <f t="shared" si="21"/>
        <v>-13262.354800000001</v>
      </c>
      <c r="E76" s="193">
        <f t="shared" si="21"/>
        <v>335.19543000000004</v>
      </c>
      <c r="F76" s="193">
        <f t="shared" si="21"/>
        <v>41134.966310000011</v>
      </c>
      <c r="G76" s="193">
        <f t="shared" si="21"/>
        <v>-12227.757809999999</v>
      </c>
      <c r="H76" s="193">
        <f t="shared" si="21"/>
        <v>0</v>
      </c>
      <c r="I76" s="193">
        <f t="shared" si="21"/>
        <v>-12698.896779999999</v>
      </c>
      <c r="J76" s="193">
        <f t="shared" si="21"/>
        <v>5537.5693500000016</v>
      </c>
    </row>
    <row r="77" spans="1:13" ht="15.75" customHeight="1"/>
    <row r="78" spans="1:13">
      <c r="A78" s="152" t="s">
        <v>19</v>
      </c>
      <c r="B78" s="152"/>
      <c r="C78" s="168">
        <f t="shared" ref="C78:J78" si="22">C65+C66</f>
        <v>2056.24656</v>
      </c>
      <c r="D78" s="168">
        <f t="shared" si="22"/>
        <v>-11296.663200000001</v>
      </c>
      <c r="E78" s="168">
        <f t="shared" si="22"/>
        <v>335.19543000000004</v>
      </c>
      <c r="F78" s="168">
        <f t="shared" si="22"/>
        <v>-8732.7014399999989</v>
      </c>
      <c r="G78" s="168">
        <f t="shared" si="22"/>
        <v>-2665.5047999999997</v>
      </c>
      <c r="H78" s="168">
        <f t="shared" si="22"/>
        <v>0</v>
      </c>
      <c r="I78" s="168">
        <f t="shared" si="22"/>
        <v>1446.9883199999999</v>
      </c>
      <c r="J78" s="168">
        <f t="shared" si="22"/>
        <v>-18856.439129999999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 t="shared" ref="C80:J80" si="23">SUM(C67:C70,C72:C74)</f>
        <v>200.17043999999999</v>
      </c>
      <c r="D80" s="176">
        <f t="shared" si="23"/>
        <v>-1965.6916000000003</v>
      </c>
      <c r="E80" s="176">
        <f t="shared" si="23"/>
        <v>0</v>
      </c>
      <c r="F80" s="176">
        <f t="shared" si="23"/>
        <v>-19399.307850000001</v>
      </c>
      <c r="G80" s="176">
        <f t="shared" si="23"/>
        <v>-6013.2069600000004</v>
      </c>
      <c r="H80" s="176">
        <f t="shared" si="23"/>
        <v>0</v>
      </c>
      <c r="I80" s="176">
        <f t="shared" si="23"/>
        <v>2872.2942500000004</v>
      </c>
      <c r="J80" s="176">
        <f t="shared" si="23"/>
        <v>-24305.741720000002</v>
      </c>
    </row>
    <row r="81" spans="1:14" ht="15.75" customHeight="1"/>
    <row r="82" spans="1:14" ht="14.4">
      <c r="A82" s="151" t="s">
        <v>215</v>
      </c>
      <c r="B82" s="151"/>
      <c r="C82" s="151"/>
      <c r="D82" s="151"/>
      <c r="E82" s="151"/>
      <c r="F82" s="151"/>
    </row>
    <row r="83" spans="1:14" ht="14.4">
      <c r="A83" s="151" t="s">
        <v>223</v>
      </c>
      <c r="B83" s="151"/>
      <c r="C83" s="151"/>
      <c r="D83" s="151"/>
      <c r="E83" s="151"/>
      <c r="F83" s="151"/>
    </row>
    <row r="84" spans="1:14" ht="14.4">
      <c r="A84" s="170" t="s">
        <v>222</v>
      </c>
      <c r="B84" s="170"/>
      <c r="C84" s="170"/>
      <c r="D84" s="170"/>
      <c r="E84" s="170"/>
      <c r="F84" s="151"/>
    </row>
    <row r="85" spans="1:14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14" ht="14.4">
      <c r="A86" s="170" t="s">
        <v>231</v>
      </c>
      <c r="B86" s="198">
        <v>1</v>
      </c>
      <c r="C86" s="199">
        <v>951957.3</v>
      </c>
      <c r="D86" s="200">
        <f>78038.39-C86*SUM(K56)</f>
        <v>75715.614187999992</v>
      </c>
      <c r="E86" s="200">
        <v>500</v>
      </c>
      <c r="F86" s="201" t="s">
        <v>219</v>
      </c>
      <c r="K86" s="198"/>
      <c r="L86" s="199"/>
      <c r="M86" s="200"/>
      <c r="N86" s="200"/>
    </row>
    <row r="87" spans="1:14" ht="28.8">
      <c r="A87" s="202" t="s">
        <v>220</v>
      </c>
      <c r="B87" s="203">
        <f>SUM(B86:B86)</f>
        <v>1</v>
      </c>
      <c r="C87" s="204">
        <f>SUM(C86:C86)</f>
        <v>951957.3</v>
      </c>
      <c r="D87" s="205">
        <f>SUM(D86:D86)</f>
        <v>75715.614187999992</v>
      </c>
      <c r="E87" s="205">
        <f>SUM(E86:E86)</f>
        <v>500</v>
      </c>
      <c r="F87" s="151"/>
    </row>
    <row r="88" spans="1:14" ht="9" customHeight="1">
      <c r="A88" s="170"/>
      <c r="B88" s="170"/>
      <c r="C88" s="170"/>
      <c r="D88" s="170"/>
      <c r="E88" s="170"/>
      <c r="F88" s="151"/>
    </row>
    <row r="89" spans="1:14" ht="14.4">
      <c r="A89" s="206" t="s">
        <v>232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57999999999999996" right="0.6" top="0.47" bottom="0.5" header="0.3" footer="0.3"/>
  <pageSetup scale="77" orientation="landscape" r:id="rId1"/>
  <headerFooter>
    <oddFooter>&amp;L&amp;F / &amp;A&amp;RPage &amp;P</oddFooter>
  </headerFooter>
  <rowBreaks count="1" manualBreakCount="1">
    <brk id="4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topLeftCell="E23" workbookViewId="0">
      <selection activeCell="M52" sqref="M52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4.33203125" bestFit="1" customWidth="1"/>
  </cols>
  <sheetData>
    <row r="1" spans="1:16">
      <c r="A1" t="s">
        <v>287</v>
      </c>
    </row>
    <row r="2" spans="1:16">
      <c r="A2" t="s">
        <v>80</v>
      </c>
    </row>
    <row r="3" spans="1:16">
      <c r="A3" t="s">
        <v>266</v>
      </c>
    </row>
    <row r="4" spans="1:16">
      <c r="A4" t="s">
        <v>81</v>
      </c>
    </row>
    <row r="5" spans="1:16">
      <c r="D5" s="327">
        <v>42370</v>
      </c>
      <c r="E5" s="327">
        <v>42401</v>
      </c>
      <c r="F5" s="327">
        <v>42430</v>
      </c>
      <c r="G5" s="327">
        <v>42461</v>
      </c>
      <c r="H5" s="327">
        <v>42491</v>
      </c>
      <c r="I5" s="327">
        <v>42522</v>
      </c>
      <c r="J5" s="327">
        <v>42552</v>
      </c>
      <c r="K5" s="327">
        <v>42583</v>
      </c>
      <c r="L5" s="327">
        <v>42614</v>
      </c>
      <c r="M5" s="327">
        <v>42644</v>
      </c>
      <c r="N5" s="327">
        <v>42675</v>
      </c>
      <c r="O5" s="327">
        <v>42705</v>
      </c>
      <c r="P5" t="s">
        <v>66</v>
      </c>
    </row>
    <row r="6" spans="1:16">
      <c r="A6" t="s">
        <v>84</v>
      </c>
    </row>
    <row r="7" spans="1:16">
      <c r="B7" t="s">
        <v>267</v>
      </c>
      <c r="D7" s="50">
        <v>281027480</v>
      </c>
      <c r="E7" s="50">
        <v>230506821</v>
      </c>
      <c r="F7" s="50">
        <v>198363507</v>
      </c>
      <c r="G7" s="50">
        <v>175201661</v>
      </c>
      <c r="H7" s="50">
        <v>148495652</v>
      </c>
      <c r="I7" s="50">
        <v>154090136.59999999</v>
      </c>
      <c r="J7" s="50">
        <v>163425633</v>
      </c>
      <c r="K7" s="50">
        <v>176921758</v>
      </c>
      <c r="L7" s="50">
        <v>176555296</v>
      </c>
      <c r="M7" s="50">
        <v>148062106</v>
      </c>
      <c r="N7" s="50">
        <v>171637794</v>
      </c>
      <c r="O7" s="50">
        <v>244773659</v>
      </c>
      <c r="P7" s="50">
        <v>2269061503.5999999</v>
      </c>
    </row>
    <row r="8" spans="1:16">
      <c r="B8" t="s">
        <v>85</v>
      </c>
      <c r="D8" s="50">
        <v>62103053</v>
      </c>
      <c r="E8" s="50">
        <v>55492050</v>
      </c>
      <c r="F8" s="50">
        <v>51335713</v>
      </c>
      <c r="G8" s="50">
        <v>47127306</v>
      </c>
      <c r="H8" s="50">
        <v>45475268</v>
      </c>
      <c r="I8" s="50">
        <v>46917495</v>
      </c>
      <c r="J8" s="50">
        <v>48733807</v>
      </c>
      <c r="K8" s="50">
        <v>51765642</v>
      </c>
      <c r="L8" s="50">
        <v>52690785</v>
      </c>
      <c r="M8" s="50">
        <v>45883770</v>
      </c>
      <c r="N8" s="50">
        <v>46983800</v>
      </c>
      <c r="O8" s="50">
        <v>57305285</v>
      </c>
      <c r="P8" s="50">
        <v>611813974</v>
      </c>
    </row>
    <row r="9" spans="1:16">
      <c r="B9" t="s">
        <v>86</v>
      </c>
      <c r="D9" s="50">
        <v>125186862</v>
      </c>
      <c r="E9" s="50">
        <v>112643414</v>
      </c>
      <c r="F9" s="50">
        <v>107231528</v>
      </c>
      <c r="G9" s="50">
        <v>112981690</v>
      </c>
      <c r="H9" s="50">
        <v>112626772</v>
      </c>
      <c r="I9" s="50">
        <v>118295108</v>
      </c>
      <c r="J9" s="50">
        <v>119288439</v>
      </c>
      <c r="K9" s="50">
        <v>119517243</v>
      </c>
      <c r="L9" s="50">
        <v>125067964</v>
      </c>
      <c r="M9" s="50">
        <v>111371375</v>
      </c>
      <c r="N9" s="50">
        <v>108423915</v>
      </c>
      <c r="O9" s="50">
        <v>125109526</v>
      </c>
      <c r="P9" s="50">
        <v>1397743836</v>
      </c>
    </row>
    <row r="10" spans="1:16">
      <c r="B10" t="s">
        <v>268</v>
      </c>
      <c r="D10" s="50">
        <v>93759560</v>
      </c>
      <c r="E10" s="50">
        <v>89320116</v>
      </c>
      <c r="F10" s="50">
        <v>92724920</v>
      </c>
      <c r="G10" s="50">
        <v>81644231</v>
      </c>
      <c r="H10" s="50">
        <v>98986457</v>
      </c>
      <c r="I10" s="50">
        <v>55033539</v>
      </c>
      <c r="J10" s="50">
        <v>135689737</v>
      </c>
      <c r="K10" s="50">
        <v>98320357</v>
      </c>
      <c r="L10" s="50">
        <v>86043771</v>
      </c>
      <c r="M10" s="50">
        <v>91087801</v>
      </c>
      <c r="N10" s="50">
        <v>88451909</v>
      </c>
      <c r="O10" s="50">
        <v>95010892</v>
      </c>
      <c r="P10" s="50">
        <v>1106073290</v>
      </c>
    </row>
    <row r="11" spans="1:16">
      <c r="B11" t="s">
        <v>269</v>
      </c>
      <c r="D11" s="50">
        <v>3962568.5</v>
      </c>
      <c r="E11" s="50">
        <v>3835415</v>
      </c>
      <c r="F11" s="50">
        <v>3817404</v>
      </c>
      <c r="G11" s="50">
        <v>5668911</v>
      </c>
      <c r="H11" s="50">
        <v>11827237</v>
      </c>
      <c r="I11" s="50">
        <v>17473356.666670002</v>
      </c>
      <c r="J11" s="50">
        <v>21240193</v>
      </c>
      <c r="K11" s="50">
        <v>24373405</v>
      </c>
      <c r="L11" s="50">
        <v>21721978</v>
      </c>
      <c r="M11" s="50">
        <v>12100052</v>
      </c>
      <c r="N11" s="50">
        <v>3753578</v>
      </c>
      <c r="O11" s="50">
        <v>3803632</v>
      </c>
      <c r="P11" s="50">
        <v>133577730.16666999</v>
      </c>
    </row>
    <row r="12" spans="1:16">
      <c r="B12" t="s">
        <v>87</v>
      </c>
      <c r="D12" s="50">
        <v>2124844.9717100002</v>
      </c>
      <c r="E12" s="50">
        <v>1905380.7574100001</v>
      </c>
      <c r="F12" s="50">
        <v>1884539.6084299998</v>
      </c>
      <c r="G12" s="50">
        <v>1916999.49967</v>
      </c>
      <c r="H12" s="50">
        <v>1959056.7826600003</v>
      </c>
      <c r="I12" s="50">
        <v>1909984.0465300002</v>
      </c>
      <c r="J12" s="50">
        <v>1897894.3302699998</v>
      </c>
      <c r="K12" s="50">
        <v>1950448.3249700002</v>
      </c>
      <c r="L12" s="50">
        <v>1909711.9522499999</v>
      </c>
      <c r="M12" s="50">
        <v>1857123.46842</v>
      </c>
      <c r="N12" s="50">
        <v>1889621.05859</v>
      </c>
      <c r="O12" s="50">
        <v>1915566.0024200003</v>
      </c>
      <c r="P12" s="50">
        <v>23121170.803329997</v>
      </c>
    </row>
    <row r="13" spans="1:16">
      <c r="A13" t="s">
        <v>88</v>
      </c>
      <c r="D13" s="51">
        <v>568164368.47170997</v>
      </c>
      <c r="E13" s="51">
        <v>493703196.75740999</v>
      </c>
      <c r="F13" s="51">
        <v>455357611.60843003</v>
      </c>
      <c r="G13" s="51">
        <v>424540798.49967003</v>
      </c>
      <c r="H13" s="51">
        <v>419370442.78266001</v>
      </c>
      <c r="I13" s="51">
        <v>393719619.31320006</v>
      </c>
      <c r="J13" s="51">
        <v>490275703.33026999</v>
      </c>
      <c r="K13" s="51">
        <v>472848853.32497001</v>
      </c>
      <c r="L13" s="51">
        <v>463989505.95225</v>
      </c>
      <c r="M13" s="51">
        <v>410362227.46842003</v>
      </c>
      <c r="N13" s="51">
        <v>421140617.05858999</v>
      </c>
      <c r="O13" s="51">
        <v>527918560.00242001</v>
      </c>
      <c r="P13" s="51">
        <v>5541391504.5700006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89</v>
      </c>
    </row>
    <row r="16" spans="1:16">
      <c r="B16" t="s">
        <v>267</v>
      </c>
      <c r="D16" s="50">
        <v>-5802194</v>
      </c>
      <c r="E16" s="50">
        <v>-20987679</v>
      </c>
      <c r="F16" s="50">
        <v>142616</v>
      </c>
      <c r="G16" s="50">
        <v>-18536904</v>
      </c>
      <c r="H16" s="50">
        <v>-6065337</v>
      </c>
      <c r="I16" s="50">
        <v>2412838</v>
      </c>
      <c r="J16" s="50">
        <v>15208818</v>
      </c>
      <c r="K16" s="50">
        <v>4646020</v>
      </c>
      <c r="L16" s="50">
        <v>-22372199</v>
      </c>
      <c r="M16" s="50">
        <v>9116055</v>
      </c>
      <c r="N16" s="50">
        <v>21662026</v>
      </c>
      <c r="O16" s="50">
        <v>39741167</v>
      </c>
      <c r="P16" s="50">
        <v>19165227</v>
      </c>
    </row>
    <row r="17" spans="1:16">
      <c r="B17" t="s">
        <v>85</v>
      </c>
      <c r="D17" s="50">
        <v>-2623049</v>
      </c>
      <c r="E17" s="50">
        <v>-2413188</v>
      </c>
      <c r="F17" s="50">
        <v>2101017</v>
      </c>
      <c r="G17" s="50">
        <v>-3831123</v>
      </c>
      <c r="H17" s="50">
        <v>1698711</v>
      </c>
      <c r="I17" s="50">
        <v>602404</v>
      </c>
      <c r="J17" s="50">
        <v>3918304</v>
      </c>
      <c r="K17" s="50">
        <v>774679</v>
      </c>
      <c r="L17" s="50">
        <v>-6018955</v>
      </c>
      <c r="M17" s="50">
        <v>3843245</v>
      </c>
      <c r="N17" s="50">
        <v>2414933</v>
      </c>
      <c r="O17" s="50">
        <v>4423953</v>
      </c>
      <c r="P17" s="50">
        <v>4890931</v>
      </c>
    </row>
    <row r="18" spans="1:16">
      <c r="B18" t="s">
        <v>86</v>
      </c>
      <c r="D18" s="50">
        <v>-10193765</v>
      </c>
      <c r="E18" s="50">
        <v>-4767451</v>
      </c>
      <c r="F18" s="50">
        <v>6082535</v>
      </c>
      <c r="G18" s="50">
        <v>-133123</v>
      </c>
      <c r="H18" s="50">
        <v>6764776</v>
      </c>
      <c r="I18" s="50">
        <v>2048807</v>
      </c>
      <c r="J18" s="50">
        <v>7701313</v>
      </c>
      <c r="K18" s="50">
        <v>-2644118</v>
      </c>
      <c r="L18" s="50">
        <v>-12188232</v>
      </c>
      <c r="M18" s="50">
        <v>10680568</v>
      </c>
      <c r="N18" s="50">
        <v>1970093</v>
      </c>
      <c r="O18" s="50">
        <v>5732655</v>
      </c>
      <c r="P18" s="50">
        <v>11054058</v>
      </c>
    </row>
    <row r="19" spans="1:16">
      <c r="B19" t="s">
        <v>268</v>
      </c>
      <c r="D19" s="50">
        <v>-1129891</v>
      </c>
      <c r="E19" s="50">
        <v>-1524703</v>
      </c>
      <c r="F19" s="50">
        <v>0</v>
      </c>
      <c r="G19" s="50">
        <v>952096</v>
      </c>
      <c r="H19" s="50">
        <v>2295167</v>
      </c>
      <c r="I19" s="50">
        <v>38362784</v>
      </c>
      <c r="J19" s="50">
        <v>-41610047</v>
      </c>
      <c r="K19" s="50">
        <v>0</v>
      </c>
      <c r="L19" s="50">
        <v>4399998</v>
      </c>
      <c r="M19" s="50">
        <v>2327328</v>
      </c>
      <c r="N19" s="50">
        <v>-339369</v>
      </c>
      <c r="O19" s="50">
        <v>-1814256</v>
      </c>
      <c r="P19" s="50">
        <v>1919107</v>
      </c>
    </row>
    <row r="20" spans="1:16">
      <c r="B20" t="s">
        <v>269</v>
      </c>
      <c r="D20" s="50">
        <v>-486558</v>
      </c>
      <c r="E20" s="50">
        <v>-27471</v>
      </c>
      <c r="F20" s="50">
        <v>294254</v>
      </c>
      <c r="G20" s="50">
        <v>328652</v>
      </c>
      <c r="H20" s="50">
        <v>1261969</v>
      </c>
      <c r="I20" s="50">
        <v>3988789</v>
      </c>
      <c r="J20" s="50">
        <v>338264</v>
      </c>
      <c r="K20" s="50">
        <v>1094999</v>
      </c>
      <c r="L20" s="50">
        <v>-2742861</v>
      </c>
      <c r="M20" s="50">
        <v>-1221586</v>
      </c>
      <c r="N20" s="50">
        <v>-2947312</v>
      </c>
      <c r="O20" s="50">
        <v>36441</v>
      </c>
      <c r="P20" s="50">
        <v>-82420</v>
      </c>
    </row>
    <row r="21" spans="1:16">
      <c r="B21" t="s">
        <v>87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</row>
    <row r="22" spans="1:16">
      <c r="A22" t="s">
        <v>90</v>
      </c>
      <c r="D22" s="51">
        <v>-20235457</v>
      </c>
      <c r="E22" s="51">
        <v>-29720492</v>
      </c>
      <c r="F22" s="51">
        <v>8620422</v>
      </c>
      <c r="G22" s="51">
        <v>-21220402</v>
      </c>
      <c r="H22" s="51">
        <v>5955286</v>
      </c>
      <c r="I22" s="51">
        <v>47415622</v>
      </c>
      <c r="J22" s="51">
        <v>-14443348</v>
      </c>
      <c r="K22" s="51">
        <v>3871580</v>
      </c>
      <c r="L22" s="51">
        <v>-38922249</v>
      </c>
      <c r="M22" s="51">
        <v>24745610</v>
      </c>
      <c r="N22" s="51">
        <v>22760371</v>
      </c>
      <c r="O22" s="51">
        <v>48119960</v>
      </c>
      <c r="P22" s="51">
        <v>36946903</v>
      </c>
    </row>
    <row r="24" spans="1:16">
      <c r="A24" t="s">
        <v>91</v>
      </c>
    </row>
    <row r="25" spans="1:16">
      <c r="B25" t="s">
        <v>85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86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91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92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268</v>
      </c>
      <c r="D30" s="50">
        <v>-409662</v>
      </c>
      <c r="E30" s="50">
        <v>0</v>
      </c>
      <c r="F30" s="50">
        <v>647398</v>
      </c>
      <c r="G30" s="50">
        <v>5960523</v>
      </c>
      <c r="H30" s="50">
        <v>-6761048</v>
      </c>
      <c r="I30" s="50">
        <v>270619</v>
      </c>
      <c r="J30" s="50">
        <v>-117492</v>
      </c>
      <c r="K30" s="50">
        <v>0</v>
      </c>
      <c r="L30" s="50">
        <v>0</v>
      </c>
      <c r="M30" s="50">
        <v>-255888</v>
      </c>
      <c r="N30" s="50">
        <v>204162</v>
      </c>
      <c r="O30" s="50">
        <v>-122851</v>
      </c>
      <c r="P30" s="50">
        <v>-584239</v>
      </c>
    </row>
    <row r="32" spans="1:16">
      <c r="A32" t="s">
        <v>93</v>
      </c>
    </row>
    <row r="33" spans="1:16">
      <c r="B33" t="s">
        <v>267</v>
      </c>
      <c r="D33" s="50">
        <v>7493658</v>
      </c>
      <c r="E33" s="50">
        <v>19509772</v>
      </c>
      <c r="F33" s="50">
        <v>11259273</v>
      </c>
      <c r="G33" s="50">
        <v>20261319</v>
      </c>
      <c r="H33" s="50">
        <v>12470672</v>
      </c>
      <c r="I33" s="50">
        <v>-12886269</v>
      </c>
      <c r="J33" s="50">
        <v>11867820</v>
      </c>
      <c r="K33" s="50">
        <v>-9609386</v>
      </c>
      <c r="L33" s="50">
        <v>8630784</v>
      </c>
      <c r="M33" s="50">
        <v>1891413</v>
      </c>
      <c r="N33" s="50">
        <v>22644242</v>
      </c>
      <c r="O33" s="50">
        <v>-19874040</v>
      </c>
      <c r="P33" s="50">
        <v>73659258</v>
      </c>
    </row>
    <row r="34" spans="1:16">
      <c r="B34" t="s">
        <v>85</v>
      </c>
      <c r="D34" s="50">
        <v>773421</v>
      </c>
      <c r="E34" s="50">
        <v>2011636</v>
      </c>
      <c r="F34" s="50">
        <v>1164560</v>
      </c>
      <c r="G34" s="50">
        <v>1558673</v>
      </c>
      <c r="H34" s="50">
        <v>1369986</v>
      </c>
      <c r="I34" s="50">
        <v>-2017662</v>
      </c>
      <c r="J34" s="50">
        <v>1708541</v>
      </c>
      <c r="K34" s="50">
        <v>-1386802</v>
      </c>
      <c r="L34" s="50">
        <v>1237399</v>
      </c>
      <c r="M34" s="50">
        <v>205058</v>
      </c>
      <c r="N34" s="50">
        <v>1964258</v>
      </c>
      <c r="O34" s="50">
        <v>-2050090</v>
      </c>
      <c r="P34" s="50">
        <v>6538978</v>
      </c>
    </row>
    <row r="35" spans="1:16">
      <c r="B35" t="s">
        <v>86</v>
      </c>
      <c r="D35" s="50">
        <v>330596</v>
      </c>
      <c r="E35" s="50">
        <v>859369</v>
      </c>
      <c r="F35" s="50">
        <v>485505</v>
      </c>
      <c r="G35" s="50">
        <v>145546</v>
      </c>
      <c r="H35" s="50">
        <v>67587</v>
      </c>
      <c r="I35" s="50">
        <v>-1808649</v>
      </c>
      <c r="J35" s="50">
        <v>1378886</v>
      </c>
      <c r="K35" s="50">
        <v>-1106978</v>
      </c>
      <c r="L35" s="50">
        <v>998618</v>
      </c>
      <c r="M35" s="50">
        <v>10259</v>
      </c>
      <c r="N35" s="50">
        <v>142416</v>
      </c>
      <c r="O35" s="50">
        <v>-841848</v>
      </c>
      <c r="P35" s="50">
        <v>661307</v>
      </c>
    </row>
    <row r="36" spans="1:16">
      <c r="B36" t="s">
        <v>268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</row>
    <row r="37" spans="1:16">
      <c r="B37" t="s">
        <v>269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</row>
    <row r="38" spans="1:16">
      <c r="B38" t="s">
        <v>87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</row>
    <row r="39" spans="1:16">
      <c r="A39" t="s">
        <v>94</v>
      </c>
      <c r="D39" s="51">
        <v>8597675</v>
      </c>
      <c r="E39" s="51">
        <v>22380777</v>
      </c>
      <c r="F39" s="51">
        <v>12909338</v>
      </c>
      <c r="G39" s="51">
        <v>21965538</v>
      </c>
      <c r="H39" s="51">
        <v>13908245</v>
      </c>
      <c r="I39" s="51">
        <v>-16712580</v>
      </c>
      <c r="J39" s="51">
        <v>14955247</v>
      </c>
      <c r="K39" s="51">
        <v>-12103166</v>
      </c>
      <c r="L39" s="51">
        <v>10866801</v>
      </c>
      <c r="M39" s="51">
        <v>2106730</v>
      </c>
      <c r="N39" s="51">
        <v>24750916</v>
      </c>
      <c r="O39" s="51">
        <v>-22765978</v>
      </c>
      <c r="P39" s="51">
        <v>80859543</v>
      </c>
    </row>
    <row r="41" spans="1:16">
      <c r="A41" t="s">
        <v>95</v>
      </c>
    </row>
    <row r="42" spans="1:16">
      <c r="B42" t="s">
        <v>267</v>
      </c>
      <c r="D42" s="50">
        <v>282718944</v>
      </c>
      <c r="E42" s="50">
        <v>229028914</v>
      </c>
      <c r="F42" s="50">
        <v>209765396</v>
      </c>
      <c r="G42" s="50">
        <v>176926076</v>
      </c>
      <c r="H42" s="50">
        <v>154900987</v>
      </c>
      <c r="I42" s="50">
        <v>143616705.59999999</v>
      </c>
      <c r="J42" s="50">
        <v>190502271</v>
      </c>
      <c r="K42" s="50">
        <v>171958392</v>
      </c>
      <c r="L42" s="50">
        <v>162813881</v>
      </c>
      <c r="M42" s="50">
        <v>159069574</v>
      </c>
      <c r="N42" s="50">
        <v>215944062</v>
      </c>
      <c r="O42" s="50">
        <v>264640786</v>
      </c>
      <c r="P42" s="50">
        <v>2361885988.5999999</v>
      </c>
    </row>
    <row r="43" spans="1:16">
      <c r="B43" t="s">
        <v>85</v>
      </c>
      <c r="D43" s="50">
        <v>60253425</v>
      </c>
      <c r="E43" s="50">
        <v>55090498</v>
      </c>
      <c r="F43" s="50">
        <v>54601290</v>
      </c>
      <c r="G43" s="50">
        <v>44854856</v>
      </c>
      <c r="H43" s="50">
        <v>48543965</v>
      </c>
      <c r="I43" s="50">
        <v>45502237</v>
      </c>
      <c r="J43" s="50">
        <v>54360652</v>
      </c>
      <c r="K43" s="50">
        <v>51153519</v>
      </c>
      <c r="L43" s="50">
        <v>47909229</v>
      </c>
      <c r="M43" s="50">
        <v>49932073</v>
      </c>
      <c r="N43" s="50">
        <v>51362991</v>
      </c>
      <c r="O43" s="50">
        <v>59679148</v>
      </c>
      <c r="P43" s="50">
        <v>623243883</v>
      </c>
    </row>
    <row r="44" spans="1:16">
      <c r="B44" t="s">
        <v>86</v>
      </c>
      <c r="D44" s="50">
        <v>115323693</v>
      </c>
      <c r="E44" s="50">
        <v>108735332</v>
      </c>
      <c r="F44" s="50">
        <v>113799568</v>
      </c>
      <c r="G44" s="50">
        <v>112994113</v>
      </c>
      <c r="H44" s="50">
        <v>119459135</v>
      </c>
      <c r="I44" s="50">
        <v>118535266</v>
      </c>
      <c r="J44" s="50">
        <v>128368638</v>
      </c>
      <c r="K44" s="50">
        <v>115766147</v>
      </c>
      <c r="L44" s="50">
        <v>113878350</v>
      </c>
      <c r="M44" s="50">
        <v>122062202</v>
      </c>
      <c r="N44" s="50">
        <v>110536424</v>
      </c>
      <c r="O44" s="50">
        <v>130000333</v>
      </c>
      <c r="P44" s="50">
        <v>1409459201</v>
      </c>
    </row>
    <row r="45" spans="1:16">
      <c r="B45" t="s">
        <v>268</v>
      </c>
      <c r="D45" s="50">
        <v>92220007</v>
      </c>
      <c r="E45" s="50">
        <v>87795413</v>
      </c>
      <c r="F45" s="50">
        <v>93372318</v>
      </c>
      <c r="G45" s="50">
        <v>88556850</v>
      </c>
      <c r="H45" s="50">
        <v>94520576</v>
      </c>
      <c r="I45" s="50">
        <v>93666942</v>
      </c>
      <c r="J45" s="50">
        <v>93962198</v>
      </c>
      <c r="K45" s="50">
        <v>98320357</v>
      </c>
      <c r="L45" s="50">
        <v>90443769</v>
      </c>
      <c r="M45" s="50">
        <v>93159241</v>
      </c>
      <c r="N45" s="50">
        <v>88316702</v>
      </c>
      <c r="O45" s="50">
        <v>93073785</v>
      </c>
      <c r="P45" s="50">
        <v>1107408158</v>
      </c>
    </row>
    <row r="46" spans="1:16">
      <c r="B46" t="s">
        <v>269</v>
      </c>
      <c r="D46" s="50">
        <v>3476010.5</v>
      </c>
      <c r="E46" s="50">
        <v>3807944</v>
      </c>
      <c r="F46" s="50">
        <v>4111658</v>
      </c>
      <c r="G46" s="50">
        <v>5997563</v>
      </c>
      <c r="H46" s="50">
        <v>13089206</v>
      </c>
      <c r="I46" s="50">
        <v>21462145.666670002</v>
      </c>
      <c r="J46" s="50">
        <v>21578457</v>
      </c>
      <c r="K46" s="50">
        <v>25468404</v>
      </c>
      <c r="L46" s="50">
        <v>18979117</v>
      </c>
      <c r="M46" s="50">
        <v>10878466</v>
      </c>
      <c r="N46" s="50">
        <v>806266</v>
      </c>
      <c r="O46" s="50">
        <v>3840073</v>
      </c>
      <c r="P46" s="50">
        <v>133495310.16666999</v>
      </c>
    </row>
    <row r="47" spans="1:16">
      <c r="B47" t="s">
        <v>87</v>
      </c>
      <c r="D47" s="50">
        <v>2124844.9717100002</v>
      </c>
      <c r="E47" s="50">
        <v>1905380.7574100001</v>
      </c>
      <c r="F47" s="50">
        <v>1884539.6084299998</v>
      </c>
      <c r="G47" s="50">
        <v>1916999.49967</v>
      </c>
      <c r="H47" s="50">
        <v>1959056.7826600003</v>
      </c>
      <c r="I47" s="50">
        <v>1909984.0465300002</v>
      </c>
      <c r="J47" s="50">
        <v>1897894.3302699998</v>
      </c>
      <c r="K47" s="50">
        <v>1950448.3249700002</v>
      </c>
      <c r="L47" s="50">
        <v>1909711.9522499999</v>
      </c>
      <c r="M47" s="50">
        <v>1857123.46842</v>
      </c>
      <c r="N47" s="50">
        <v>1889621.05859</v>
      </c>
      <c r="O47" s="50">
        <v>1915566.0024200003</v>
      </c>
      <c r="P47" s="50">
        <v>23121170.803329997</v>
      </c>
    </row>
    <row r="48" spans="1:16">
      <c r="A48" t="s">
        <v>96</v>
      </c>
      <c r="D48" s="51">
        <v>556116924.47170997</v>
      </c>
      <c r="E48" s="51">
        <v>486363481.75740999</v>
      </c>
      <c r="F48" s="51">
        <v>477534769.60843003</v>
      </c>
      <c r="G48" s="51">
        <v>431246457.49967003</v>
      </c>
      <c r="H48" s="51">
        <v>432472925.78266001</v>
      </c>
      <c r="I48" s="51">
        <v>424693280.31320006</v>
      </c>
      <c r="J48" s="51">
        <v>490670110.33026999</v>
      </c>
      <c r="K48" s="51">
        <v>464617267.32497001</v>
      </c>
      <c r="L48" s="51">
        <v>435934057.95225</v>
      </c>
      <c r="M48" s="51">
        <v>436958679.46842003</v>
      </c>
      <c r="N48" s="51">
        <v>468856066.05858999</v>
      </c>
      <c r="O48" s="51">
        <v>553149691.00241995</v>
      </c>
      <c r="P48" s="51">
        <v>5658613711.5700006</v>
      </c>
    </row>
    <row r="50" spans="2:16">
      <c r="B50" t="s">
        <v>97</v>
      </c>
      <c r="D50" s="50">
        <v>282718944</v>
      </c>
      <c r="E50" s="50">
        <v>229028914</v>
      </c>
      <c r="F50" s="50">
        <v>209765396</v>
      </c>
      <c r="G50" s="50">
        <v>176926076</v>
      </c>
      <c r="H50" s="50">
        <v>154900987</v>
      </c>
      <c r="I50" s="50">
        <v>143616705.59999999</v>
      </c>
      <c r="J50" s="50">
        <v>190502271</v>
      </c>
      <c r="K50" s="50">
        <v>171958392</v>
      </c>
      <c r="L50" s="50">
        <v>162813881</v>
      </c>
      <c r="M50" s="50">
        <v>159069574</v>
      </c>
      <c r="N50" s="50">
        <v>215944062</v>
      </c>
      <c r="O50" s="50">
        <v>264640786</v>
      </c>
      <c r="P50" s="50">
        <v>2361885988.5999999</v>
      </c>
    </row>
    <row r="51" spans="2:16">
      <c r="B51" t="s">
        <v>98</v>
      </c>
      <c r="D51" s="50">
        <v>208217</v>
      </c>
      <c r="E51" s="50">
        <v>210418</v>
      </c>
      <c r="F51" s="50">
        <v>209750</v>
      </c>
      <c r="G51" s="50">
        <v>209405</v>
      </c>
      <c r="H51" s="50">
        <v>209004</v>
      </c>
      <c r="I51" s="50">
        <v>208965</v>
      </c>
      <c r="J51" s="50">
        <v>209204</v>
      </c>
      <c r="K51" s="50">
        <v>209512</v>
      </c>
      <c r="L51" s="50">
        <v>210314</v>
      </c>
      <c r="M51" s="50">
        <v>210674</v>
      </c>
      <c r="N51" s="50">
        <v>211346</v>
      </c>
      <c r="O51" s="50">
        <v>211562</v>
      </c>
      <c r="P51" s="50">
        <v>2518371</v>
      </c>
    </row>
    <row r="52" spans="2:16">
      <c r="B52" t="s">
        <v>99</v>
      </c>
      <c r="D52" s="56">
        <v>1357.8091318192078</v>
      </c>
      <c r="E52" s="56">
        <v>1088.4473476603712</v>
      </c>
      <c r="F52" s="56">
        <v>1000.0734016686531</v>
      </c>
      <c r="G52" s="56">
        <v>844.89900432176887</v>
      </c>
      <c r="H52" s="56">
        <v>741.138863371036</v>
      </c>
      <c r="I52" s="56">
        <v>687.27636494149738</v>
      </c>
      <c r="J52" s="56">
        <v>910.60529913385972</v>
      </c>
      <c r="K52" s="56">
        <v>820.75676810874791</v>
      </c>
      <c r="L52" s="56">
        <v>774.14666165828237</v>
      </c>
      <c r="M52" s="56">
        <v>755.05080835793694</v>
      </c>
      <c r="N52" s="56">
        <v>1021.7560871745858</v>
      </c>
      <c r="O52" s="56">
        <v>1250.8899802421986</v>
      </c>
      <c r="P52" s="56">
        <v>937.86260586704657</v>
      </c>
    </row>
    <row r="53" spans="2:16">
      <c r="B53" t="s">
        <v>100</v>
      </c>
      <c r="D53" s="50">
        <v>179053128.5</v>
      </c>
      <c r="E53" s="50">
        <v>167633774</v>
      </c>
      <c r="F53" s="50">
        <v>172512516</v>
      </c>
      <c r="G53" s="50">
        <v>163846532</v>
      </c>
      <c r="H53" s="50">
        <v>181092306</v>
      </c>
      <c r="I53" s="50">
        <v>185499648.66666999</v>
      </c>
      <c r="J53" s="50">
        <v>204307747</v>
      </c>
      <c r="K53" s="50">
        <v>192388070</v>
      </c>
      <c r="L53" s="50">
        <v>180766696</v>
      </c>
      <c r="M53" s="50">
        <v>182872741</v>
      </c>
      <c r="N53" s="50">
        <v>162705681</v>
      </c>
      <c r="O53" s="50">
        <v>193519554</v>
      </c>
      <c r="P53" s="50">
        <v>2166198394.1666698</v>
      </c>
    </row>
    <row r="54" spans="2:16">
      <c r="B54" t="s">
        <v>101</v>
      </c>
      <c r="D54" s="50">
        <v>35331</v>
      </c>
      <c r="E54" s="50">
        <v>35572</v>
      </c>
      <c r="F54" s="50">
        <v>35571</v>
      </c>
      <c r="G54" s="50">
        <v>35497</v>
      </c>
      <c r="H54" s="50">
        <v>35658</v>
      </c>
      <c r="I54" s="50">
        <v>35582</v>
      </c>
      <c r="J54" s="50">
        <v>35519</v>
      </c>
      <c r="K54" s="50">
        <v>35694</v>
      </c>
      <c r="L54" s="50">
        <v>35669</v>
      </c>
      <c r="M54" s="50">
        <v>35828</v>
      </c>
      <c r="N54" s="50">
        <v>35762</v>
      </c>
      <c r="O54" s="50">
        <v>35782</v>
      </c>
      <c r="P54" s="50">
        <v>427465</v>
      </c>
    </row>
    <row r="55" spans="2:16">
      <c r="B55" t="s">
        <v>102</v>
      </c>
      <c r="D55" s="50">
        <v>5067.8760437009987</v>
      </c>
      <c r="E55" s="50">
        <v>4712.5203530866975</v>
      </c>
      <c r="F55" s="50">
        <v>4849.8078772033396</v>
      </c>
      <c r="G55" s="50">
        <v>4615.7853339718849</v>
      </c>
      <c r="H55" s="50">
        <v>5078.5884233552079</v>
      </c>
      <c r="I55" s="50">
        <v>5213.3002267064803</v>
      </c>
      <c r="J55" s="50">
        <v>5752.0692305526618</v>
      </c>
      <c r="K55" s="50">
        <v>5389.9274387852302</v>
      </c>
      <c r="L55" s="50">
        <v>5067.8935770557064</v>
      </c>
      <c r="M55" s="50">
        <v>5104.1850228871272</v>
      </c>
      <c r="N55" s="50">
        <v>4549.6806945920252</v>
      </c>
      <c r="O55" s="50">
        <v>5408.2933877368505</v>
      </c>
      <c r="P55" s="50">
        <v>5067.5456333657021</v>
      </c>
    </row>
    <row r="57" spans="2:16">
      <c r="B57" t="s">
        <v>103</v>
      </c>
      <c r="D57" s="57">
        <v>9.8277944531649883E-2</v>
      </c>
      <c r="E57" s="57">
        <v>8.5950995517322007E-2</v>
      </c>
      <c r="F57" s="57">
        <v>8.4390770239719456E-2</v>
      </c>
      <c r="G57" s="57">
        <v>7.6210619681974956E-2</v>
      </c>
      <c r="H57" s="57">
        <v>7.6427363277757482E-2</v>
      </c>
      <c r="I57" s="57">
        <v>7.505253087780886E-2</v>
      </c>
      <c r="J57" s="57">
        <v>8.6712070365752528E-2</v>
      </c>
      <c r="K57" s="57">
        <v>8.210796689920373E-2</v>
      </c>
      <c r="L57" s="57">
        <v>7.7039020539767272E-2</v>
      </c>
      <c r="M57" s="57">
        <v>7.722009342588336E-2</v>
      </c>
      <c r="N57" s="57">
        <v>8.2857054741152208E-2</v>
      </c>
      <c r="O57" s="57">
        <v>9.7753569902008175E-2</v>
      </c>
      <c r="P57" s="57">
        <v>1</v>
      </c>
    </row>
  </sheetData>
  <pageMargins left="0.7" right="0.7" top="0.75" bottom="0.75" header="0.3" footer="0.3"/>
  <pageSetup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39997558519241921"/>
    <pageSetUpPr fitToPage="1"/>
  </sheetPr>
  <dimension ref="A1:M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3.332031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213789</v>
      </c>
      <c r="D3" s="194"/>
      <c r="E3" s="182">
        <v>227037407.68599999</v>
      </c>
      <c r="F3" s="182">
        <v>-131744919</v>
      </c>
      <c r="G3" s="182">
        <v>120366856</v>
      </c>
      <c r="H3" s="189">
        <f>SUM(F3:G3)</f>
        <v>-11378063</v>
      </c>
      <c r="I3" s="159">
        <f>E3+H3</f>
        <v>215659344.68599999</v>
      </c>
    </row>
    <row r="4" spans="1:9">
      <c r="A4" s="180" t="s">
        <v>178</v>
      </c>
      <c r="B4" s="152"/>
      <c r="C4" s="158">
        <v>408</v>
      </c>
      <c r="D4" s="194"/>
      <c r="E4" s="182">
        <v>537918.89899999998</v>
      </c>
      <c r="F4" s="182">
        <v>-328050</v>
      </c>
      <c r="G4" s="182">
        <v>288189</v>
      </c>
      <c r="H4" s="189">
        <f t="shared" ref="H4:H16" si="0">SUM(F4:G4)</f>
        <v>-39861</v>
      </c>
      <c r="I4" s="159">
        <f t="shared" ref="I4:I16" si="1">E4+H4</f>
        <v>498057.89899999998</v>
      </c>
    </row>
    <row r="5" spans="1:9">
      <c r="A5" s="180" t="s">
        <v>132</v>
      </c>
      <c r="B5" s="152"/>
      <c r="C5" s="158">
        <v>22712</v>
      </c>
      <c r="D5" s="194"/>
      <c r="E5" s="182">
        <v>49814123.362000003</v>
      </c>
      <c r="F5" s="182">
        <v>-25948763</v>
      </c>
      <c r="G5" s="182">
        <v>26321244</v>
      </c>
      <c r="H5" s="189">
        <f t="shared" si="0"/>
        <v>372481</v>
      </c>
      <c r="I5" s="159">
        <f t="shared" si="1"/>
        <v>50186604.362000003</v>
      </c>
    </row>
    <row r="6" spans="1:9">
      <c r="A6" s="180" t="s">
        <v>133</v>
      </c>
      <c r="B6" s="152"/>
      <c r="C6" s="158">
        <v>9369</v>
      </c>
      <c r="D6" s="194"/>
      <c r="E6" s="182">
        <v>6143985.8619999997</v>
      </c>
      <c r="F6" s="182">
        <v>-3411721</v>
      </c>
      <c r="G6" s="182">
        <v>3266140</v>
      </c>
      <c r="H6" s="189">
        <f t="shared" si="0"/>
        <v>-145581</v>
      </c>
      <c r="I6" s="159">
        <f t="shared" si="1"/>
        <v>5998404.8619999997</v>
      </c>
    </row>
    <row r="7" spans="1:9">
      <c r="A7" s="180" t="s">
        <v>134</v>
      </c>
      <c r="B7" s="152"/>
      <c r="C7" s="158">
        <v>1856</v>
      </c>
      <c r="D7" s="194"/>
      <c r="E7" s="182">
        <v>110329898.21799999</v>
      </c>
      <c r="F7" s="182">
        <v>-55178026</v>
      </c>
      <c r="G7" s="182">
        <v>58150096</v>
      </c>
      <c r="H7" s="189">
        <f t="shared" si="0"/>
        <v>2972070</v>
      </c>
      <c r="I7" s="159">
        <f t="shared" si="1"/>
        <v>113301968.21799999</v>
      </c>
    </row>
    <row r="8" spans="1:9">
      <c r="A8" s="180" t="s">
        <v>135</v>
      </c>
      <c r="B8" s="152"/>
      <c r="C8" s="158">
        <v>47</v>
      </c>
      <c r="D8" s="194"/>
      <c r="E8" s="182">
        <v>3069712</v>
      </c>
      <c r="F8" s="182">
        <v>-1673055</v>
      </c>
      <c r="G8" s="182">
        <v>1633070</v>
      </c>
      <c r="H8" s="189">
        <f t="shared" si="0"/>
        <v>-39985</v>
      </c>
      <c r="I8" s="159">
        <f t="shared" si="1"/>
        <v>3029727</v>
      </c>
    </row>
    <row r="9" spans="1:9">
      <c r="A9" s="180" t="s">
        <v>136</v>
      </c>
      <c r="B9" s="152"/>
      <c r="C9" s="158">
        <v>22</v>
      </c>
      <c r="D9" s="194"/>
      <c r="E9" s="182">
        <f>82389792.7-E10</f>
        <v>49663102.700000003</v>
      </c>
      <c r="F9" s="182">
        <v>-11830759</v>
      </c>
      <c r="G9" s="182">
        <v>16075679</v>
      </c>
      <c r="H9" s="189">
        <f t="shared" si="0"/>
        <v>4244920</v>
      </c>
      <c r="I9" s="159">
        <f t="shared" si="1"/>
        <v>53908022.700000003</v>
      </c>
    </row>
    <row r="10" spans="1:9">
      <c r="A10" s="180" t="s">
        <v>179</v>
      </c>
      <c r="B10" s="152"/>
      <c r="C10" s="158"/>
      <c r="D10" s="194"/>
      <c r="E10" s="182">
        <v>32726690</v>
      </c>
      <c r="F10" s="182">
        <v>0</v>
      </c>
      <c r="G10" s="182">
        <v>0</v>
      </c>
      <c r="H10" s="189">
        <f t="shared" si="0"/>
        <v>0</v>
      </c>
      <c r="I10" s="159">
        <f t="shared" si="1"/>
        <v>32726690</v>
      </c>
    </row>
    <row r="11" spans="1:9">
      <c r="A11" s="180" t="s">
        <v>180</v>
      </c>
      <c r="B11" s="152"/>
      <c r="C11" s="158">
        <v>49</v>
      </c>
      <c r="D11" s="194"/>
      <c r="E11" s="182">
        <v>8140</v>
      </c>
      <c r="F11" s="182">
        <v>0</v>
      </c>
      <c r="G11" s="182">
        <v>0</v>
      </c>
      <c r="H11" s="189">
        <f t="shared" si="0"/>
        <v>0</v>
      </c>
      <c r="I11" s="159">
        <f t="shared" si="1"/>
        <v>8140</v>
      </c>
    </row>
    <row r="12" spans="1:9">
      <c r="A12" s="180" t="s">
        <v>137</v>
      </c>
      <c r="B12" s="152"/>
      <c r="C12" s="158">
        <v>1200</v>
      </c>
      <c r="D12" s="194"/>
      <c r="E12" s="182">
        <v>4012886.1570000001</v>
      </c>
      <c r="F12" s="182">
        <v>-2033911</v>
      </c>
      <c r="G12" s="182">
        <v>1921259</v>
      </c>
      <c r="H12" s="189">
        <f t="shared" si="0"/>
        <v>-112652</v>
      </c>
      <c r="I12" s="159">
        <f t="shared" si="1"/>
        <v>3900234.1570000001</v>
      </c>
    </row>
    <row r="13" spans="1:9">
      <c r="A13" s="180" t="s">
        <v>138</v>
      </c>
      <c r="B13" s="152"/>
      <c r="C13" s="158">
        <v>1212</v>
      </c>
      <c r="D13" s="194"/>
      <c r="E13" s="182">
        <v>274299.12199999997</v>
      </c>
      <c r="F13" s="182">
        <v>-131220</v>
      </c>
      <c r="G13" s="182">
        <v>128084</v>
      </c>
      <c r="H13" s="189">
        <f t="shared" si="0"/>
        <v>-3136</v>
      </c>
      <c r="I13" s="159">
        <f t="shared" si="1"/>
        <v>271163.12199999997</v>
      </c>
    </row>
    <row r="14" spans="1:9">
      <c r="A14" s="180" t="s">
        <v>181</v>
      </c>
      <c r="B14" s="152"/>
      <c r="C14" s="158">
        <v>418</v>
      </c>
      <c r="D14" s="194"/>
      <c r="E14" s="182">
        <v>882378.83770000003</v>
      </c>
      <c r="F14" s="182"/>
      <c r="G14" s="182"/>
      <c r="H14" s="189"/>
      <c r="I14" s="159">
        <f t="shared" si="1"/>
        <v>882378.83770000003</v>
      </c>
    </row>
    <row r="15" spans="1:9">
      <c r="A15" s="180" t="s">
        <v>182</v>
      </c>
      <c r="B15" s="152"/>
      <c r="C15" s="158"/>
      <c r="D15" s="194"/>
      <c r="E15" s="182">
        <v>408057.92842000001</v>
      </c>
      <c r="F15" s="182"/>
      <c r="G15" s="182"/>
      <c r="H15" s="189">
        <f t="shared" si="0"/>
        <v>0</v>
      </c>
      <c r="I15" s="159">
        <f t="shared" si="1"/>
        <v>408057.92842000001</v>
      </c>
    </row>
    <row r="16" spans="1:9">
      <c r="A16" s="180" t="s">
        <v>183</v>
      </c>
      <c r="B16" s="152"/>
      <c r="C16" s="158"/>
      <c r="D16" s="195"/>
      <c r="E16" s="182">
        <v>214711.842</v>
      </c>
      <c r="F16" s="182"/>
      <c r="G16" s="182"/>
      <c r="H16" s="189">
        <f t="shared" si="0"/>
        <v>0</v>
      </c>
      <c r="I16" s="159">
        <f t="shared" si="1"/>
        <v>214711.842</v>
      </c>
    </row>
    <row r="17" spans="1:9">
      <c r="A17" s="152"/>
      <c r="B17" s="152"/>
      <c r="C17" s="160">
        <f>SUM(C3:C16)</f>
        <v>251082</v>
      </c>
      <c r="E17" s="160">
        <f>SUM(E3:E16)</f>
        <v>485123312.61411995</v>
      </c>
      <c r="F17" s="160">
        <f>SUM(F3:F16)</f>
        <v>-232280424</v>
      </c>
      <c r="G17" s="160">
        <f>SUM(G3:G16)</f>
        <v>228150617</v>
      </c>
      <c r="H17" s="160">
        <f>SUM(H3:H16)</f>
        <v>-4129807</v>
      </c>
      <c r="I17" s="160">
        <f>SUM(I3:I16)</f>
        <v>480993505.61411995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214197</v>
      </c>
      <c r="E19" s="162">
        <f>E3+E4</f>
        <v>227575326.58499998</v>
      </c>
      <c r="F19" s="162">
        <f>F3+F4</f>
        <v>-132072969</v>
      </c>
      <c r="G19" s="162">
        <f>G3+G4</f>
        <v>120655045</v>
      </c>
      <c r="H19" s="162">
        <f>H3+H4</f>
        <v>-11417924</v>
      </c>
      <c r="I19" s="161">
        <f>I3+I4</f>
        <v>216157402.58499998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36445</v>
      </c>
      <c r="E21" s="178">
        <f>SUM(E5:E8,E11:E13)</f>
        <v>173653044.72100002</v>
      </c>
      <c r="F21" s="178">
        <f>SUM(F5:F8,F11:F13)</f>
        <v>-88376696</v>
      </c>
      <c r="G21" s="178">
        <f>SUM(G5:G8,G11:G13)</f>
        <v>91419893</v>
      </c>
      <c r="H21" s="178">
        <f>SUM(H5:H8,H11:H13)</f>
        <v>3043197</v>
      </c>
      <c r="I21" s="177">
        <f>SUM(I5:I8,I11:I13)</f>
        <v>176696241.72100002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1849532</v>
      </c>
      <c r="D24" s="181">
        <v>20170613.800000001</v>
      </c>
      <c r="E24" s="183">
        <v>-13061982</v>
      </c>
      <c r="F24" s="183">
        <v>11801787</v>
      </c>
      <c r="G24" s="174">
        <f>SUM(D24:F24)</f>
        <v>18910418.800000001</v>
      </c>
      <c r="H24" s="174">
        <f>-J65</f>
        <v>86018.156279999996</v>
      </c>
      <c r="I24" s="174">
        <f>SUM(G24:H24)</f>
        <v>18996436.956280001</v>
      </c>
    </row>
    <row r="25" spans="1:9">
      <c r="A25" s="180" t="s">
        <v>178</v>
      </c>
      <c r="B25" s="152"/>
      <c r="C25" s="181">
        <v>3485</v>
      </c>
      <c r="D25" s="181">
        <v>47850.54</v>
      </c>
      <c r="E25" s="183">
        <v>-21672</v>
      </c>
      <c r="F25" s="183">
        <v>18728</v>
      </c>
      <c r="G25" s="174">
        <f t="shared" ref="G25:G33" si="2">SUM(D25:F25)</f>
        <v>44906.54</v>
      </c>
      <c r="H25" s="174">
        <f t="shared" ref="H25:H33" si="3">-J66</f>
        <v>-955.4681700000001</v>
      </c>
      <c r="I25" s="174">
        <f t="shared" ref="I25:I34" si="4">SUM(G25:H25)</f>
        <v>43951.071830000001</v>
      </c>
    </row>
    <row r="26" spans="1:9">
      <c r="A26" s="180" t="s">
        <v>132</v>
      </c>
      <c r="B26" s="152"/>
      <c r="C26" s="181">
        <v>416344.69</v>
      </c>
      <c r="D26" s="181">
        <v>5755107.5700000003</v>
      </c>
      <c r="E26" s="183">
        <v>-2984952</v>
      </c>
      <c r="F26" s="183">
        <v>3051861</v>
      </c>
      <c r="G26" s="174">
        <f t="shared" si="2"/>
        <v>5822016.5700000003</v>
      </c>
      <c r="H26" s="174">
        <f t="shared" si="3"/>
        <v>-2227.4363800000001</v>
      </c>
      <c r="I26" s="174">
        <f t="shared" si="4"/>
        <v>5819789.1336200004</v>
      </c>
    </row>
    <row r="27" spans="1:9">
      <c r="A27" s="180" t="s">
        <v>133</v>
      </c>
      <c r="B27" s="152"/>
      <c r="C27" s="181">
        <v>170435.28</v>
      </c>
      <c r="D27" s="181">
        <v>845192.84</v>
      </c>
      <c r="E27" s="183">
        <v>-471297</v>
      </c>
      <c r="F27" s="183">
        <v>453450</v>
      </c>
      <c r="G27" s="174">
        <f t="shared" si="2"/>
        <v>827345.84</v>
      </c>
      <c r="H27" s="174">
        <f t="shared" si="3"/>
        <v>752.65376999999989</v>
      </c>
      <c r="I27" s="174">
        <f t="shared" si="4"/>
        <v>828098.49376999994</v>
      </c>
    </row>
    <row r="28" spans="1:9">
      <c r="A28" s="180" t="s">
        <v>134</v>
      </c>
      <c r="B28" s="152"/>
      <c r="C28" s="181">
        <v>928302.67</v>
      </c>
      <c r="D28" s="181">
        <v>9892457.9299999997</v>
      </c>
      <c r="E28" s="183">
        <v>-4569940</v>
      </c>
      <c r="F28" s="183">
        <v>4802235</v>
      </c>
      <c r="G28" s="174">
        <f t="shared" si="2"/>
        <v>10124752.93</v>
      </c>
      <c r="H28" s="174">
        <f t="shared" si="3"/>
        <v>-13582.359899999999</v>
      </c>
      <c r="I28" s="174">
        <f t="shared" si="4"/>
        <v>10111170.5701</v>
      </c>
    </row>
    <row r="29" spans="1:9">
      <c r="A29" s="180" t="s">
        <v>135</v>
      </c>
      <c r="B29" s="152"/>
      <c r="C29" s="181">
        <v>23500</v>
      </c>
      <c r="D29" s="181">
        <v>270467.44</v>
      </c>
      <c r="E29" s="183">
        <v>-136786</v>
      </c>
      <c r="F29" s="183">
        <v>133641</v>
      </c>
      <c r="G29" s="174">
        <f t="shared" si="2"/>
        <v>267322.44</v>
      </c>
      <c r="H29" s="174">
        <f t="shared" si="3"/>
        <v>150.34360000000001</v>
      </c>
      <c r="I29" s="174">
        <f t="shared" si="4"/>
        <v>267472.78360000002</v>
      </c>
    </row>
    <row r="30" spans="1:9">
      <c r="A30" s="180" t="s">
        <v>136</v>
      </c>
      <c r="B30" s="152"/>
      <c r="C30" s="181">
        <v>462000</v>
      </c>
      <c r="D30" s="181">
        <f>4933545.65-84498.8</f>
        <v>4849046.8500000006</v>
      </c>
      <c r="E30" s="183">
        <v>-820909</v>
      </c>
      <c r="F30" s="183">
        <v>1009705</v>
      </c>
      <c r="G30" s="174">
        <f t="shared" si="2"/>
        <v>5037842.8500000006</v>
      </c>
      <c r="H30" s="174">
        <f t="shared" si="3"/>
        <v>-10357.604800000001</v>
      </c>
      <c r="I30" s="174">
        <f t="shared" si="4"/>
        <v>5027485.2452000007</v>
      </c>
    </row>
    <row r="31" spans="1:9">
      <c r="A31" s="180" t="s">
        <v>180</v>
      </c>
      <c r="B31" s="152"/>
      <c r="C31" s="181">
        <v>882</v>
      </c>
      <c r="D31" s="181">
        <v>1439.04</v>
      </c>
      <c r="E31" s="183">
        <v>0</v>
      </c>
      <c r="F31" s="183">
        <v>0</v>
      </c>
      <c r="G31" s="174">
        <f t="shared" si="2"/>
        <v>1439.04</v>
      </c>
      <c r="H31" s="174">
        <f t="shared" si="3"/>
        <v>0</v>
      </c>
      <c r="I31" s="174">
        <f t="shared" si="4"/>
        <v>1439.04</v>
      </c>
    </row>
    <row r="32" spans="1:9">
      <c r="A32" s="180" t="s">
        <v>137</v>
      </c>
      <c r="B32" s="152"/>
      <c r="C32" s="181">
        <v>21690</v>
      </c>
      <c r="D32" s="181">
        <v>352055.59</v>
      </c>
      <c r="E32" s="183">
        <v>-127197</v>
      </c>
      <c r="F32" s="183">
        <v>123720</v>
      </c>
      <c r="G32" s="174">
        <f t="shared" si="2"/>
        <v>348578.59</v>
      </c>
      <c r="H32" s="174">
        <f t="shared" si="3"/>
        <v>315.42559999999997</v>
      </c>
      <c r="I32" s="174">
        <f t="shared" si="4"/>
        <v>348894.01560000004</v>
      </c>
    </row>
    <row r="33" spans="1:11">
      <c r="A33" s="180" t="s">
        <v>138</v>
      </c>
      <c r="B33" s="152"/>
      <c r="C33" s="181">
        <v>21960</v>
      </c>
      <c r="D33" s="181">
        <v>45395.66</v>
      </c>
      <c r="E33" s="183">
        <v>-21018</v>
      </c>
      <c r="F33" s="183">
        <v>21063</v>
      </c>
      <c r="G33" s="174">
        <f t="shared" si="2"/>
        <v>45440.66</v>
      </c>
      <c r="H33" s="174">
        <f t="shared" si="3"/>
        <v>161.98752000000002</v>
      </c>
      <c r="I33" s="174">
        <f t="shared" si="4"/>
        <v>45602.647520000006</v>
      </c>
    </row>
    <row r="34" spans="1:11">
      <c r="A34" s="180" t="s">
        <v>192</v>
      </c>
      <c r="B34" s="152"/>
      <c r="C34" s="174"/>
      <c r="D34" s="181">
        <v>541798.31999999995</v>
      </c>
      <c r="E34" s="181"/>
      <c r="F34" s="181"/>
      <c r="G34" s="174">
        <f>SUM(D34:F34)</f>
        <v>541798.31999999995</v>
      </c>
      <c r="H34" s="174"/>
      <c r="I34" s="174">
        <f t="shared" si="4"/>
        <v>541798.31999999995</v>
      </c>
    </row>
    <row r="35" spans="1:11">
      <c r="A35" s="180" t="s">
        <v>193</v>
      </c>
      <c r="B35" s="152"/>
      <c r="C35" s="194"/>
      <c r="D35" s="181">
        <v>2769628.1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1695880.71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3898131.6399999997</v>
      </c>
      <c r="D37" s="166">
        <f t="shared" si="5"/>
        <v>47236934.390000001</v>
      </c>
      <c r="E37" s="166">
        <f t="shared" si="5"/>
        <v>-22215753</v>
      </c>
      <c r="F37" s="166">
        <f t="shared" si="5"/>
        <v>21416190</v>
      </c>
      <c r="G37" s="166">
        <f t="shared" si="5"/>
        <v>41971862.579999998</v>
      </c>
      <c r="H37" s="166">
        <f t="shared" si="5"/>
        <v>60275.697519999994</v>
      </c>
      <c r="I37" s="166">
        <f t="shared" si="5"/>
        <v>42032138.277520008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6">C24+C25</f>
        <v>1853017</v>
      </c>
      <c r="D39" s="168">
        <f t="shared" si="6"/>
        <v>20218464.34</v>
      </c>
      <c r="E39" s="168">
        <f t="shared" si="6"/>
        <v>-13083654</v>
      </c>
      <c r="F39" s="168">
        <f t="shared" si="6"/>
        <v>11820515</v>
      </c>
      <c r="G39" s="168">
        <f t="shared" si="6"/>
        <v>18955325.34</v>
      </c>
      <c r="H39" s="168">
        <f t="shared" si="6"/>
        <v>85062.688109999988</v>
      </c>
      <c r="I39" s="169">
        <f t="shared" si="6"/>
        <v>19040388.028110001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1583114.6400000001</v>
      </c>
      <c r="D41" s="176">
        <f t="shared" ref="D41:I41" si="7">SUM(D26:D29,D31:D33)</f>
        <v>17162116.07</v>
      </c>
      <c r="E41" s="176">
        <f t="shared" si="7"/>
        <v>-8311190</v>
      </c>
      <c r="F41" s="176">
        <f t="shared" si="7"/>
        <v>8585970</v>
      </c>
      <c r="G41" s="176">
        <f t="shared" si="7"/>
        <v>17436896.07</v>
      </c>
      <c r="H41" s="176">
        <f t="shared" si="7"/>
        <v>-14429.385789999998</v>
      </c>
      <c r="I41" s="175">
        <f t="shared" si="7"/>
        <v>17422466.684209995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J49" s="208"/>
      <c r="K49" s="208"/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J50" s="171"/>
      <c r="K50" s="171"/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J51" s="171"/>
      <c r="K51" s="171"/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J52" s="171"/>
      <c r="K52" s="171"/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J53" s="171"/>
      <c r="K53" s="171"/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J54" s="171"/>
      <c r="K54" s="171"/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J55" s="171"/>
      <c r="K55" s="171"/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J56" s="171"/>
      <c r="K56" s="171"/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J57" s="171"/>
      <c r="K57" s="171"/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J58" s="171"/>
      <c r="K58" s="171"/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J59" s="171"/>
      <c r="K59" s="171"/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J60" s="171"/>
      <c r="K60" s="171"/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J61" s="171"/>
      <c r="K61" s="171"/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J62" s="171"/>
      <c r="K62" s="171"/>
    </row>
    <row r="63" spans="1:13">
      <c r="E63" s="152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8"/>
    </row>
    <row r="65" spans="1:13">
      <c r="A65" s="180" t="s">
        <v>131</v>
      </c>
      <c r="C65" s="168">
        <f>C50*H3</f>
        <v>9216.231029999999</v>
      </c>
      <c r="D65" s="168">
        <f>D50*H3</f>
        <v>-50632.380349999999</v>
      </c>
      <c r="E65" s="168">
        <f t="shared" ref="E65:E70" si="8">$H3*E50</f>
        <v>0</v>
      </c>
      <c r="F65" s="168">
        <f t="shared" ref="F65:G70" si="9">($H3*F50)</f>
        <v>-39140.536719999996</v>
      </c>
      <c r="G65" s="168">
        <f t="shared" si="9"/>
        <v>-11946.966149999998</v>
      </c>
      <c r="H65" s="168">
        <f t="shared" ref="H65:H70" si="10">$H3*H50</f>
        <v>0</v>
      </c>
      <c r="I65" s="168">
        <f t="shared" ref="I65:I70" si="11">(I50*H3)</f>
        <v>6485.4959099999996</v>
      </c>
      <c r="J65" s="168">
        <f>SUM(C65:I65)</f>
        <v>-86018.156279999996</v>
      </c>
      <c r="M65" s="168"/>
    </row>
    <row r="66" spans="1:13">
      <c r="A66" s="180" t="s">
        <v>178</v>
      </c>
      <c r="C66" s="168">
        <f t="shared" ref="C66:C75" si="12">C51*H4</f>
        <v>32.287410000000001</v>
      </c>
      <c r="D66" s="168">
        <f t="shared" ref="D66:D75" si="13">D51*H4</f>
        <v>-177.38145</v>
      </c>
      <c r="E66" s="168">
        <f t="shared" si="8"/>
        <v>1256.8173300000001</v>
      </c>
      <c r="F66" s="168">
        <f t="shared" si="9"/>
        <v>-137.12183999999999</v>
      </c>
      <c r="G66" s="168">
        <f t="shared" si="9"/>
        <v>-41.854050000000001</v>
      </c>
      <c r="H66" s="168">
        <f t="shared" si="10"/>
        <v>0</v>
      </c>
      <c r="I66" s="168">
        <f t="shared" si="11"/>
        <v>22.720769999999998</v>
      </c>
      <c r="J66" s="168">
        <f t="shared" ref="J66:J75" si="14">SUM(C66:I66)</f>
        <v>955.4681700000001</v>
      </c>
      <c r="M66" s="168"/>
    </row>
    <row r="67" spans="1:13">
      <c r="A67" s="180" t="s">
        <v>132</v>
      </c>
      <c r="C67" s="168">
        <f t="shared" si="12"/>
        <v>0</v>
      </c>
      <c r="D67" s="168">
        <f t="shared" si="13"/>
        <v>148.9924</v>
      </c>
      <c r="E67" s="168">
        <f t="shared" si="8"/>
        <v>0</v>
      </c>
      <c r="F67" s="168">
        <f t="shared" si="9"/>
        <v>1724.5870299999999</v>
      </c>
      <c r="G67" s="168">
        <f t="shared" si="9"/>
        <v>566.17112000000009</v>
      </c>
      <c r="H67" s="168">
        <f t="shared" si="10"/>
        <v>0</v>
      </c>
      <c r="I67" s="168">
        <f t="shared" si="11"/>
        <v>-212.31416999999999</v>
      </c>
      <c r="J67" s="168">
        <f t="shared" si="14"/>
        <v>2227.4363800000001</v>
      </c>
      <c r="M67" s="168"/>
    </row>
    <row r="68" spans="1:13">
      <c r="A68" s="180" t="s">
        <v>133</v>
      </c>
      <c r="C68" s="168">
        <f t="shared" si="12"/>
        <v>117.92061</v>
      </c>
      <c r="D68" s="168">
        <f t="shared" si="13"/>
        <v>-58.232400000000005</v>
      </c>
      <c r="E68" s="168">
        <f t="shared" si="8"/>
        <v>0</v>
      </c>
      <c r="F68" s="168">
        <f t="shared" si="9"/>
        <v>-674.04002999999989</v>
      </c>
      <c r="G68" s="168">
        <f t="shared" si="9"/>
        <v>-221.28312000000003</v>
      </c>
      <c r="H68" s="168">
        <f t="shared" si="10"/>
        <v>0</v>
      </c>
      <c r="I68" s="168">
        <f t="shared" si="11"/>
        <v>82.981169999999992</v>
      </c>
      <c r="J68" s="168">
        <f t="shared" si="14"/>
        <v>-752.65376999999989</v>
      </c>
      <c r="M68" s="168"/>
    </row>
    <row r="69" spans="1:13">
      <c r="A69" s="180" t="s">
        <v>134</v>
      </c>
      <c r="C69" s="168">
        <f t="shared" si="12"/>
        <v>0</v>
      </c>
      <c r="D69" s="168">
        <f t="shared" si="13"/>
        <v>1188.828</v>
      </c>
      <c r="E69" s="168">
        <f t="shared" si="8"/>
        <v>0</v>
      </c>
      <c r="F69" s="168">
        <f t="shared" si="9"/>
        <v>10877.7762</v>
      </c>
      <c r="G69" s="168">
        <f t="shared" si="9"/>
        <v>3269.277</v>
      </c>
      <c r="H69" s="168">
        <f t="shared" si="10"/>
        <v>0</v>
      </c>
      <c r="I69" s="168">
        <f t="shared" si="11"/>
        <v>-1753.5213000000001</v>
      </c>
      <c r="J69" s="168">
        <f t="shared" si="14"/>
        <v>13582.359899999999</v>
      </c>
      <c r="M69" s="168"/>
    </row>
    <row r="70" spans="1:13">
      <c r="A70" s="180" t="s">
        <v>135</v>
      </c>
      <c r="C70" s="168">
        <f t="shared" si="12"/>
        <v>32.38785</v>
      </c>
      <c r="D70" s="168">
        <f t="shared" si="13"/>
        <v>-15.994000000000002</v>
      </c>
      <c r="E70" s="168">
        <f t="shared" si="8"/>
        <v>0</v>
      </c>
      <c r="F70" s="168">
        <f t="shared" si="9"/>
        <v>-146.3451</v>
      </c>
      <c r="G70" s="168">
        <f t="shared" si="9"/>
        <v>-43.983499999999999</v>
      </c>
      <c r="H70" s="168">
        <f t="shared" si="10"/>
        <v>0</v>
      </c>
      <c r="I70" s="168">
        <f t="shared" si="11"/>
        <v>23.591150000000003</v>
      </c>
      <c r="J70" s="168">
        <f>SUM(C70:I70)</f>
        <v>-150.34360000000001</v>
      </c>
      <c r="M70" s="168"/>
    </row>
    <row r="71" spans="1:13">
      <c r="A71" s="180" t="s">
        <v>136</v>
      </c>
      <c r="C71" s="168">
        <f t="shared" si="12"/>
        <v>0</v>
      </c>
      <c r="D71" s="168">
        <f t="shared" si="13"/>
        <v>0</v>
      </c>
      <c r="E71" s="168">
        <f>$H9*E56+$H10*E57</f>
        <v>0</v>
      </c>
      <c r="F71" s="168">
        <f>$H9*F56+$H10*F57</f>
        <v>9848.2144000000008</v>
      </c>
      <c r="G71" s="168">
        <f>($H9*G56)</f>
        <v>2928.9947999999999</v>
      </c>
      <c r="H71" s="168">
        <f>$H9*H56+$H10*H57</f>
        <v>0</v>
      </c>
      <c r="I71" s="168">
        <f>$H9*I56+$H10*I57</f>
        <v>-2419.6043999999997</v>
      </c>
      <c r="J71" s="168">
        <f t="shared" si="14"/>
        <v>10357.604800000001</v>
      </c>
      <c r="M71" s="168"/>
    </row>
    <row r="72" spans="1:13">
      <c r="A72" s="180" t="s">
        <v>180</v>
      </c>
      <c r="C72" s="168">
        <f t="shared" si="12"/>
        <v>0</v>
      </c>
      <c r="D72" s="168">
        <f t="shared" si="13"/>
        <v>0</v>
      </c>
      <c r="E72" s="168">
        <f>$H11*E58</f>
        <v>0</v>
      </c>
      <c r="F72" s="168">
        <f>($H11*F57)</f>
        <v>0</v>
      </c>
      <c r="G72" s="168">
        <f>($H10*G57)</f>
        <v>0</v>
      </c>
      <c r="H72" s="168">
        <f t="shared" ref="H72:I74" si="15">$H11*H58</f>
        <v>0</v>
      </c>
      <c r="I72" s="168">
        <f t="shared" si="15"/>
        <v>0</v>
      </c>
      <c r="J72" s="168">
        <f t="shared" si="14"/>
        <v>0</v>
      </c>
      <c r="M72" s="168"/>
    </row>
    <row r="73" spans="1:13">
      <c r="A73" s="180" t="s">
        <v>137</v>
      </c>
      <c r="C73" s="168">
        <f t="shared" si="12"/>
        <v>0</v>
      </c>
      <c r="D73" s="168">
        <f t="shared" si="13"/>
        <v>0</v>
      </c>
      <c r="E73" s="168">
        <f>$H12*E59</f>
        <v>0</v>
      </c>
      <c r="F73" s="168">
        <f>($H12*F58)</f>
        <v>-384.14331999999996</v>
      </c>
      <c r="G73" s="168">
        <f>($H11*G58)</f>
        <v>0</v>
      </c>
      <c r="H73" s="168">
        <f t="shared" si="15"/>
        <v>0</v>
      </c>
      <c r="I73" s="168">
        <f t="shared" si="15"/>
        <v>68.71772</v>
      </c>
      <c r="J73" s="168">
        <f t="shared" si="14"/>
        <v>-315.42559999999997</v>
      </c>
      <c r="M73" s="168"/>
    </row>
    <row r="74" spans="1:13">
      <c r="A74" s="180" t="s">
        <v>138</v>
      </c>
      <c r="C74" s="168">
        <f t="shared" si="12"/>
        <v>0</v>
      </c>
      <c r="D74" s="168">
        <f t="shared" si="13"/>
        <v>-45.0608</v>
      </c>
      <c r="E74" s="168">
        <f>$H13*E60</f>
        <v>0</v>
      </c>
      <c r="F74" s="168">
        <f>($H13*F59)</f>
        <v>-10.693759999999999</v>
      </c>
      <c r="G74" s="168">
        <f>($H12*G59)</f>
        <v>-108.14592</v>
      </c>
      <c r="H74" s="168">
        <f t="shared" si="15"/>
        <v>0</v>
      </c>
      <c r="I74" s="168">
        <f t="shared" si="15"/>
        <v>1.91296</v>
      </c>
      <c r="J74" s="168">
        <f t="shared" si="14"/>
        <v>-161.98752000000002</v>
      </c>
      <c r="M74" s="168"/>
    </row>
    <row r="75" spans="1:13">
      <c r="A75" s="180" t="s">
        <v>192</v>
      </c>
      <c r="C75" s="168">
        <f t="shared" si="12"/>
        <v>2.5401599999999998</v>
      </c>
      <c r="D75" s="168">
        <f t="shared" si="13"/>
        <v>-1.2544</v>
      </c>
      <c r="E75" s="168">
        <f>($H14+$H15)*E61</f>
        <v>0</v>
      </c>
      <c r="F75" s="168">
        <f>($H14*F60)</f>
        <v>0</v>
      </c>
      <c r="G75" s="168">
        <f>($H13*G60)</f>
        <v>-3.0105599999999999</v>
      </c>
      <c r="H75" s="168">
        <f>($H14+$H15)*H61</f>
        <v>0</v>
      </c>
      <c r="I75" s="168">
        <f>($H14+$H15)*I61</f>
        <v>0</v>
      </c>
      <c r="J75" s="168">
        <f t="shared" si="14"/>
        <v>-1.7248000000000001</v>
      </c>
      <c r="M75" s="168"/>
    </row>
    <row r="76" spans="1:13">
      <c r="A76" s="157"/>
      <c r="C76" s="193">
        <f>SUM(C65:C75)</f>
        <v>9401.3670599999987</v>
      </c>
      <c r="D76" s="193">
        <f t="shared" ref="D76:I76" si="16">SUM(D65:D75)</f>
        <v>-49592.482999999993</v>
      </c>
      <c r="E76" s="193">
        <f t="shared" si="16"/>
        <v>1256.8173300000001</v>
      </c>
      <c r="F76" s="193">
        <f t="shared" si="16"/>
        <v>-18042.303139999985</v>
      </c>
      <c r="G76" s="193">
        <f t="shared" si="16"/>
        <v>-5600.8003799999969</v>
      </c>
      <c r="H76" s="193">
        <f t="shared" si="16"/>
        <v>0</v>
      </c>
      <c r="I76" s="193">
        <f t="shared" si="16"/>
        <v>2299.9798100000003</v>
      </c>
      <c r="J76" s="193">
        <f>SUM(J65:J75)</f>
        <v>-60277.422319999998</v>
      </c>
    </row>
    <row r="77" spans="1:13" ht="15.75" customHeight="1"/>
    <row r="78" spans="1:13">
      <c r="A78" s="152" t="s">
        <v>19</v>
      </c>
      <c r="B78" s="152"/>
      <c r="C78" s="168">
        <f>C65+C66</f>
        <v>9248.5184399999998</v>
      </c>
      <c r="D78" s="168">
        <f t="shared" ref="D78:I78" si="17">D65+D66</f>
        <v>-50809.7618</v>
      </c>
      <c r="E78" s="168">
        <f t="shared" si="17"/>
        <v>1256.8173300000001</v>
      </c>
      <c r="F78" s="168">
        <f t="shared" si="17"/>
        <v>-39277.658559999996</v>
      </c>
      <c r="G78" s="168">
        <f t="shared" si="17"/>
        <v>-11988.820199999998</v>
      </c>
      <c r="H78" s="168">
        <f t="shared" si="17"/>
        <v>0</v>
      </c>
      <c r="I78" s="168">
        <f t="shared" si="17"/>
        <v>6508.2166799999995</v>
      </c>
      <c r="J78" s="168">
        <f>J65+J66</f>
        <v>-85062.688109999988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>SUM(C67:C70,C72:C74)</f>
        <v>150.30846</v>
      </c>
      <c r="D80" s="176">
        <f t="shared" ref="D80:I80" si="18">SUM(D67:D70,D72:D74)</f>
        <v>1218.5332000000001</v>
      </c>
      <c r="E80" s="176">
        <f t="shared" si="18"/>
        <v>0</v>
      </c>
      <c r="F80" s="176">
        <f t="shared" si="18"/>
        <v>11387.141020000001</v>
      </c>
      <c r="G80" s="176">
        <f t="shared" si="18"/>
        <v>3462.0355800000002</v>
      </c>
      <c r="H80" s="176">
        <f t="shared" si="18"/>
        <v>0</v>
      </c>
      <c r="I80" s="176">
        <f t="shared" si="18"/>
        <v>-1788.63247</v>
      </c>
      <c r="J80" s="176">
        <f>SUM(J67:J70,J72:J74)</f>
        <v>14429.385789999998</v>
      </c>
    </row>
    <row r="81" spans="1:6" ht="15.75" customHeight="1"/>
    <row r="82" spans="1:6" ht="14.4">
      <c r="A82" s="151" t="s">
        <v>215</v>
      </c>
      <c r="B82" s="151"/>
      <c r="C82" s="151"/>
      <c r="D82" s="151"/>
      <c r="E82" s="151"/>
      <c r="F82" s="151"/>
    </row>
    <row r="83" spans="1:6" ht="14.4">
      <c r="A83" s="151" t="s">
        <v>223</v>
      </c>
      <c r="B83" s="151"/>
      <c r="C83" s="151"/>
      <c r="D83" s="151"/>
      <c r="E83" s="151"/>
      <c r="F83" s="151"/>
    </row>
    <row r="84" spans="1:6" ht="14.4">
      <c r="A84" s="170" t="s">
        <v>222</v>
      </c>
      <c r="B84" s="170"/>
      <c r="C84" s="170"/>
      <c r="D84" s="170"/>
      <c r="E84" s="170"/>
      <c r="F84" s="151"/>
    </row>
    <row r="85" spans="1:6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6" ht="14.4">
      <c r="A86" s="170" t="s">
        <v>227</v>
      </c>
      <c r="B86" s="198">
        <v>1</v>
      </c>
      <c r="C86" s="199">
        <v>895377</v>
      </c>
      <c r="D86" s="200">
        <f>75308.6-C86*SUM($C$56:$K$56)</f>
        <v>73123.880120000002</v>
      </c>
      <c r="E86" s="200">
        <v>500</v>
      </c>
      <c r="F86" s="201" t="s">
        <v>219</v>
      </c>
    </row>
    <row r="87" spans="1:6" ht="28.8">
      <c r="A87" s="202" t="s">
        <v>220</v>
      </c>
      <c r="B87" s="203">
        <f>SUM(B86:B86)</f>
        <v>1</v>
      </c>
      <c r="C87" s="204">
        <f>SUM(C86:C86)</f>
        <v>895377</v>
      </c>
      <c r="D87" s="205">
        <f>SUM(D86:D86)</f>
        <v>73123.880120000002</v>
      </c>
      <c r="E87" s="205">
        <f>SUM(E86:E86)</f>
        <v>500</v>
      </c>
      <c r="F87" s="151"/>
    </row>
    <row r="88" spans="1:6" ht="9" customHeight="1">
      <c r="A88" s="170"/>
      <c r="B88" s="170"/>
      <c r="C88" s="170"/>
      <c r="D88" s="170"/>
      <c r="E88" s="170"/>
      <c r="F88" s="151"/>
    </row>
    <row r="89" spans="1:6" ht="14.4">
      <c r="A89" s="206" t="s">
        <v>228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7" right="0.7" top="0.66" bottom="0.64" header="0.3" footer="0.3"/>
  <pageSetup scale="10" fitToHeight="2" orientation="landscape" r:id="rId1"/>
  <headerFooter>
    <oddFooter>&amp;L&amp;F / &amp;A&amp;RPage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  <pageSetUpPr fitToPage="1"/>
  </sheetPr>
  <dimension ref="A1:M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3.332031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214784</v>
      </c>
      <c r="D3" s="194"/>
      <c r="E3" s="182">
        <v>290082617.78600001</v>
      </c>
      <c r="F3" s="182">
        <v>-148528721</v>
      </c>
      <c r="G3" s="182">
        <v>131744919</v>
      </c>
      <c r="H3" s="189">
        <f>SUM(F3:G3)</f>
        <v>-16783802</v>
      </c>
      <c r="I3" s="159">
        <f>E3+H3</f>
        <v>273298815.78600001</v>
      </c>
    </row>
    <row r="4" spans="1:9">
      <c r="A4" s="180" t="s">
        <v>178</v>
      </c>
      <c r="B4" s="152"/>
      <c r="C4" s="158">
        <v>414</v>
      </c>
      <c r="D4" s="194"/>
      <c r="E4" s="182">
        <v>698936.27599999995</v>
      </c>
      <c r="F4" s="182">
        <v>-351593</v>
      </c>
      <c r="G4" s="182">
        <v>328050</v>
      </c>
      <c r="H4" s="189">
        <f t="shared" ref="H4:H16" si="0">SUM(F4:G4)</f>
        <v>-23543</v>
      </c>
      <c r="I4" s="159">
        <f t="shared" ref="I4:I16" si="1">E4+H4</f>
        <v>675393.27599999995</v>
      </c>
    </row>
    <row r="5" spans="1:9">
      <c r="A5" s="180" t="s">
        <v>132</v>
      </c>
      <c r="B5" s="152"/>
      <c r="C5" s="158">
        <v>22901</v>
      </c>
      <c r="D5" s="194"/>
      <c r="E5" s="182">
        <v>57439818.197999999</v>
      </c>
      <c r="F5" s="182">
        <v>-30705832</v>
      </c>
      <c r="G5" s="182">
        <v>25948763</v>
      </c>
      <c r="H5" s="189">
        <f t="shared" si="0"/>
        <v>-4757069</v>
      </c>
      <c r="I5" s="159">
        <f t="shared" si="1"/>
        <v>52682749.197999999</v>
      </c>
    </row>
    <row r="6" spans="1:9">
      <c r="A6" s="180" t="s">
        <v>133</v>
      </c>
      <c r="B6" s="152"/>
      <c r="C6" s="158">
        <v>9566</v>
      </c>
      <c r="D6" s="194"/>
      <c r="E6" s="182">
        <v>7528199.0209999997</v>
      </c>
      <c r="F6" s="182">
        <v>-3711265</v>
      </c>
      <c r="G6" s="182">
        <v>3411721</v>
      </c>
      <c r="H6" s="189">
        <f t="shared" si="0"/>
        <v>-299544</v>
      </c>
      <c r="I6" s="159">
        <f t="shared" si="1"/>
        <v>7228655.0209999997</v>
      </c>
    </row>
    <row r="7" spans="1:9">
      <c r="A7" s="180" t="s">
        <v>134</v>
      </c>
      <c r="B7" s="152"/>
      <c r="C7" s="158">
        <v>1866</v>
      </c>
      <c r="D7" s="194"/>
      <c r="E7" s="182">
        <v>122241827.957</v>
      </c>
      <c r="F7" s="182">
        <v>-72193864</v>
      </c>
      <c r="G7" s="182">
        <v>55178026</v>
      </c>
      <c r="H7" s="189">
        <f t="shared" si="0"/>
        <v>-17015838</v>
      </c>
      <c r="I7" s="159">
        <f t="shared" si="1"/>
        <v>105225989.957</v>
      </c>
    </row>
    <row r="8" spans="1:9">
      <c r="A8" s="180" t="s">
        <v>135</v>
      </c>
      <c r="B8" s="152"/>
      <c r="C8" s="158">
        <v>48</v>
      </c>
      <c r="D8" s="194"/>
      <c r="E8" s="182">
        <v>3695224.88</v>
      </c>
      <c r="F8" s="182">
        <v>-1992363</v>
      </c>
      <c r="G8" s="182">
        <v>1673055</v>
      </c>
      <c r="H8" s="189">
        <f t="shared" si="0"/>
        <v>-319308</v>
      </c>
      <c r="I8" s="159">
        <f t="shared" si="1"/>
        <v>3375916.88</v>
      </c>
    </row>
    <row r="9" spans="1:9">
      <c r="A9" s="180" t="s">
        <v>136</v>
      </c>
      <c r="B9" s="152"/>
      <c r="C9" s="158">
        <v>21</v>
      </c>
      <c r="D9" s="194"/>
      <c r="E9" s="182">
        <f>85895739.5-E10</f>
        <v>49782169.5</v>
      </c>
      <c r="F9" s="182">
        <v>-2136242</v>
      </c>
      <c r="G9" s="182">
        <v>11830759</v>
      </c>
      <c r="H9" s="189">
        <f t="shared" si="0"/>
        <v>9694517</v>
      </c>
      <c r="I9" s="159">
        <f t="shared" si="1"/>
        <v>59476686.5</v>
      </c>
    </row>
    <row r="10" spans="1:9">
      <c r="A10" s="180" t="s">
        <v>179</v>
      </c>
      <c r="B10" s="152"/>
      <c r="C10" s="158"/>
      <c r="D10" s="194"/>
      <c r="E10" s="182">
        <v>36113570</v>
      </c>
      <c r="F10" s="182">
        <v>0</v>
      </c>
      <c r="G10" s="182">
        <v>0</v>
      </c>
      <c r="H10" s="189">
        <f t="shared" si="0"/>
        <v>0</v>
      </c>
      <c r="I10" s="159">
        <f t="shared" si="1"/>
        <v>36113570</v>
      </c>
    </row>
    <row r="11" spans="1:9">
      <c r="A11" s="180" t="s">
        <v>180</v>
      </c>
      <c r="B11" s="152"/>
      <c r="C11" s="158">
        <v>49</v>
      </c>
      <c r="D11" s="194"/>
      <c r="E11" s="182">
        <v>8400</v>
      </c>
      <c r="F11" s="182">
        <v>0</v>
      </c>
      <c r="G11" s="182">
        <v>0</v>
      </c>
      <c r="H11" s="189">
        <f t="shared" si="0"/>
        <v>0</v>
      </c>
      <c r="I11" s="159">
        <f t="shared" si="1"/>
        <v>8400</v>
      </c>
    </row>
    <row r="12" spans="1:9">
      <c r="A12" s="180" t="s">
        <v>137</v>
      </c>
      <c r="B12" s="152"/>
      <c r="C12" s="158">
        <v>1245</v>
      </c>
      <c r="D12" s="194"/>
      <c r="E12" s="182">
        <v>4871955.8380000005</v>
      </c>
      <c r="F12" s="182">
        <v>-1679835</v>
      </c>
      <c r="G12" s="182">
        <v>2033911</v>
      </c>
      <c r="H12" s="189">
        <f t="shared" si="0"/>
        <v>354076</v>
      </c>
      <c r="I12" s="159">
        <f t="shared" si="1"/>
        <v>5226031.8380000005</v>
      </c>
    </row>
    <row r="13" spans="1:9">
      <c r="A13" s="180" t="s">
        <v>138</v>
      </c>
      <c r="B13" s="152"/>
      <c r="C13" s="158">
        <v>1193</v>
      </c>
      <c r="D13" s="194"/>
      <c r="E13" s="182">
        <v>319449.84000000003</v>
      </c>
      <c r="F13" s="182">
        <v>-156264</v>
      </c>
      <c r="G13" s="182">
        <v>131220</v>
      </c>
      <c r="H13" s="189">
        <f t="shared" si="0"/>
        <v>-25044</v>
      </c>
      <c r="I13" s="159">
        <f t="shared" si="1"/>
        <v>294405.84000000003</v>
      </c>
    </row>
    <row r="14" spans="1:9">
      <c r="A14" s="180" t="s">
        <v>181</v>
      </c>
      <c r="B14" s="152"/>
      <c r="C14" s="158">
        <v>427</v>
      </c>
      <c r="D14" s="194"/>
      <c r="E14" s="182">
        <v>997006</v>
      </c>
      <c r="F14" s="182"/>
      <c r="G14" s="182"/>
      <c r="H14" s="189"/>
      <c r="I14" s="159">
        <f t="shared" si="1"/>
        <v>997006</v>
      </c>
    </row>
    <row r="15" spans="1:9">
      <c r="A15" s="180" t="s">
        <v>182</v>
      </c>
      <c r="B15" s="152"/>
      <c r="C15" s="158"/>
      <c r="D15" s="194"/>
      <c r="E15" s="182">
        <v>441811.02402999997</v>
      </c>
      <c r="F15" s="182"/>
      <c r="G15" s="182"/>
      <c r="H15" s="189">
        <f t="shared" si="0"/>
        <v>0</v>
      </c>
      <c r="I15" s="159">
        <f t="shared" si="1"/>
        <v>441811.02402999997</v>
      </c>
    </row>
    <row r="16" spans="1:9">
      <c r="A16" s="180" t="s">
        <v>183</v>
      </c>
      <c r="B16" s="152"/>
      <c r="C16" s="158"/>
      <c r="D16" s="195"/>
      <c r="E16" s="182">
        <v>238692.97</v>
      </c>
      <c r="F16" s="182"/>
      <c r="G16" s="182"/>
      <c r="H16" s="189">
        <f t="shared" si="0"/>
        <v>0</v>
      </c>
      <c r="I16" s="159">
        <f t="shared" si="1"/>
        <v>238692.97</v>
      </c>
    </row>
    <row r="17" spans="1:9">
      <c r="A17" s="152"/>
      <c r="B17" s="152"/>
      <c r="C17" s="160">
        <f>SUM(C3:C16)</f>
        <v>252514</v>
      </c>
      <c r="E17" s="160">
        <f>SUM(E3:E16)</f>
        <v>574459679.29003012</v>
      </c>
      <c r="F17" s="160">
        <f>SUM(F3:F16)</f>
        <v>-261455979</v>
      </c>
      <c r="G17" s="160">
        <f>SUM(G3:G16)</f>
        <v>232280424</v>
      </c>
      <c r="H17" s="160">
        <f>SUM(H3:H16)</f>
        <v>-29175555</v>
      </c>
      <c r="I17" s="160">
        <f>SUM(I3:I16)</f>
        <v>545284124.29003012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215198</v>
      </c>
      <c r="E19" s="162">
        <f>E3+E4</f>
        <v>290781554.06200004</v>
      </c>
      <c r="F19" s="162">
        <f>F3+F4</f>
        <v>-148880314</v>
      </c>
      <c r="G19" s="162">
        <f>G3+G4</f>
        <v>132072969</v>
      </c>
      <c r="H19" s="162">
        <f>H3+H4</f>
        <v>-16807345</v>
      </c>
      <c r="I19" s="161">
        <f>I3+I4</f>
        <v>273974209.06200004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36868</v>
      </c>
      <c r="E21" s="178">
        <f>SUM(E5:E8,E11:E13)</f>
        <v>196104875.734</v>
      </c>
      <c r="F21" s="178">
        <f>SUM(F5:F8,F11:F13)</f>
        <v>-110439423</v>
      </c>
      <c r="G21" s="178">
        <f>SUM(G5:G8,G11:G13)</f>
        <v>88376696</v>
      </c>
      <c r="H21" s="178">
        <f>SUM(H5:H8,H11:H13)</f>
        <v>-22062727</v>
      </c>
      <c r="I21" s="177">
        <f>SUM(I5:I8,I11:I13)</f>
        <v>174042148.734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1860556.5</v>
      </c>
      <c r="D24" s="181">
        <v>25975343.259999998</v>
      </c>
      <c r="E24" s="183">
        <v>-14216193</v>
      </c>
      <c r="F24" s="183">
        <v>13061982</v>
      </c>
      <c r="G24" s="174">
        <f>SUM(D24:F24)</f>
        <v>24821132.259999998</v>
      </c>
      <c r="H24" s="174">
        <f>-J65</f>
        <v>126885.54312</v>
      </c>
      <c r="I24" s="174">
        <f>SUM(G24:H24)</f>
        <v>24948017.803119998</v>
      </c>
    </row>
    <row r="25" spans="1:9">
      <c r="A25" s="180" t="s">
        <v>178</v>
      </c>
      <c r="B25" s="152"/>
      <c r="C25" s="181">
        <v>3536</v>
      </c>
      <c r="D25" s="181">
        <v>62971.11</v>
      </c>
      <c r="E25" s="183">
        <v>-22157</v>
      </c>
      <c r="F25" s="183">
        <v>21672</v>
      </c>
      <c r="G25" s="174">
        <f t="shared" ref="G25:G33" si="2">SUM(D25:F25)</f>
        <v>62486.11</v>
      </c>
      <c r="H25" s="174">
        <f t="shared" ref="H25:H33" si="3">-J66</f>
        <v>-564.32571000000007</v>
      </c>
      <c r="I25" s="174">
        <f t="shared" ref="I25:I34" si="4">SUM(G25:H25)</f>
        <v>61921.784290000003</v>
      </c>
    </row>
    <row r="26" spans="1:9">
      <c r="A26" s="180" t="s">
        <v>132</v>
      </c>
      <c r="B26" s="152"/>
      <c r="C26" s="181">
        <v>420211.43</v>
      </c>
      <c r="D26" s="181">
        <v>6492525.4799999995</v>
      </c>
      <c r="E26" s="183">
        <v>-3556674</v>
      </c>
      <c r="F26" s="183">
        <v>2984952</v>
      </c>
      <c r="G26" s="174">
        <f t="shared" si="2"/>
        <v>5920803.4799999995</v>
      </c>
      <c r="H26" s="174">
        <f t="shared" si="3"/>
        <v>28447.27262</v>
      </c>
      <c r="I26" s="174">
        <f t="shared" si="4"/>
        <v>5949250.7526199995</v>
      </c>
    </row>
    <row r="27" spans="1:9">
      <c r="A27" s="180" t="s">
        <v>133</v>
      </c>
      <c r="B27" s="152"/>
      <c r="C27" s="181">
        <v>173685.17</v>
      </c>
      <c r="D27" s="181">
        <v>997016.43</v>
      </c>
      <c r="E27" s="183">
        <v>-511590</v>
      </c>
      <c r="F27" s="183">
        <v>471297</v>
      </c>
      <c r="G27" s="174">
        <f t="shared" si="2"/>
        <v>956723.43</v>
      </c>
      <c r="H27" s="174">
        <f t="shared" si="3"/>
        <v>1548.64248</v>
      </c>
      <c r="I27" s="174">
        <f t="shared" si="4"/>
        <v>958272.07248000009</v>
      </c>
    </row>
    <row r="28" spans="1:9">
      <c r="A28" s="180" t="s">
        <v>134</v>
      </c>
      <c r="B28" s="152"/>
      <c r="C28" s="181">
        <v>936002.69</v>
      </c>
      <c r="D28" s="181">
        <v>10736825.129999999</v>
      </c>
      <c r="E28" s="183">
        <v>-5870374</v>
      </c>
      <c r="F28" s="183">
        <v>4569940</v>
      </c>
      <c r="G28" s="174">
        <f t="shared" si="2"/>
        <v>9436391.129999999</v>
      </c>
      <c r="H28" s="174">
        <f t="shared" si="3"/>
        <v>77762.379660000006</v>
      </c>
      <c r="I28" s="174">
        <f t="shared" si="4"/>
        <v>9514153.5096599981</v>
      </c>
    </row>
    <row r="29" spans="1:9">
      <c r="A29" s="180" t="s">
        <v>135</v>
      </c>
      <c r="B29" s="152"/>
      <c r="C29" s="181">
        <v>23900</v>
      </c>
      <c r="D29" s="181">
        <v>317055.09000000003</v>
      </c>
      <c r="E29" s="183">
        <v>-161186</v>
      </c>
      <c r="F29" s="183">
        <v>136786</v>
      </c>
      <c r="G29" s="174">
        <f t="shared" si="2"/>
        <v>292655.09000000003</v>
      </c>
      <c r="H29" s="174">
        <f t="shared" si="3"/>
        <v>1200.5980800000002</v>
      </c>
      <c r="I29" s="174">
        <f t="shared" si="4"/>
        <v>293855.68808000005</v>
      </c>
    </row>
    <row r="30" spans="1:9">
      <c r="A30" s="180" t="s">
        <v>136</v>
      </c>
      <c r="B30" s="152"/>
      <c r="C30" s="181">
        <v>441000</v>
      </c>
      <c r="D30" s="181">
        <f>5030728.76-168856</f>
        <v>4861872.76</v>
      </c>
      <c r="E30" s="183">
        <v>-147054</v>
      </c>
      <c r="F30" s="183">
        <v>820909</v>
      </c>
      <c r="G30" s="174">
        <f t="shared" si="2"/>
        <v>5535727.7599999998</v>
      </c>
      <c r="H30" s="174">
        <f t="shared" si="3"/>
        <v>-23654.621479999998</v>
      </c>
      <c r="I30" s="174">
        <f t="shared" si="4"/>
        <v>5512073.1385199996</v>
      </c>
    </row>
    <row r="31" spans="1:9">
      <c r="A31" s="180" t="s">
        <v>180</v>
      </c>
      <c r="B31" s="152"/>
      <c r="C31" s="181">
        <v>882</v>
      </c>
      <c r="D31" s="181">
        <v>1455.1799999999998</v>
      </c>
      <c r="E31" s="183">
        <v>0</v>
      </c>
      <c r="F31" s="183">
        <v>0</v>
      </c>
      <c r="G31" s="174">
        <f t="shared" si="2"/>
        <v>1455.1799999999998</v>
      </c>
      <c r="H31" s="174">
        <f t="shared" si="3"/>
        <v>0</v>
      </c>
      <c r="I31" s="174">
        <f t="shared" si="4"/>
        <v>1455.1799999999998</v>
      </c>
    </row>
    <row r="32" spans="1:9">
      <c r="A32" s="180" t="s">
        <v>137</v>
      </c>
      <c r="B32" s="152"/>
      <c r="C32" s="181">
        <v>22500</v>
      </c>
      <c r="D32" s="181">
        <v>418285.85</v>
      </c>
      <c r="E32" s="183">
        <v>-151206</v>
      </c>
      <c r="F32" s="183">
        <v>127197</v>
      </c>
      <c r="G32" s="174">
        <f t="shared" si="2"/>
        <v>394276.85</v>
      </c>
      <c r="H32" s="174">
        <f t="shared" si="3"/>
        <v>-991.41279999999995</v>
      </c>
      <c r="I32" s="174">
        <f t="shared" si="4"/>
        <v>393285.43719999999</v>
      </c>
    </row>
    <row r="33" spans="1:11">
      <c r="A33" s="180" t="s">
        <v>138</v>
      </c>
      <c r="B33" s="152"/>
      <c r="C33" s="181">
        <v>21672</v>
      </c>
      <c r="D33" s="181">
        <v>48708.66</v>
      </c>
      <c r="E33" s="183">
        <v>-23653</v>
      </c>
      <c r="F33" s="183">
        <v>21018</v>
      </c>
      <c r="G33" s="174">
        <f t="shared" si="2"/>
        <v>46073.66</v>
      </c>
      <c r="H33" s="174">
        <f t="shared" si="3"/>
        <v>-411.42016000000001</v>
      </c>
      <c r="I33" s="174">
        <f t="shared" si="4"/>
        <v>45662.239840000002</v>
      </c>
    </row>
    <row r="34" spans="1:11">
      <c r="A34" s="180" t="s">
        <v>192</v>
      </c>
      <c r="B34" s="152"/>
      <c r="C34" s="174"/>
      <c r="D34" s="181">
        <v>549591.4</v>
      </c>
      <c r="E34" s="181"/>
      <c r="F34" s="181"/>
      <c r="G34" s="174">
        <f>SUM(D34:F34)</f>
        <v>549591.4</v>
      </c>
      <c r="H34" s="174"/>
      <c r="I34" s="174">
        <f t="shared" si="4"/>
        <v>549591.4</v>
      </c>
    </row>
    <row r="35" spans="1:11">
      <c r="A35" s="180" t="s">
        <v>193</v>
      </c>
      <c r="B35" s="152"/>
      <c r="C35" s="194"/>
      <c r="D35" s="181">
        <v>3362061.5600000005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1982919.83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3903945.79</v>
      </c>
      <c r="D37" s="166">
        <f t="shared" si="5"/>
        <v>55806631.739999995</v>
      </c>
      <c r="E37" s="166">
        <f t="shared" si="5"/>
        <v>-24660087</v>
      </c>
      <c r="F37" s="166">
        <f t="shared" si="5"/>
        <v>22215753</v>
      </c>
      <c r="G37" s="166">
        <f t="shared" si="5"/>
        <v>48017316.349999994</v>
      </c>
      <c r="H37" s="166">
        <f t="shared" si="5"/>
        <v>210222.65581</v>
      </c>
      <c r="I37" s="166">
        <f t="shared" si="5"/>
        <v>48227539.00581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>C24+C25</f>
        <v>1864092.5</v>
      </c>
      <c r="D39" s="168">
        <f t="shared" ref="D39:I39" si="6">D24+D25</f>
        <v>26038314.369999997</v>
      </c>
      <c r="E39" s="168">
        <f t="shared" si="6"/>
        <v>-14238350</v>
      </c>
      <c r="F39" s="168">
        <f t="shared" si="6"/>
        <v>13083654</v>
      </c>
      <c r="G39" s="168">
        <f t="shared" si="6"/>
        <v>24883618.369999997</v>
      </c>
      <c r="H39" s="168">
        <f t="shared" si="6"/>
        <v>126321.21741</v>
      </c>
      <c r="I39" s="169">
        <f t="shared" si="6"/>
        <v>25009939.587409999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1598853.29</v>
      </c>
      <c r="D41" s="176">
        <f t="shared" ref="D41:I41" si="7">SUM(D26:D29,D31:D33)</f>
        <v>19011871.82</v>
      </c>
      <c r="E41" s="176">
        <f t="shared" si="7"/>
        <v>-10274683</v>
      </c>
      <c r="F41" s="176">
        <f t="shared" si="7"/>
        <v>8311190</v>
      </c>
      <c r="G41" s="176">
        <f t="shared" si="7"/>
        <v>17048378.82</v>
      </c>
      <c r="H41" s="176">
        <f t="shared" si="7"/>
        <v>107556.05988</v>
      </c>
      <c r="I41" s="175">
        <f t="shared" si="7"/>
        <v>17155934.879879996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J49" s="207"/>
      <c r="K49" s="207"/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J50" s="171"/>
      <c r="K50" s="171"/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J51" s="171"/>
      <c r="K51" s="171"/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J52" s="171"/>
      <c r="K52" s="171"/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J53" s="171"/>
      <c r="K53" s="171"/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J54" s="171"/>
      <c r="K54" s="171"/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J55" s="171"/>
      <c r="K55" s="171"/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J56" s="171"/>
      <c r="K56" s="171"/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J57" s="171"/>
      <c r="K57" s="171"/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J58" s="171"/>
      <c r="K58" s="171"/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J59" s="171"/>
      <c r="K59" s="171"/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J60" s="171"/>
      <c r="K60" s="171"/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J61" s="171"/>
      <c r="K61" s="171"/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J62" s="171"/>
      <c r="K62" s="171"/>
    </row>
    <row r="63" spans="1:13">
      <c r="E63" s="152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7"/>
    </row>
    <row r="65" spans="1:13">
      <c r="A65" s="180" t="s">
        <v>131</v>
      </c>
      <c r="C65" s="168">
        <f>C50*H3</f>
        <v>13594.87962</v>
      </c>
      <c r="D65" s="168">
        <f>D50*H3</f>
        <v>-74687.918900000004</v>
      </c>
      <c r="E65" s="168">
        <f t="shared" ref="E65:E70" si="8">$H3*E50</f>
        <v>0</v>
      </c>
      <c r="F65" s="168">
        <f t="shared" ref="F65:G70" si="9">($H3*F50)</f>
        <v>-57736.278879999998</v>
      </c>
      <c r="G65" s="168">
        <f t="shared" si="9"/>
        <v>-17622.992099999999</v>
      </c>
      <c r="H65" s="168">
        <f t="shared" ref="H65:H70" si="10">$H3*H50</f>
        <v>0</v>
      </c>
      <c r="I65" s="168">
        <f t="shared" ref="I65:I70" si="11">(I50*H3)</f>
        <v>9566.7671399999999</v>
      </c>
      <c r="J65" s="168">
        <f>SUM(C65:I65)</f>
        <v>-126885.54312</v>
      </c>
      <c r="M65" s="168"/>
    </row>
    <row r="66" spans="1:13">
      <c r="A66" s="180" t="s">
        <v>178</v>
      </c>
      <c r="C66" s="168">
        <f t="shared" ref="C66:C75" si="12">C51*H4</f>
        <v>19.06983</v>
      </c>
      <c r="D66" s="168">
        <f t="shared" ref="D66:D75" si="13">D51*H4</f>
        <v>-104.76635</v>
      </c>
      <c r="E66" s="168">
        <f t="shared" si="8"/>
        <v>742.31079000000011</v>
      </c>
      <c r="F66" s="168">
        <f t="shared" si="9"/>
        <v>-80.987920000000003</v>
      </c>
      <c r="G66" s="168">
        <f t="shared" si="9"/>
        <v>-24.720149999999997</v>
      </c>
      <c r="H66" s="168">
        <f t="shared" si="10"/>
        <v>0</v>
      </c>
      <c r="I66" s="168">
        <f t="shared" si="11"/>
        <v>13.419509999999999</v>
      </c>
      <c r="J66" s="168">
        <f t="shared" ref="J66:J75" si="14">SUM(C66:I66)</f>
        <v>564.32571000000007</v>
      </c>
      <c r="M66" s="168"/>
    </row>
    <row r="67" spans="1:13">
      <c r="A67" s="180" t="s">
        <v>132</v>
      </c>
      <c r="C67" s="168">
        <f t="shared" si="12"/>
        <v>0</v>
      </c>
      <c r="D67" s="168">
        <f t="shared" si="13"/>
        <v>-1902.8276000000001</v>
      </c>
      <c r="E67" s="168">
        <f t="shared" si="8"/>
        <v>0</v>
      </c>
      <c r="F67" s="168">
        <f t="shared" si="9"/>
        <v>-22025.229469999998</v>
      </c>
      <c r="G67" s="168">
        <f t="shared" si="9"/>
        <v>-7230.7448800000002</v>
      </c>
      <c r="H67" s="168">
        <f t="shared" si="10"/>
        <v>0</v>
      </c>
      <c r="I67" s="168">
        <f t="shared" si="11"/>
        <v>2711.5293299999998</v>
      </c>
      <c r="J67" s="168">
        <f t="shared" si="14"/>
        <v>-28447.27262</v>
      </c>
      <c r="M67" s="168"/>
    </row>
    <row r="68" spans="1:13">
      <c r="A68" s="180" t="s">
        <v>133</v>
      </c>
      <c r="C68" s="168">
        <f t="shared" si="12"/>
        <v>242.63064</v>
      </c>
      <c r="D68" s="168">
        <f t="shared" si="13"/>
        <v>-119.8176</v>
      </c>
      <c r="E68" s="168">
        <f t="shared" si="8"/>
        <v>0</v>
      </c>
      <c r="F68" s="168">
        <f t="shared" si="9"/>
        <v>-1386.8887199999999</v>
      </c>
      <c r="G68" s="168">
        <f t="shared" si="9"/>
        <v>-455.30688000000004</v>
      </c>
      <c r="H68" s="168">
        <f t="shared" si="10"/>
        <v>0</v>
      </c>
      <c r="I68" s="168">
        <f t="shared" si="11"/>
        <v>170.74008000000001</v>
      </c>
      <c r="J68" s="168">
        <f t="shared" si="14"/>
        <v>-1548.64248</v>
      </c>
      <c r="M68" s="168"/>
    </row>
    <row r="69" spans="1:13">
      <c r="A69" s="180" t="s">
        <v>134</v>
      </c>
      <c r="C69" s="168">
        <f t="shared" si="12"/>
        <v>0</v>
      </c>
      <c r="D69" s="168">
        <f t="shared" si="13"/>
        <v>-6806.3352000000004</v>
      </c>
      <c r="E69" s="168">
        <f t="shared" si="8"/>
        <v>0</v>
      </c>
      <c r="F69" s="168">
        <f t="shared" si="9"/>
        <v>-62277.967080000002</v>
      </c>
      <c r="G69" s="168">
        <f t="shared" si="9"/>
        <v>-18717.4218</v>
      </c>
      <c r="H69" s="168">
        <f t="shared" si="10"/>
        <v>0</v>
      </c>
      <c r="I69" s="168">
        <f t="shared" si="11"/>
        <v>10039.344420000001</v>
      </c>
      <c r="J69" s="168">
        <f t="shared" si="14"/>
        <v>-77762.379660000006</v>
      </c>
      <c r="M69" s="168"/>
    </row>
    <row r="70" spans="1:13">
      <c r="A70" s="180" t="s">
        <v>135</v>
      </c>
      <c r="C70" s="168">
        <f t="shared" si="12"/>
        <v>258.63947999999999</v>
      </c>
      <c r="D70" s="168">
        <f t="shared" si="13"/>
        <v>-127.72320000000001</v>
      </c>
      <c r="E70" s="168">
        <f t="shared" si="8"/>
        <v>0</v>
      </c>
      <c r="F70" s="168">
        <f t="shared" si="9"/>
        <v>-1168.6672800000001</v>
      </c>
      <c r="G70" s="168">
        <f t="shared" si="9"/>
        <v>-351.23880000000003</v>
      </c>
      <c r="H70" s="168">
        <f t="shared" si="10"/>
        <v>0</v>
      </c>
      <c r="I70" s="168">
        <f t="shared" si="11"/>
        <v>188.39172000000002</v>
      </c>
      <c r="J70" s="168">
        <f>SUM(C70:I70)</f>
        <v>-1200.5980800000002</v>
      </c>
      <c r="M70" s="168"/>
    </row>
    <row r="71" spans="1:13">
      <c r="A71" s="180" t="s">
        <v>136</v>
      </c>
      <c r="C71" s="168">
        <f t="shared" si="12"/>
        <v>0</v>
      </c>
      <c r="D71" s="168">
        <f t="shared" si="13"/>
        <v>0</v>
      </c>
      <c r="E71" s="168">
        <f>$H9*E56+$H10*E57</f>
        <v>0</v>
      </c>
      <c r="F71" s="168">
        <f>$H9*F56+$H10*F57</f>
        <v>22491.279439999998</v>
      </c>
      <c r="G71" s="168">
        <f>($H9*G56)</f>
        <v>6689.2167300000001</v>
      </c>
      <c r="H71" s="168">
        <f>$H9*H56+$H10*H57</f>
        <v>0</v>
      </c>
      <c r="I71" s="168">
        <f>$H9*I56+$H10*I57</f>
        <v>-5525.8746899999996</v>
      </c>
      <c r="J71" s="168">
        <f t="shared" si="14"/>
        <v>23654.621479999998</v>
      </c>
      <c r="M71" s="168"/>
    </row>
    <row r="72" spans="1:13">
      <c r="A72" s="180" t="s">
        <v>180</v>
      </c>
      <c r="C72" s="168">
        <f t="shared" si="12"/>
        <v>0</v>
      </c>
      <c r="D72" s="168">
        <f t="shared" si="13"/>
        <v>0</v>
      </c>
      <c r="E72" s="168">
        <f>$H11*E58</f>
        <v>0</v>
      </c>
      <c r="F72" s="168">
        <f>($H11*F57)</f>
        <v>0</v>
      </c>
      <c r="G72" s="168">
        <f>($H10*G57)</f>
        <v>0</v>
      </c>
      <c r="H72" s="168">
        <f t="shared" ref="H72:I74" si="15">$H11*H58</f>
        <v>0</v>
      </c>
      <c r="I72" s="168">
        <f t="shared" si="15"/>
        <v>0</v>
      </c>
      <c r="J72" s="168">
        <f t="shared" si="14"/>
        <v>0</v>
      </c>
      <c r="M72" s="168"/>
    </row>
    <row r="73" spans="1:13">
      <c r="A73" s="180" t="s">
        <v>137</v>
      </c>
      <c r="C73" s="168">
        <f t="shared" si="12"/>
        <v>0</v>
      </c>
      <c r="D73" s="168">
        <f t="shared" si="13"/>
        <v>0</v>
      </c>
      <c r="E73" s="168">
        <f>$H12*E59</f>
        <v>0</v>
      </c>
      <c r="F73" s="168">
        <f>($H12*F58)</f>
        <v>1207.3991599999999</v>
      </c>
      <c r="G73" s="168">
        <f>($H11*G58)</f>
        <v>0</v>
      </c>
      <c r="H73" s="168">
        <f t="shared" si="15"/>
        <v>0</v>
      </c>
      <c r="I73" s="168">
        <f t="shared" si="15"/>
        <v>-215.98635999999999</v>
      </c>
      <c r="J73" s="168">
        <f t="shared" si="14"/>
        <v>991.41279999999995</v>
      </c>
      <c r="M73" s="168"/>
    </row>
    <row r="74" spans="1:13">
      <c r="A74" s="180" t="s">
        <v>138</v>
      </c>
      <c r="C74" s="168">
        <f t="shared" si="12"/>
        <v>0</v>
      </c>
      <c r="D74" s="168">
        <f t="shared" si="13"/>
        <v>141.63040000000001</v>
      </c>
      <c r="E74" s="168">
        <f>$H13*E60</f>
        <v>0</v>
      </c>
      <c r="F74" s="168">
        <f>($H13*F59)</f>
        <v>-85.40003999999999</v>
      </c>
      <c r="G74" s="168">
        <f>($H12*G59)</f>
        <v>339.91296</v>
      </c>
      <c r="H74" s="168">
        <f t="shared" si="15"/>
        <v>0</v>
      </c>
      <c r="I74" s="168">
        <f t="shared" si="15"/>
        <v>15.27684</v>
      </c>
      <c r="J74" s="168">
        <f t="shared" si="14"/>
        <v>411.42016000000001</v>
      </c>
      <c r="M74" s="168"/>
    </row>
    <row r="75" spans="1:13">
      <c r="A75" s="180" t="s">
        <v>192</v>
      </c>
      <c r="C75" s="168">
        <f t="shared" si="12"/>
        <v>20.285639999999997</v>
      </c>
      <c r="D75" s="168">
        <f t="shared" si="13"/>
        <v>-10.0176</v>
      </c>
      <c r="E75" s="168">
        <f>($H14+$H15)*E61</f>
        <v>0</v>
      </c>
      <c r="F75" s="168">
        <f>($H14*F60)</f>
        <v>0</v>
      </c>
      <c r="G75" s="168">
        <f>($H13*G60)</f>
        <v>-24.04224</v>
      </c>
      <c r="H75" s="168">
        <f>($H14+$H15)*H61</f>
        <v>0</v>
      </c>
      <c r="I75" s="168">
        <f>($H14+$H15)*I61</f>
        <v>0</v>
      </c>
      <c r="J75" s="168">
        <f t="shared" si="14"/>
        <v>-13.774200000000002</v>
      </c>
      <c r="M75" s="168"/>
    </row>
    <row r="76" spans="1:13">
      <c r="A76" s="157"/>
      <c r="C76" s="193">
        <f>SUM(C65:C75)</f>
        <v>14135.505209999999</v>
      </c>
      <c r="D76" s="193">
        <f t="shared" ref="D76:I76" si="16">SUM(D65:D75)</f>
        <v>-83617.776050000015</v>
      </c>
      <c r="E76" s="193">
        <f t="shared" si="16"/>
        <v>742.31079000000011</v>
      </c>
      <c r="F76" s="193">
        <f t="shared" si="16"/>
        <v>-121062.74079000001</v>
      </c>
      <c r="G76" s="193">
        <f t="shared" si="16"/>
        <v>-37397.337160000003</v>
      </c>
      <c r="H76" s="193">
        <f t="shared" si="16"/>
        <v>0</v>
      </c>
      <c r="I76" s="193">
        <f t="shared" si="16"/>
        <v>16963.607989999997</v>
      </c>
      <c r="J76" s="193">
        <f>SUM(J65:J75)</f>
        <v>-210236.43001000001</v>
      </c>
    </row>
    <row r="77" spans="1:13" ht="15.75" customHeight="1"/>
    <row r="78" spans="1:13">
      <c r="A78" s="152" t="s">
        <v>19</v>
      </c>
      <c r="B78" s="152"/>
      <c r="C78" s="168">
        <f>C65+C66</f>
        <v>13613.94945</v>
      </c>
      <c r="D78" s="168">
        <f t="shared" ref="D78:I78" si="17">D65+D66</f>
        <v>-74792.68525000001</v>
      </c>
      <c r="E78" s="168">
        <f t="shared" si="17"/>
        <v>742.31079000000011</v>
      </c>
      <c r="F78" s="168">
        <f t="shared" si="17"/>
        <v>-57817.266799999998</v>
      </c>
      <c r="G78" s="168">
        <f t="shared" si="17"/>
        <v>-17647.71225</v>
      </c>
      <c r="H78" s="168">
        <f t="shared" si="17"/>
        <v>0</v>
      </c>
      <c r="I78" s="168">
        <f t="shared" si="17"/>
        <v>9580.1866499999996</v>
      </c>
      <c r="J78" s="168">
        <f>J65+J66</f>
        <v>-126321.21741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>SUM(C67:C70,C72:C74)</f>
        <v>501.27012000000002</v>
      </c>
      <c r="D80" s="176">
        <f t="shared" ref="D80:I80" si="18">SUM(D67:D70,D72:D74)</f>
        <v>-8815.0732000000007</v>
      </c>
      <c r="E80" s="176">
        <f t="shared" si="18"/>
        <v>0</v>
      </c>
      <c r="F80" s="176">
        <f t="shared" si="18"/>
        <v>-85736.753429999982</v>
      </c>
      <c r="G80" s="176">
        <f t="shared" si="18"/>
        <v>-26414.799399999996</v>
      </c>
      <c r="H80" s="176">
        <f t="shared" si="18"/>
        <v>0</v>
      </c>
      <c r="I80" s="176">
        <f t="shared" si="18"/>
        <v>12909.296030000001</v>
      </c>
      <c r="J80" s="176">
        <f>SUM(J67:J70,J72:J74)</f>
        <v>-107556.05988</v>
      </c>
    </row>
    <row r="81" spans="1:6" ht="15.75" customHeight="1"/>
    <row r="82" spans="1:6" ht="14.4">
      <c r="A82" s="151" t="s">
        <v>215</v>
      </c>
      <c r="B82" s="151"/>
      <c r="C82" s="151"/>
      <c r="D82" s="151"/>
      <c r="E82" s="151"/>
      <c r="F82" s="151"/>
    </row>
    <row r="83" spans="1:6" ht="14.4">
      <c r="A83" s="151" t="s">
        <v>223</v>
      </c>
      <c r="B83" s="151"/>
      <c r="C83" s="151"/>
      <c r="D83" s="151"/>
      <c r="E83" s="151"/>
      <c r="F83" s="151"/>
    </row>
    <row r="84" spans="1:6" ht="14.4">
      <c r="A84" s="170" t="s">
        <v>222</v>
      </c>
      <c r="B84" s="170"/>
      <c r="C84" s="170"/>
      <c r="D84" s="170"/>
      <c r="E84" s="170"/>
      <c r="F84" s="151"/>
    </row>
    <row r="85" spans="1:6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6" ht="14.4">
      <c r="A86" s="170" t="s">
        <v>226</v>
      </c>
      <c r="B86" s="198">
        <v>1</v>
      </c>
      <c r="C86" s="199">
        <v>979473.6</v>
      </c>
      <c r="D86" s="200">
        <f>79873.45-C86*SUM($C$54:$K$54)</f>
        <v>75397.255647999991</v>
      </c>
      <c r="E86" s="200">
        <v>500</v>
      </c>
      <c r="F86" s="201" t="s">
        <v>219</v>
      </c>
    </row>
    <row r="87" spans="1:6" ht="28.8">
      <c r="A87" s="202" t="s">
        <v>220</v>
      </c>
      <c r="B87" s="203">
        <f>SUM(B86:B86)</f>
        <v>1</v>
      </c>
      <c r="C87" s="204">
        <f>SUM(C86:C86)</f>
        <v>979473.6</v>
      </c>
      <c r="D87" s="205">
        <f>SUM(D86:D86)</f>
        <v>75397.255647999991</v>
      </c>
      <c r="E87" s="205">
        <f>SUM(E86:E86)</f>
        <v>500</v>
      </c>
      <c r="F87" s="151"/>
    </row>
    <row r="88" spans="1:6" ht="9" customHeight="1">
      <c r="A88" s="170"/>
      <c r="B88" s="170"/>
      <c r="C88" s="170"/>
      <c r="D88" s="170"/>
      <c r="E88" s="170"/>
      <c r="F88" s="151"/>
    </row>
    <row r="89" spans="1:6" ht="14.4">
      <c r="A89" s="206" t="s">
        <v>224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7" right="0.7" top="0.66" bottom="0.64" header="0.3" footer="0.3"/>
  <pageSetup scale="75" fitToHeight="2" orientation="landscape" r:id="rId1"/>
  <headerFooter>
    <oddFooter>&amp;L&amp;F / 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40"/>
  <sheetViews>
    <sheetView tabSelected="1" workbookViewId="0">
      <selection activeCell="E9" sqref="E9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385" t="s">
        <v>20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>
      <c r="A2" s="385" t="s">
        <v>52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386" t="s">
        <v>76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>
      <c r="A4" s="393" t="s">
        <v>270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02" t="s">
        <v>25</v>
      </c>
      <c r="K6" s="9" t="s">
        <v>27</v>
      </c>
    </row>
    <row r="7" spans="1:11">
      <c r="A7" s="7"/>
      <c r="B7" s="8"/>
      <c r="C7" s="8"/>
      <c r="D7" s="8"/>
      <c r="E7" s="238" t="s">
        <v>28</v>
      </c>
      <c r="F7" s="238" t="s">
        <v>271</v>
      </c>
      <c r="G7" s="238" t="s">
        <v>29</v>
      </c>
      <c r="H7" s="238" t="s">
        <v>30</v>
      </c>
      <c r="I7" s="238" t="s">
        <v>32</v>
      </c>
      <c r="J7" s="103" t="s">
        <v>31</v>
      </c>
      <c r="K7" s="238" t="s">
        <v>33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04"/>
      <c r="K8" s="105"/>
    </row>
    <row r="9" spans="1:11">
      <c r="A9" s="7">
        <v>1</v>
      </c>
      <c r="B9" s="8" t="s">
        <v>272</v>
      </c>
      <c r="C9" s="8"/>
      <c r="D9" s="8"/>
      <c r="E9" s="10">
        <f>SUM(F9:K9)</f>
        <v>492134000</v>
      </c>
      <c r="F9" s="55">
        <v>209489000</v>
      </c>
      <c r="G9" s="55">
        <v>73766000</v>
      </c>
      <c r="H9" s="55">
        <v>126766000</v>
      </c>
      <c r="I9" s="55">
        <v>10894000</v>
      </c>
      <c r="J9" s="106">
        <v>64348000</v>
      </c>
      <c r="K9" s="107">
        <v>6871000</v>
      </c>
    </row>
    <row r="10" spans="1:11">
      <c r="A10" s="7">
        <v>2</v>
      </c>
      <c r="B10" s="239" t="s">
        <v>143</v>
      </c>
      <c r="C10" s="8"/>
      <c r="D10" s="8"/>
      <c r="E10" s="10">
        <f>SUM(F10:K10)</f>
        <v>10763000</v>
      </c>
      <c r="F10" s="55">
        <v>4904000</v>
      </c>
      <c r="G10" s="55">
        <v>1291000</v>
      </c>
      <c r="H10" s="55">
        <v>2775000</v>
      </c>
      <c r="I10" s="55">
        <v>238000</v>
      </c>
      <c r="J10" s="106">
        <v>1405000</v>
      </c>
      <c r="K10" s="107">
        <v>150000</v>
      </c>
    </row>
    <row r="11" spans="1:11">
      <c r="A11" s="7">
        <v>3</v>
      </c>
      <c r="B11" s="8" t="s">
        <v>273</v>
      </c>
      <c r="C11" s="8"/>
      <c r="D11" s="8"/>
      <c r="E11" s="10">
        <f>SUM(F11:K11)</f>
        <v>502897000</v>
      </c>
      <c r="F11" s="10">
        <f t="shared" ref="F11:K11" si="0">F9+F10</f>
        <v>214393000</v>
      </c>
      <c r="G11" s="10">
        <f t="shared" si="0"/>
        <v>75057000</v>
      </c>
      <c r="H11" s="10">
        <f t="shared" si="0"/>
        <v>129541000</v>
      </c>
      <c r="I11" s="10">
        <f t="shared" si="0"/>
        <v>11132000</v>
      </c>
      <c r="J11" s="108">
        <f>J9+J10</f>
        <v>65753000</v>
      </c>
      <c r="K11" s="109">
        <f t="shared" si="0"/>
        <v>7021000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08"/>
      <c r="K12" s="109"/>
    </row>
    <row r="13" spans="1:11">
      <c r="A13" s="7">
        <v>4</v>
      </c>
      <c r="B13" s="8" t="s">
        <v>274</v>
      </c>
      <c r="C13" s="8"/>
      <c r="D13" s="8"/>
      <c r="E13" s="11">
        <f>SUM(F13:K13)</f>
        <v>5658613712</v>
      </c>
      <c r="F13" s="12">
        <v>2361885989</v>
      </c>
      <c r="G13" s="12">
        <v>623243883</v>
      </c>
      <c r="H13" s="12">
        <v>1409459201</v>
      </c>
      <c r="I13" s="12">
        <v>133495310</v>
      </c>
      <c r="J13" s="110">
        <v>1107408158</v>
      </c>
      <c r="K13" s="111">
        <v>23121171</v>
      </c>
    </row>
    <row r="14" spans="1:11">
      <c r="A14" s="7">
        <v>5</v>
      </c>
      <c r="B14" s="8" t="s">
        <v>144</v>
      </c>
      <c r="C14" s="8"/>
      <c r="D14" s="13"/>
      <c r="E14" s="13">
        <f t="shared" ref="E14:K14" si="1">$E$27</f>
        <v>1.9E-2</v>
      </c>
      <c r="F14" s="13">
        <f t="shared" si="1"/>
        <v>1.9E-2</v>
      </c>
      <c r="G14" s="13">
        <f t="shared" si="1"/>
        <v>1.9E-2</v>
      </c>
      <c r="H14" s="13">
        <f t="shared" si="1"/>
        <v>1.9E-2</v>
      </c>
      <c r="I14" s="13">
        <f t="shared" si="1"/>
        <v>1.9E-2</v>
      </c>
      <c r="J14" s="112">
        <f t="shared" si="1"/>
        <v>1.9E-2</v>
      </c>
      <c r="K14" s="113">
        <f t="shared" si="1"/>
        <v>1.9E-2</v>
      </c>
    </row>
    <row r="15" spans="1:11">
      <c r="A15" s="7">
        <v>6</v>
      </c>
      <c r="B15" s="8" t="s">
        <v>58</v>
      </c>
      <c r="C15" s="8"/>
      <c r="D15" s="13"/>
      <c r="E15" s="10">
        <f>SUM(F15:K15)</f>
        <v>107513660.528</v>
      </c>
      <c r="F15" s="10">
        <f t="shared" ref="F15:K15" si="2">F14*F13</f>
        <v>44875833.791000001</v>
      </c>
      <c r="G15" s="10">
        <f t="shared" si="2"/>
        <v>11841633.776999999</v>
      </c>
      <c r="H15" s="10">
        <f t="shared" si="2"/>
        <v>26779724.818999998</v>
      </c>
      <c r="I15" s="10">
        <f t="shared" si="2"/>
        <v>2536410.89</v>
      </c>
      <c r="J15" s="108">
        <f t="shared" si="2"/>
        <v>21040755.002</v>
      </c>
      <c r="K15" s="109">
        <f t="shared" si="2"/>
        <v>439302.24900000001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08"/>
      <c r="K16" s="109"/>
    </row>
    <row r="17" spans="1:11">
      <c r="A17" s="7">
        <v>7</v>
      </c>
      <c r="B17" s="8" t="s">
        <v>61</v>
      </c>
      <c r="C17" s="8"/>
      <c r="D17" s="8"/>
      <c r="E17" s="10">
        <f>SUM(F17:K17)</f>
        <v>344089396.72299999</v>
      </c>
      <c r="F17" s="14">
        <f>F11-F15</f>
        <v>169517166.20899999</v>
      </c>
      <c r="G17" s="14">
        <f>G11-G15</f>
        <v>63215366.223000005</v>
      </c>
      <c r="H17" s="14">
        <f>H11-H15</f>
        <v>102761275.18099999</v>
      </c>
      <c r="I17" s="14">
        <f>I11-I15</f>
        <v>8595589.1099999994</v>
      </c>
      <c r="J17" s="104"/>
      <c r="K17" s="10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04"/>
      <c r="K18" s="105"/>
    </row>
    <row r="19" spans="1:11">
      <c r="A19" s="7">
        <v>8</v>
      </c>
      <c r="B19" s="8" t="s">
        <v>275</v>
      </c>
      <c r="C19" s="8"/>
      <c r="D19" s="8"/>
      <c r="E19" s="11">
        <f>SUM(F19:K19)</f>
        <v>2945836</v>
      </c>
      <c r="F19" s="15">
        <v>2518371</v>
      </c>
      <c r="G19" s="15">
        <v>375436</v>
      </c>
      <c r="H19" s="15">
        <v>22836</v>
      </c>
      <c r="I19" s="15">
        <v>29193</v>
      </c>
      <c r="J19" s="104"/>
      <c r="K19" s="105"/>
    </row>
    <row r="20" spans="1:11">
      <c r="A20" s="7">
        <v>9</v>
      </c>
      <c r="B20" s="8" t="s">
        <v>145</v>
      </c>
      <c r="C20" s="8"/>
      <c r="D20" s="8"/>
      <c r="E20" s="10"/>
      <c r="F20" s="54">
        <v>9</v>
      </c>
      <c r="G20" s="54">
        <v>20</v>
      </c>
      <c r="H20" s="54">
        <v>500</v>
      </c>
      <c r="I20" s="54">
        <v>20</v>
      </c>
      <c r="J20" s="104"/>
      <c r="K20" s="105"/>
    </row>
    <row r="21" spans="1:11">
      <c r="A21" s="7">
        <v>10</v>
      </c>
      <c r="B21" s="8" t="s">
        <v>59</v>
      </c>
      <c r="C21" s="8"/>
      <c r="D21" s="8"/>
      <c r="E21" s="10">
        <f>SUM(F21:K21)</f>
        <v>42175919</v>
      </c>
      <c r="F21" s="16">
        <f>F20*F19</f>
        <v>22665339</v>
      </c>
      <c r="G21" s="16">
        <f>G20*G19</f>
        <v>7508720</v>
      </c>
      <c r="H21" s="16">
        <f>H20*H19</f>
        <v>11418000</v>
      </c>
      <c r="I21" s="16">
        <f>I20*I19</f>
        <v>583860</v>
      </c>
      <c r="J21" s="104"/>
      <c r="K21" s="105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383" t="s">
        <v>78</v>
      </c>
      <c r="K22" s="384"/>
    </row>
    <row r="23" spans="1:11">
      <c r="A23" s="7">
        <v>11</v>
      </c>
      <c r="B23" s="8" t="s">
        <v>60</v>
      </c>
      <c r="C23" s="8"/>
      <c r="D23" s="8"/>
      <c r="E23" s="10">
        <f>SUM(F23:K23)</f>
        <v>301913477.72299999</v>
      </c>
      <c r="F23" s="14">
        <f>F17-F21</f>
        <v>146851827.20899999</v>
      </c>
      <c r="G23" s="14">
        <f>G17-G21</f>
        <v>55706646.223000005</v>
      </c>
      <c r="H23" s="14">
        <f>H17-H21</f>
        <v>91343275.180999994</v>
      </c>
      <c r="I23" s="14">
        <f>I17-I21</f>
        <v>8011729.1099999994</v>
      </c>
      <c r="J23" s="383"/>
      <c r="K23" s="384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146</v>
      </c>
      <c r="C25" s="8"/>
      <c r="D25" s="8"/>
      <c r="E25" s="114">
        <v>1.8110000000000001E-2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55</v>
      </c>
      <c r="C26" s="8"/>
      <c r="D26" s="8"/>
      <c r="E26" s="18">
        <f>1/'Attachment 4, Page 4'!E22</f>
        <v>1.0489624188234208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147</v>
      </c>
      <c r="C27" s="8"/>
      <c r="D27" s="8"/>
      <c r="E27" s="17">
        <f>ROUND(E25*E26,5)</f>
        <v>1.9E-2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57</v>
      </c>
      <c r="H29" s="6"/>
    </row>
    <row r="30" spans="1:11">
      <c r="A30" s="3">
        <v>15</v>
      </c>
      <c r="B30" s="2" t="s">
        <v>65</v>
      </c>
      <c r="F30" s="47">
        <f>ROUND(F19/12,0)</f>
        <v>209864</v>
      </c>
      <c r="G30" s="47">
        <f>ROUND((G19+H19+I19)/12,0)</f>
        <v>35622</v>
      </c>
    </row>
    <row r="31" spans="1:11">
      <c r="A31" s="3">
        <v>16</v>
      </c>
      <c r="B31" s="2" t="s">
        <v>64</v>
      </c>
      <c r="F31" s="48">
        <f>F13</f>
        <v>2361885989</v>
      </c>
      <c r="G31" s="48">
        <f>G13+H13+I13</f>
        <v>2166198394</v>
      </c>
    </row>
    <row r="32" spans="1:11">
      <c r="A32" s="3">
        <v>17</v>
      </c>
      <c r="B32" s="2" t="s">
        <v>62</v>
      </c>
      <c r="F32" s="48">
        <f>F21</f>
        <v>22665339</v>
      </c>
      <c r="G32" s="48">
        <f>G21+H21+I21</f>
        <v>19510580</v>
      </c>
    </row>
    <row r="33" spans="1:9">
      <c r="A33" s="3">
        <v>18</v>
      </c>
      <c r="B33" s="2" t="s">
        <v>34</v>
      </c>
      <c r="F33" s="5">
        <f>F19</f>
        <v>2518371</v>
      </c>
      <c r="G33" s="5">
        <f>G19+H19+I19</f>
        <v>427465</v>
      </c>
    </row>
    <row r="34" spans="1:9">
      <c r="A34" s="3">
        <v>19</v>
      </c>
      <c r="B34" s="2" t="s">
        <v>63</v>
      </c>
      <c r="F34" s="49">
        <f>F32/F33</f>
        <v>9</v>
      </c>
      <c r="G34" s="49">
        <f>G32/G33</f>
        <v>45.642520440269962</v>
      </c>
    </row>
    <row r="35" spans="1:9">
      <c r="F35" s="49"/>
      <c r="G35" s="49"/>
    </row>
    <row r="36" spans="1:9">
      <c r="A36" s="245" t="s">
        <v>151</v>
      </c>
      <c r="F36" s="49"/>
      <c r="G36" s="49"/>
    </row>
    <row r="37" spans="1:9">
      <c r="F37" s="49"/>
      <c r="G37" s="49"/>
    </row>
    <row r="38" spans="1:9">
      <c r="D38" s="2" t="s">
        <v>148</v>
      </c>
    </row>
    <row r="39" spans="1:9">
      <c r="D39" s="2" t="s">
        <v>149</v>
      </c>
      <c r="F39" s="115">
        <f>F23/F13</f>
        <v>6.2175662962959385E-2</v>
      </c>
      <c r="G39" s="115">
        <f>G23/G13</f>
        <v>8.9381777731784018E-2</v>
      </c>
      <c r="H39" s="115">
        <f>H23/H13</f>
        <v>6.4807321216671376E-2</v>
      </c>
      <c r="I39" s="115">
        <f>I23/I13</f>
        <v>6.0015060529092744E-2</v>
      </c>
    </row>
    <row r="40" spans="1:9">
      <c r="D40" s="2" t="s">
        <v>150</v>
      </c>
      <c r="F40" s="116">
        <f>F39+F14</f>
        <v>8.1175662962959388E-2</v>
      </c>
      <c r="G40" s="116">
        <f>G39+G14</f>
        <v>0.10838177773178402</v>
      </c>
      <c r="H40" s="116">
        <f>H39+H14</f>
        <v>8.3807321216671379E-2</v>
      </c>
      <c r="I40" s="116">
        <f>I39+I14</f>
        <v>7.901506052909274E-2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F24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385" t="s">
        <v>20</v>
      </c>
      <c r="B2" s="385"/>
      <c r="C2" s="385"/>
      <c r="D2" s="385"/>
      <c r="E2" s="385"/>
    </row>
    <row r="3" spans="1:6">
      <c r="A3" s="385" t="s">
        <v>52</v>
      </c>
      <c r="B3" s="385"/>
      <c r="C3" s="385"/>
      <c r="D3" s="385"/>
      <c r="E3" s="385"/>
    </row>
    <row r="4" spans="1:6">
      <c r="A4" s="386" t="s">
        <v>73</v>
      </c>
      <c r="B4" s="386"/>
      <c r="C4" s="386"/>
      <c r="D4" s="386"/>
      <c r="E4" s="386"/>
    </row>
    <row r="5" spans="1:6">
      <c r="A5" s="394" t="str">
        <f>'Attachment 4, Page 1'!A4:K4</f>
        <v>Washington Docket No. UE-170485 Compliance Filing</v>
      </c>
      <c r="B5" s="394"/>
      <c r="C5" s="394"/>
      <c r="D5" s="394"/>
      <c r="E5" s="394"/>
    </row>
    <row r="6" spans="1:6">
      <c r="A6" s="24"/>
      <c r="B6" s="24"/>
      <c r="C6" s="24"/>
      <c r="D6" s="24"/>
      <c r="E6" s="24"/>
    </row>
    <row r="7" spans="1:6" ht="46.8">
      <c r="A7" s="117" t="s">
        <v>17</v>
      </c>
      <c r="B7" s="118"/>
      <c r="C7" s="117" t="s">
        <v>16</v>
      </c>
      <c r="D7" s="117" t="s">
        <v>19</v>
      </c>
      <c r="E7" s="117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67</v>
      </c>
      <c r="C10" s="25" t="s">
        <v>151</v>
      </c>
      <c r="D10" s="27">
        <f>'Attachment 4, Page 1'!F23</f>
        <v>146851827.20899999</v>
      </c>
      <c r="E10" s="27">
        <f>SUM('Attachment 4, Page 1'!G23:I23)</f>
        <v>155061650.514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284</v>
      </c>
      <c r="C12" s="25" t="s">
        <v>56</v>
      </c>
      <c r="D12" s="28">
        <f>'Attachment 4, Page 1'!F19/12</f>
        <v>209864.25</v>
      </c>
      <c r="E12" s="28">
        <f>SUM('Attachment 4, Page 1'!G19:I19)/12</f>
        <v>35622.083333333336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68</v>
      </c>
      <c r="C14" s="25" t="str">
        <f>"("&amp;A10&amp;") / ("&amp;A12&amp;")"</f>
        <v>(1) / (2)</v>
      </c>
      <c r="D14" s="29">
        <f>ROUND(D10/D12,2)</f>
        <v>699.75</v>
      </c>
      <c r="E14" s="29">
        <f>ROUND(E10/E12,2)</f>
        <v>4352.96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51</v>
      </c>
      <c r="C16" s="24"/>
      <c r="D16" s="24"/>
      <c r="E16" s="24"/>
    </row>
    <row r="19" spans="1:5">
      <c r="A19" s="245" t="s">
        <v>285</v>
      </c>
    </row>
    <row r="20" spans="1:5">
      <c r="B20" s="52" t="s">
        <v>69</v>
      </c>
    </row>
    <row r="21" spans="1:5">
      <c r="B21" s="52" t="s">
        <v>70</v>
      </c>
      <c r="D21" s="27">
        <f>D12*D14</f>
        <v>146852508.9375</v>
      </c>
      <c r="E21" s="27">
        <f>E12*E14</f>
        <v>155061503.86666667</v>
      </c>
    </row>
    <row r="22" spans="1:5">
      <c r="B22" s="52" t="s">
        <v>72</v>
      </c>
      <c r="D22" s="27">
        <f>'Attachment 4, Page 1'!F32</f>
        <v>22665339</v>
      </c>
      <c r="E22" s="27">
        <f>'Attachment 4, Page 1'!G32</f>
        <v>19510580</v>
      </c>
    </row>
    <row r="23" spans="1:5">
      <c r="B23" s="52" t="s">
        <v>71</v>
      </c>
      <c r="D23" s="27">
        <f>'Attachment 4, Page 1'!F15</f>
        <v>44875833.791000001</v>
      </c>
      <c r="E23" s="27">
        <f>'Attachment 4, Page 1'!G15+'Attachment 4, Page 1'!H15+'Attachment 4, Page 1'!I15</f>
        <v>41157769.486000001</v>
      </c>
    </row>
    <row r="24" spans="1:5">
      <c r="B24" s="52" t="s">
        <v>15</v>
      </c>
      <c r="D24" s="53">
        <f>SUM(D21:D23)</f>
        <v>214393681.72850001</v>
      </c>
      <c r="E24" s="53">
        <f>SUM(E21:E23)</f>
        <v>215729853.35266668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7"/>
  <sheetViews>
    <sheetView topLeftCell="D3" workbookViewId="0">
      <selection activeCell="J14" sqref="J14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391" t="s">
        <v>20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6" ht="17.399999999999999">
      <c r="A2" s="391" t="str">
        <f>'Attachment 4, Page 2'!A3:E3</f>
        <v xml:space="preserve"> Electric Decoupling Mechanism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16" ht="17.399999999999999">
      <c r="A3" s="392" t="s">
        <v>75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16" ht="17.399999999999999">
      <c r="A4" s="392" t="str">
        <f>'Attachment 4, Page 1'!A4:K4</f>
        <v>Washington Docket No. UE-170485 Compliance Filing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16" ht="15.6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</row>
    <row r="6" spans="1:16" ht="30.6" customHeight="1">
      <c r="A6" s="119" t="s">
        <v>17</v>
      </c>
      <c r="B6" s="120"/>
      <c r="C6" s="121" t="s">
        <v>16</v>
      </c>
      <c r="D6" s="122" t="s">
        <v>35</v>
      </c>
      <c r="E6" s="122" t="s">
        <v>36</v>
      </c>
      <c r="F6" s="122" t="s">
        <v>37</v>
      </c>
      <c r="G6" s="122" t="s">
        <v>38</v>
      </c>
      <c r="H6" s="122" t="s">
        <v>39</v>
      </c>
      <c r="I6" s="122" t="s">
        <v>40</v>
      </c>
      <c r="J6" s="122" t="s">
        <v>41</v>
      </c>
      <c r="K6" s="122" t="s">
        <v>42</v>
      </c>
      <c r="L6" s="122" t="s">
        <v>43</v>
      </c>
      <c r="M6" s="122" t="s">
        <v>44</v>
      </c>
      <c r="N6" s="122" t="s">
        <v>45</v>
      </c>
      <c r="O6" s="122" t="s">
        <v>46</v>
      </c>
      <c r="P6" s="119" t="s">
        <v>28</v>
      </c>
    </row>
    <row r="7" spans="1:16">
      <c r="A7" s="20"/>
      <c r="B7" s="21" t="s">
        <v>14</v>
      </c>
      <c r="C7" s="21" t="s">
        <v>13</v>
      </c>
      <c r="D7" s="21" t="s">
        <v>12</v>
      </c>
      <c r="E7" s="21" t="s">
        <v>11</v>
      </c>
      <c r="F7" s="21" t="s">
        <v>10</v>
      </c>
      <c r="G7" s="21" t="s">
        <v>9</v>
      </c>
      <c r="H7" s="21" t="s">
        <v>8</v>
      </c>
      <c r="I7" s="21" t="s">
        <v>7</v>
      </c>
      <c r="J7" s="21" t="s">
        <v>6</v>
      </c>
      <c r="K7" s="21" t="s">
        <v>5</v>
      </c>
      <c r="L7" s="21" t="s">
        <v>4</v>
      </c>
      <c r="M7" s="21" t="s">
        <v>3</v>
      </c>
      <c r="N7" s="21" t="s">
        <v>2</v>
      </c>
      <c r="O7" s="21" t="s">
        <v>1</v>
      </c>
      <c r="P7" s="21" t="s">
        <v>0</v>
      </c>
    </row>
    <row r="8" spans="1:16">
      <c r="A8" s="21">
        <v>1</v>
      </c>
      <c r="B8" s="32" t="s">
        <v>47</v>
      </c>
      <c r="C8" s="21"/>
      <c r="D8" s="20"/>
      <c r="E8" s="20"/>
      <c r="F8" s="20"/>
      <c r="G8" s="20"/>
      <c r="H8" s="22"/>
      <c r="I8" s="22"/>
      <c r="J8" s="20"/>
      <c r="K8" s="20"/>
      <c r="L8" s="20"/>
      <c r="M8" s="20"/>
      <c r="N8" s="20"/>
      <c r="O8" s="20"/>
      <c r="P8" s="33"/>
    </row>
    <row r="9" spans="1:16">
      <c r="A9" s="21">
        <f>A8+1</f>
        <v>2</v>
      </c>
      <c r="B9" s="34" t="s">
        <v>19</v>
      </c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3"/>
    </row>
    <row r="10" spans="1:16">
      <c r="A10" s="21">
        <f>A9+1</f>
        <v>3</v>
      </c>
      <c r="B10" s="23" t="s">
        <v>48</v>
      </c>
      <c r="C10" s="21" t="s">
        <v>77</v>
      </c>
      <c r="D10" s="45">
        <f>'TY Normalized Usage by Month'!D50</f>
        <v>282718944</v>
      </c>
      <c r="E10" s="45">
        <f>'TY Normalized Usage by Month'!E50</f>
        <v>229028914</v>
      </c>
      <c r="F10" s="45">
        <f>'TY Normalized Usage by Month'!F50</f>
        <v>209765396</v>
      </c>
      <c r="G10" s="45">
        <f>'TY Normalized Usage by Month'!G50</f>
        <v>176926076</v>
      </c>
      <c r="H10" s="45">
        <f>'TY Normalized Usage by Month'!H50</f>
        <v>154900987</v>
      </c>
      <c r="I10" s="45">
        <f>'TY Normalized Usage by Month'!I50</f>
        <v>143616705.59999999</v>
      </c>
      <c r="J10" s="45">
        <f>'TY Normalized Usage by Month'!J50</f>
        <v>190502271</v>
      </c>
      <c r="K10" s="45">
        <f>'TY Normalized Usage by Month'!K50</f>
        <v>171958392</v>
      </c>
      <c r="L10" s="45">
        <f>'TY Normalized Usage by Month'!L50</f>
        <v>162813881</v>
      </c>
      <c r="M10" s="45">
        <f>'TY Normalized Usage by Month'!M50</f>
        <v>159069574</v>
      </c>
      <c r="N10" s="45">
        <f>'TY Normalized Usage by Month'!N50</f>
        <v>215944062</v>
      </c>
      <c r="O10" s="45">
        <f>'TY Normalized Usage by Month'!O50</f>
        <v>264640786</v>
      </c>
      <c r="P10" s="35">
        <f>SUM(D10:O10)</f>
        <v>2361885988.5999999</v>
      </c>
    </row>
    <row r="11" spans="1:16">
      <c r="A11" s="21">
        <f>A10+1</f>
        <v>4</v>
      </c>
      <c r="B11" s="20" t="s">
        <v>49</v>
      </c>
      <c r="C11" s="36" t="s">
        <v>53</v>
      </c>
      <c r="D11" s="37">
        <f t="shared" ref="D11:O11" si="0">D10/$P10</f>
        <v>0.11970050432772189</v>
      </c>
      <c r="E11" s="37">
        <f t="shared" si="0"/>
        <v>9.6968657719061255E-2</v>
      </c>
      <c r="F11" s="37">
        <f t="shared" si="0"/>
        <v>8.8812667932518519E-2</v>
      </c>
      <c r="G11" s="37">
        <f t="shared" si="0"/>
        <v>7.4908813064627364E-2</v>
      </c>
      <c r="H11" s="37">
        <f t="shared" si="0"/>
        <v>6.558360045643738E-2</v>
      </c>
      <c r="I11" s="37">
        <f t="shared" si="0"/>
        <v>6.0805943340697964E-2</v>
      </c>
      <c r="J11" s="37">
        <f t="shared" si="0"/>
        <v>8.065684453842735E-2</v>
      </c>
      <c r="K11" s="37">
        <f t="shared" si="0"/>
        <v>7.2805543040596873E-2</v>
      </c>
      <c r="L11" s="37">
        <f t="shared" si="0"/>
        <v>6.8933844303173744E-2</v>
      </c>
      <c r="M11" s="37">
        <f t="shared" si="0"/>
        <v>6.7348540432422804E-2</v>
      </c>
      <c r="N11" s="37">
        <f t="shared" si="0"/>
        <v>9.1428656185051554E-2</v>
      </c>
      <c r="O11" s="37">
        <f t="shared" si="0"/>
        <v>0.11204638465926331</v>
      </c>
      <c r="P11" s="37">
        <f>SUM(D11:O11)</f>
        <v>1</v>
      </c>
    </row>
    <row r="12" spans="1:16">
      <c r="A12" s="21"/>
      <c r="B12" s="20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5</v>
      </c>
      <c r="B13" s="34" t="s">
        <v>50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>
      <c r="A14" s="21">
        <v>6</v>
      </c>
      <c r="B14" s="23" t="s">
        <v>48</v>
      </c>
      <c r="C14" s="21" t="s">
        <v>77</v>
      </c>
      <c r="D14" s="45">
        <f>'TY Normalized Usage by Month'!D53</f>
        <v>179053128.5</v>
      </c>
      <c r="E14" s="45">
        <f>'TY Normalized Usage by Month'!E53</f>
        <v>167633774</v>
      </c>
      <c r="F14" s="45">
        <f>'TY Normalized Usage by Month'!F53</f>
        <v>172512516</v>
      </c>
      <c r="G14" s="45">
        <f>'TY Normalized Usage by Month'!G53</f>
        <v>163846532</v>
      </c>
      <c r="H14" s="45">
        <f>'TY Normalized Usage by Month'!H53</f>
        <v>181092306</v>
      </c>
      <c r="I14" s="45">
        <f>'TY Normalized Usage by Month'!I53</f>
        <v>185499648.66666999</v>
      </c>
      <c r="J14" s="45">
        <f>'TY Normalized Usage by Month'!J53</f>
        <v>204307747</v>
      </c>
      <c r="K14" s="45">
        <f>'TY Normalized Usage by Month'!K53</f>
        <v>192388070</v>
      </c>
      <c r="L14" s="45">
        <f>'TY Normalized Usage by Month'!L53</f>
        <v>180766696</v>
      </c>
      <c r="M14" s="45">
        <f>'TY Normalized Usage by Month'!M53</f>
        <v>182872741</v>
      </c>
      <c r="N14" s="45">
        <f>'TY Normalized Usage by Month'!N53</f>
        <v>162705681</v>
      </c>
      <c r="O14" s="45">
        <f>'TY Normalized Usage by Month'!O53</f>
        <v>193519554</v>
      </c>
      <c r="P14" s="35">
        <f>SUM(D14:O14)</f>
        <v>2166198394.1666698</v>
      </c>
    </row>
    <row r="15" spans="1:16">
      <c r="A15" s="21">
        <v>7</v>
      </c>
      <c r="B15" s="20" t="s">
        <v>49</v>
      </c>
      <c r="C15" s="36" t="s">
        <v>53</v>
      </c>
      <c r="D15" s="40">
        <f t="shared" ref="D15:O15" si="1">D14/$P14</f>
        <v>8.2657769935648578E-2</v>
      </c>
      <c r="E15" s="40">
        <f t="shared" si="1"/>
        <v>7.7386159297051935E-2</v>
      </c>
      <c r="F15" s="40">
        <f t="shared" si="1"/>
        <v>7.9638373135423296E-2</v>
      </c>
      <c r="G15" s="40">
        <f t="shared" si="1"/>
        <v>7.5637823590498629E-2</v>
      </c>
      <c r="H15" s="40">
        <f t="shared" si="1"/>
        <v>8.359913223445338E-2</v>
      </c>
      <c r="I15" s="40">
        <f t="shared" si="1"/>
        <v>8.5633730117333579E-2</v>
      </c>
      <c r="J15" s="40">
        <f t="shared" si="1"/>
        <v>9.4316267406613322E-2</v>
      </c>
      <c r="K15" s="40">
        <f t="shared" si="1"/>
        <v>8.8813688772957991E-2</v>
      </c>
      <c r="L15" s="40">
        <f t="shared" si="1"/>
        <v>8.3448818209257522E-2</v>
      </c>
      <c r="M15" s="40">
        <f t="shared" si="1"/>
        <v>8.4421049102637993E-2</v>
      </c>
      <c r="N15" s="40">
        <f t="shared" si="1"/>
        <v>7.5111163150221247E-2</v>
      </c>
      <c r="O15" s="40">
        <f t="shared" si="1"/>
        <v>8.9336025047902598E-2</v>
      </c>
      <c r="P15" s="40">
        <f>SUM(D15:O15)</f>
        <v>1.0000000000000002</v>
      </c>
    </row>
    <row r="16" spans="1:16">
      <c r="A16" s="21"/>
      <c r="B16" s="2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21"/>
      <c r="B17" s="34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3"/>
    </row>
    <row r="18" spans="1:16">
      <c r="A18" s="21"/>
      <c r="B18" s="23"/>
      <c r="C18" s="2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35"/>
    </row>
    <row r="19" spans="1:16">
      <c r="A19" s="21"/>
      <c r="B19" s="20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21"/>
      <c r="B20" s="20"/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v>8</v>
      </c>
      <c r="B21" s="32" t="s">
        <v>74</v>
      </c>
      <c r="C21" s="21"/>
      <c r="D21" s="4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1">
        <f>A21+1</f>
        <v>9</v>
      </c>
      <c r="B22" s="34" t="s">
        <v>19</v>
      </c>
      <c r="C22" s="21"/>
      <c r="D22" s="4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1">
        <f>A22+1</f>
        <v>10</v>
      </c>
      <c r="B23" s="20" t="s">
        <v>286</v>
      </c>
      <c r="C23" s="21" t="s">
        <v>153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2">
        <f>'Attachment 4, Page 2'!D14</f>
        <v>699.75</v>
      </c>
    </row>
    <row r="24" spans="1:16">
      <c r="A24" s="21">
        <f>A23+1</f>
        <v>11</v>
      </c>
      <c r="B24" s="20" t="s">
        <v>154</v>
      </c>
      <c r="C24" s="21" t="str">
        <f>"("&amp;A$11&amp;") x ("&amp;A23&amp;")"</f>
        <v>(4) x (10)</v>
      </c>
      <c r="D24" s="43">
        <f t="shared" ref="D24:O24" si="2">$P23*D$11</f>
        <v>83.760427903323389</v>
      </c>
      <c r="E24" s="43">
        <f>$P23*E$11</f>
        <v>67.853818238913107</v>
      </c>
      <c r="F24" s="43">
        <f t="shared" si="2"/>
        <v>62.146664385779836</v>
      </c>
      <c r="G24" s="43">
        <f t="shared" si="2"/>
        <v>52.417441941972996</v>
      </c>
      <c r="H24" s="43">
        <f t="shared" si="2"/>
        <v>45.892124419392054</v>
      </c>
      <c r="I24" s="43">
        <f t="shared" si="2"/>
        <v>42.548958852653399</v>
      </c>
      <c r="J24" s="43">
        <f t="shared" si="2"/>
        <v>56.439626965764539</v>
      </c>
      <c r="K24" s="43">
        <f t="shared" si="2"/>
        <v>50.945678742657662</v>
      </c>
      <c r="L24" s="43">
        <f t="shared" si="2"/>
        <v>48.236457551145826</v>
      </c>
      <c r="M24" s="43">
        <f t="shared" si="2"/>
        <v>47.127141167587858</v>
      </c>
      <c r="N24" s="43">
        <f t="shared" si="2"/>
        <v>63.977202165489828</v>
      </c>
      <c r="O24" s="43">
        <f t="shared" si="2"/>
        <v>78.404457665319498</v>
      </c>
      <c r="P24" s="42">
        <f>SUM(D24:O24)</f>
        <v>699.75</v>
      </c>
    </row>
    <row r="25" spans="1:16">
      <c r="A25" s="21"/>
      <c r="B25" s="20"/>
      <c r="C25" s="2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2"/>
    </row>
    <row r="26" spans="1:16">
      <c r="A26" s="21">
        <f>A24+1</f>
        <v>12</v>
      </c>
      <c r="B26" s="34" t="s">
        <v>50</v>
      </c>
      <c r="C26" s="4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/>
    </row>
    <row r="27" spans="1:16">
      <c r="A27" s="21">
        <f>A26+1</f>
        <v>13</v>
      </c>
      <c r="B27" s="20" t="s">
        <v>286</v>
      </c>
      <c r="C27" s="21" t="s">
        <v>153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2">
        <f>'Attachment 4, Page 2'!E14</f>
        <v>4352.96</v>
      </c>
    </row>
    <row r="28" spans="1:16">
      <c r="A28" s="21">
        <f>A27+1</f>
        <v>14</v>
      </c>
      <c r="B28" s="20" t="s">
        <v>154</v>
      </c>
      <c r="C28" s="21" t="str">
        <f>"("&amp;A$15&amp;") x ("&amp;A27&amp;")"</f>
        <v>(7) x (13)</v>
      </c>
      <c r="D28" s="43">
        <f t="shared" ref="D28:O28" si="3">$P27*D$15</f>
        <v>359.80596621908086</v>
      </c>
      <c r="E28" s="43">
        <f t="shared" si="3"/>
        <v>336.8588559736952</v>
      </c>
      <c r="F28" s="43">
        <f t="shared" si="3"/>
        <v>346.66265272357219</v>
      </c>
      <c r="G28" s="43">
        <f t="shared" si="3"/>
        <v>329.24842057649693</v>
      </c>
      <c r="H28" s="43">
        <f t="shared" si="3"/>
        <v>363.90367865128621</v>
      </c>
      <c r="I28" s="43">
        <f t="shared" si="3"/>
        <v>372.7602018515484</v>
      </c>
      <c r="J28" s="43">
        <f t="shared" si="3"/>
        <v>410.55493937029155</v>
      </c>
      <c r="K28" s="43">
        <f t="shared" si="3"/>
        <v>386.60243468113521</v>
      </c>
      <c r="L28" s="43">
        <f t="shared" si="3"/>
        <v>363.2493677121696</v>
      </c>
      <c r="M28" s="43">
        <f t="shared" si="3"/>
        <v>367.48144990181908</v>
      </c>
      <c r="N28" s="43">
        <f t="shared" si="3"/>
        <v>326.95588874638707</v>
      </c>
      <c r="O28" s="43">
        <f t="shared" si="3"/>
        <v>388.87614359251808</v>
      </c>
      <c r="P28" s="42">
        <f>SUM(D28:O28)</f>
        <v>4352.9600000000009</v>
      </c>
    </row>
    <row r="29" spans="1:16">
      <c r="A29" s="21"/>
      <c r="B29" s="20"/>
      <c r="C29" s="21"/>
      <c r="D29" s="43"/>
      <c r="E29" s="43"/>
      <c r="F29" s="43"/>
      <c r="G29" s="43"/>
      <c r="I29" s="43"/>
      <c r="J29" s="43"/>
      <c r="K29" s="43"/>
      <c r="L29" s="43"/>
      <c r="M29" s="43"/>
      <c r="N29" s="43"/>
      <c r="O29" s="43"/>
      <c r="P29" s="42"/>
    </row>
    <row r="30" spans="1:16">
      <c r="A30" s="21"/>
      <c r="B30" s="34"/>
      <c r="C30" s="44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20"/>
      <c r="E31" s="20"/>
      <c r="F31" s="20"/>
      <c r="G31" s="20"/>
      <c r="H31" s="20"/>
      <c r="I31" s="43"/>
      <c r="J31" s="20"/>
      <c r="K31" s="43"/>
      <c r="L31" s="20"/>
      <c r="M31" s="20"/>
      <c r="N31" s="20"/>
      <c r="O31" s="20"/>
      <c r="P31" s="42"/>
    </row>
    <row r="32" spans="1:16">
      <c r="A32" s="21"/>
      <c r="B32" s="20"/>
      <c r="C32" s="2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"/>
    </row>
    <row r="33" spans="1:16">
      <c r="A33" s="21"/>
      <c r="B33" s="20"/>
      <c r="C33" s="44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42"/>
    </row>
    <row r="34" spans="1:16">
      <c r="A34" s="21"/>
      <c r="B34" s="23" t="s">
        <v>54</v>
      </c>
      <c r="C34" s="21"/>
      <c r="D34" s="21"/>
      <c r="E34" s="21"/>
      <c r="F34" s="21"/>
      <c r="G34" s="21"/>
      <c r="H34" s="20"/>
      <c r="I34" s="43"/>
      <c r="J34" s="20"/>
      <c r="K34" s="43"/>
      <c r="L34" s="20"/>
      <c r="M34" s="20"/>
      <c r="N34" s="20"/>
      <c r="O34" s="20"/>
      <c r="P34" s="20"/>
    </row>
    <row r="35" spans="1:16">
      <c r="I35" s="43"/>
    </row>
    <row r="36" spans="1:16">
      <c r="H36" s="43"/>
    </row>
    <row r="37" spans="1:16" ht="15.6">
      <c r="A37" s="245" t="s">
        <v>170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09375" defaultRowHeight="14.4"/>
  <cols>
    <col min="1" max="16384" width="9.109375" style="187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E33"/>
  <sheetViews>
    <sheetView workbookViewId="0"/>
  </sheetViews>
  <sheetFormatPr defaultRowHeight="14.4"/>
  <cols>
    <col min="2" max="2" width="7.33203125" customWidth="1"/>
    <col min="3" max="3" width="33.6640625" customWidth="1"/>
    <col min="4" max="4" width="7.88671875" customWidth="1"/>
  </cols>
  <sheetData>
    <row r="1" spans="1:5">
      <c r="A1" s="124" t="s">
        <v>276</v>
      </c>
      <c r="B1" s="124"/>
      <c r="C1" s="124"/>
      <c r="D1" s="124"/>
      <c r="E1" s="125"/>
    </row>
    <row r="2" spans="1:5">
      <c r="A2" s="396" t="s">
        <v>169</v>
      </c>
      <c r="B2" s="396"/>
      <c r="C2" s="396"/>
      <c r="D2" s="396"/>
      <c r="E2" s="396"/>
    </row>
    <row r="3" spans="1:5">
      <c r="A3" s="389" t="s">
        <v>277</v>
      </c>
      <c r="B3" s="389"/>
      <c r="C3" s="389"/>
      <c r="D3" s="389"/>
      <c r="E3" s="389"/>
    </row>
    <row r="4" spans="1:5">
      <c r="A4" s="124" t="s">
        <v>278</v>
      </c>
      <c r="B4" s="124"/>
      <c r="C4" s="124"/>
      <c r="D4" s="124"/>
      <c r="E4" s="125"/>
    </row>
    <row r="5" spans="1:5" s="151" customFormat="1">
      <c r="A5" s="389" t="s">
        <v>279</v>
      </c>
      <c r="B5" s="389"/>
      <c r="C5" s="389"/>
      <c r="D5" s="389"/>
      <c r="E5" s="389"/>
    </row>
    <row r="6" spans="1:5" s="151" customFormat="1">
      <c r="A6" s="389" t="str">
        <f>'Attachment 4, Page 1'!A4:K4</f>
        <v>Washington Docket No. UE-170485 Compliance Filing</v>
      </c>
      <c r="B6" s="389"/>
      <c r="C6" s="389"/>
      <c r="D6" s="389"/>
      <c r="E6" s="389"/>
    </row>
    <row r="7" spans="1:5" s="151" customFormat="1" ht="30.6" customHeight="1">
      <c r="A7" s="241"/>
      <c r="B7" s="242"/>
      <c r="C7" s="241"/>
      <c r="D7" s="241"/>
      <c r="E7" s="241"/>
    </row>
    <row r="8" spans="1:5">
      <c r="A8" s="128" t="s">
        <v>158</v>
      </c>
      <c r="B8" s="128"/>
      <c r="C8" s="128"/>
      <c r="D8" s="128"/>
      <c r="E8" s="129"/>
    </row>
    <row r="9" spans="1:5">
      <c r="A9" s="130" t="s">
        <v>159</v>
      </c>
      <c r="B9" s="128"/>
      <c r="C9" s="130" t="s">
        <v>160</v>
      </c>
      <c r="D9" s="131"/>
      <c r="E9" s="132" t="s">
        <v>161</v>
      </c>
    </row>
    <row r="10" spans="1:5">
      <c r="A10" s="126"/>
      <c r="B10" s="126"/>
      <c r="C10" s="126"/>
      <c r="D10" s="126"/>
      <c r="E10" s="127"/>
    </row>
    <row r="11" spans="1:5">
      <c r="A11" s="133">
        <v>1</v>
      </c>
      <c r="B11" s="126"/>
      <c r="C11" s="134" t="s">
        <v>69</v>
      </c>
      <c r="D11" s="126"/>
      <c r="E11" s="135">
        <v>1</v>
      </c>
    </row>
    <row r="12" spans="1:5">
      <c r="A12" s="133"/>
      <c r="B12" s="126"/>
      <c r="C12" s="126"/>
      <c r="D12" s="126"/>
      <c r="E12" s="135"/>
    </row>
    <row r="13" spans="1:5">
      <c r="A13" s="133"/>
      <c r="B13" s="126"/>
      <c r="C13" s="136" t="s">
        <v>162</v>
      </c>
      <c r="D13" s="137"/>
      <c r="E13" s="135"/>
    </row>
    <row r="14" spans="1:5">
      <c r="A14" s="133">
        <v>2</v>
      </c>
      <c r="B14" s="126"/>
      <c r="C14" s="137" t="s">
        <v>163</v>
      </c>
      <c r="D14" s="137"/>
      <c r="E14" s="137">
        <v>6.1824999999999996E-3</v>
      </c>
    </row>
    <row r="15" spans="1:5">
      <c r="A15" s="133"/>
      <c r="B15" s="126"/>
      <c r="C15" s="137"/>
      <c r="D15" s="137"/>
      <c r="E15" s="137"/>
    </row>
    <row r="16" spans="1:5">
      <c r="A16" s="133">
        <v>3</v>
      </c>
      <c r="B16" s="126"/>
      <c r="C16" s="137" t="s">
        <v>164</v>
      </c>
      <c r="D16" s="137"/>
      <c r="E16" s="137">
        <v>2E-3</v>
      </c>
    </row>
    <row r="17" spans="1:5">
      <c r="A17" s="133"/>
      <c r="B17" s="126"/>
      <c r="C17" s="137"/>
      <c r="D17" s="137"/>
      <c r="E17" s="137"/>
    </row>
    <row r="18" spans="1:5">
      <c r="A18" s="133">
        <v>4</v>
      </c>
      <c r="B18" s="126"/>
      <c r="C18" s="137" t="s">
        <v>165</v>
      </c>
      <c r="D18" s="137"/>
      <c r="E18" s="137">
        <v>3.8494500000000001E-2</v>
      </c>
    </row>
    <row r="19" spans="1:5">
      <c r="A19" s="133"/>
      <c r="B19" s="126"/>
      <c r="C19" s="137"/>
      <c r="D19" s="137"/>
      <c r="E19" s="137"/>
    </row>
    <row r="20" spans="1:5">
      <c r="A20" s="133">
        <v>5</v>
      </c>
      <c r="B20" s="126"/>
      <c r="C20" s="137" t="s">
        <v>166</v>
      </c>
      <c r="D20" s="137"/>
      <c r="E20" s="138">
        <v>4.6676999999999996E-2</v>
      </c>
    </row>
    <row r="21" spans="1:5">
      <c r="A21" s="133"/>
      <c r="B21" s="126"/>
      <c r="C21" s="137"/>
      <c r="D21" s="137"/>
      <c r="E21" s="139"/>
    </row>
    <row r="22" spans="1:5">
      <c r="A22" s="133">
        <v>6</v>
      </c>
      <c r="B22" s="126"/>
      <c r="C22" s="137" t="s">
        <v>167</v>
      </c>
      <c r="D22" s="137"/>
      <c r="E22" s="139">
        <v>0.95332300000000003</v>
      </c>
    </row>
    <row r="23" spans="1:5">
      <c r="A23" s="126"/>
      <c r="B23" s="126"/>
      <c r="C23" s="137"/>
      <c r="D23" s="137"/>
      <c r="E23" s="139"/>
    </row>
    <row r="24" spans="1:5">
      <c r="A24" s="133">
        <v>7</v>
      </c>
      <c r="B24" s="126"/>
      <c r="C24" s="137" t="s">
        <v>280</v>
      </c>
      <c r="D24" s="140"/>
      <c r="E24" s="141">
        <v>0.20019799999999999</v>
      </c>
    </row>
    <row r="25" spans="1:5">
      <c r="A25" s="126"/>
      <c r="B25" s="126"/>
      <c r="C25" s="137"/>
      <c r="D25" s="137"/>
      <c r="E25" s="139"/>
    </row>
    <row r="26" spans="1:5" ht="15" thickBot="1">
      <c r="A26" s="133">
        <v>8</v>
      </c>
      <c r="B26" s="126"/>
      <c r="C26" s="136" t="s">
        <v>169</v>
      </c>
      <c r="D26" s="137"/>
      <c r="E26" s="142">
        <v>0.75312500000000004</v>
      </c>
    </row>
    <row r="27" spans="1:5" ht="15" thickTop="1"/>
    <row r="29" spans="1:5" ht="14.4" customHeight="1">
      <c r="A29" s="395" t="s">
        <v>281</v>
      </c>
      <c r="B29" s="395"/>
      <c r="C29" s="395"/>
      <c r="D29" s="395"/>
      <c r="E29" s="395"/>
    </row>
    <row r="30" spans="1:5">
      <c r="A30" s="126"/>
      <c r="B30" s="126"/>
      <c r="C30" s="243"/>
      <c r="D30" s="243"/>
      <c r="E30" s="243"/>
    </row>
    <row r="31" spans="1:5">
      <c r="A31" s="126" t="s">
        <v>282</v>
      </c>
      <c r="B31" s="126"/>
      <c r="C31" s="244"/>
      <c r="D31" s="244"/>
      <c r="E31" s="244"/>
    </row>
    <row r="32" spans="1:5">
      <c r="A32" s="151"/>
      <c r="B32" s="151"/>
      <c r="C32" s="151"/>
      <c r="D32" s="151"/>
      <c r="E32" s="151"/>
    </row>
    <row r="33" spans="1:5" ht="15.6">
      <c r="A33" s="245" t="s">
        <v>283</v>
      </c>
      <c r="B33" s="151"/>
      <c r="C33" s="151"/>
      <c r="D33" s="151"/>
      <c r="E33" s="151"/>
    </row>
  </sheetData>
  <mergeCells count="5">
    <mergeCell ref="A29:E29"/>
    <mergeCell ref="A2:E2"/>
    <mergeCell ref="A3:E3"/>
    <mergeCell ref="A5:E5"/>
    <mergeCell ref="A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X67"/>
  <sheetViews>
    <sheetView zoomScaleNormal="100" workbookViewId="0">
      <pane xSplit="3" ySplit="12" topLeftCell="J13" activePane="bottomRight" state="frozen"/>
      <selection pane="topRight" activeCell="D1" sqref="D1"/>
      <selection pane="bottomLeft" activeCell="A13" sqref="A13"/>
      <selection pane="bottomRight" activeCell="P33" sqref="P33"/>
    </sheetView>
  </sheetViews>
  <sheetFormatPr defaultColWidth="8.88671875" defaultRowHeight="14.4"/>
  <cols>
    <col min="1" max="1" width="13.88671875" style="151" customWidth="1"/>
    <col min="2" max="2" width="17.6640625" style="151" customWidth="1"/>
    <col min="3" max="3" width="15" style="151" customWidth="1"/>
    <col min="4" max="8" width="14.33203125" style="151" customWidth="1"/>
    <col min="9" max="9" width="12.5546875" style="151" customWidth="1"/>
    <col min="10" max="10" width="12.33203125" style="151" customWidth="1"/>
    <col min="11" max="11" width="12.44140625" style="151" customWidth="1"/>
    <col min="12" max="12" width="12.109375" style="151" customWidth="1"/>
    <col min="13" max="13" width="12.44140625" style="151" customWidth="1"/>
    <col min="14" max="14" width="14.6640625" style="151" customWidth="1"/>
    <col min="15" max="15" width="12.6640625" style="151" customWidth="1"/>
    <col min="16" max="16" width="12.44140625" style="151" customWidth="1"/>
    <col min="17" max="17" width="13.109375" style="151" customWidth="1"/>
    <col min="18" max="18" width="13" style="151" customWidth="1"/>
    <col min="19" max="19" width="13.33203125" style="151" customWidth="1"/>
    <col min="20" max="20" width="12.44140625" style="151" customWidth="1"/>
    <col min="21" max="21" width="12.33203125" style="151" customWidth="1"/>
    <col min="22" max="22" width="12.88671875" style="151" customWidth="1"/>
    <col min="23" max="23" width="13.33203125" style="151" customWidth="1"/>
    <col min="24" max="24" width="12.44140625" style="151" customWidth="1"/>
    <col min="25" max="25" width="12.6640625" style="151" customWidth="1"/>
    <col min="26" max="26" width="13.109375" style="151" customWidth="1"/>
    <col min="27" max="27" width="13.33203125" style="151" customWidth="1"/>
    <col min="28" max="28" width="13" style="151" customWidth="1"/>
    <col min="29" max="29" width="14.44140625" style="151" customWidth="1"/>
    <col min="30" max="30" width="13.5546875" style="151" customWidth="1"/>
    <col min="31" max="33" width="12.6640625" style="151" customWidth="1"/>
    <col min="34" max="36" width="12.109375" style="151" customWidth="1"/>
    <col min="37" max="37" width="11.5546875" style="151" customWidth="1"/>
    <col min="38" max="38" width="13.33203125" style="151" customWidth="1"/>
    <col min="39" max="39" width="13.109375" style="151" customWidth="1"/>
    <col min="40" max="49" width="11.5546875" style="151" bestFit="1" customWidth="1"/>
    <col min="50" max="16384" width="8.88671875" style="151"/>
  </cols>
  <sheetData>
    <row r="1" spans="1:49">
      <c r="C1" s="151" t="s">
        <v>347</v>
      </c>
      <c r="D1" s="291">
        <v>43101</v>
      </c>
      <c r="E1" s="291">
        <v>43132</v>
      </c>
      <c r="F1" s="291">
        <v>43160</v>
      </c>
      <c r="G1" s="291">
        <v>43191</v>
      </c>
      <c r="H1" s="291">
        <v>43221</v>
      </c>
      <c r="I1" s="291">
        <v>43252</v>
      </c>
      <c r="J1" s="291">
        <v>43282</v>
      </c>
      <c r="K1" s="291">
        <v>43313</v>
      </c>
      <c r="L1" s="291">
        <v>43344</v>
      </c>
      <c r="M1" s="291">
        <v>43374</v>
      </c>
      <c r="N1" s="291">
        <v>43405</v>
      </c>
      <c r="O1" s="291">
        <v>43435</v>
      </c>
      <c r="P1" s="291">
        <v>43466</v>
      </c>
      <c r="Q1" s="291">
        <v>43497</v>
      </c>
      <c r="R1" s="291">
        <v>43525</v>
      </c>
      <c r="S1" s="291">
        <v>43556</v>
      </c>
      <c r="T1" s="291">
        <v>43586</v>
      </c>
      <c r="U1" s="291">
        <v>43617</v>
      </c>
      <c r="V1" s="291">
        <v>43647</v>
      </c>
      <c r="W1" s="291">
        <v>43678</v>
      </c>
      <c r="X1" s="291">
        <v>43709</v>
      </c>
      <c r="Y1" s="291">
        <v>43739</v>
      </c>
      <c r="Z1" s="291">
        <v>43770</v>
      </c>
      <c r="AA1" s="291">
        <v>43800</v>
      </c>
      <c r="AB1" s="291">
        <v>43831</v>
      </c>
      <c r="AC1" s="291">
        <v>43862</v>
      </c>
      <c r="AD1" s="291">
        <v>43891</v>
      </c>
      <c r="AE1" s="291">
        <v>43922</v>
      </c>
      <c r="AF1" s="291">
        <v>43952</v>
      </c>
      <c r="AG1" s="291">
        <v>43983</v>
      </c>
      <c r="AH1" s="291">
        <v>44013</v>
      </c>
      <c r="AI1" s="291">
        <v>44044</v>
      </c>
      <c r="AJ1" s="291">
        <v>44075</v>
      </c>
      <c r="AK1" s="291">
        <v>44105</v>
      </c>
      <c r="AL1" s="291">
        <v>44136</v>
      </c>
      <c r="AM1" s="291">
        <v>44166</v>
      </c>
      <c r="AN1" s="291">
        <v>44197</v>
      </c>
      <c r="AO1" s="291">
        <v>44228</v>
      </c>
      <c r="AP1" s="291">
        <v>44256</v>
      </c>
      <c r="AQ1" s="291">
        <v>44287</v>
      </c>
      <c r="AR1" s="291">
        <v>44317</v>
      </c>
      <c r="AS1" s="291">
        <v>44348</v>
      </c>
      <c r="AT1" s="291">
        <v>44378</v>
      </c>
      <c r="AU1" s="291">
        <v>44409</v>
      </c>
      <c r="AV1" s="291">
        <v>44440</v>
      </c>
      <c r="AW1" s="291">
        <v>44470</v>
      </c>
    </row>
    <row r="2" spans="1:49">
      <c r="A2" s="397" t="s">
        <v>19</v>
      </c>
      <c r="B2" s="397"/>
      <c r="C2" s="292"/>
      <c r="D2" s="292"/>
      <c r="E2" s="292"/>
      <c r="F2" s="292"/>
      <c r="G2" s="292"/>
      <c r="H2" s="292"/>
    </row>
    <row r="3" spans="1:49">
      <c r="A3" s="293" t="s">
        <v>314</v>
      </c>
      <c r="B3" s="312" t="s">
        <v>344</v>
      </c>
      <c r="C3" s="292"/>
      <c r="D3" s="292" t="s">
        <v>346</v>
      </c>
      <c r="E3" s="292" t="s">
        <v>346</v>
      </c>
      <c r="F3" s="292" t="s">
        <v>346</v>
      </c>
      <c r="G3" s="292" t="s">
        <v>346</v>
      </c>
      <c r="H3" s="292" t="s">
        <v>346</v>
      </c>
      <c r="I3" s="314" t="s">
        <v>346</v>
      </c>
      <c r="J3" s="330" t="s">
        <v>346</v>
      </c>
      <c r="K3" s="334" t="s">
        <v>346</v>
      </c>
      <c r="L3" s="340" t="s">
        <v>346</v>
      </c>
      <c r="M3" s="367" t="s">
        <v>346</v>
      </c>
      <c r="N3" s="377" t="s">
        <v>346</v>
      </c>
      <c r="O3" s="382" t="s">
        <v>346</v>
      </c>
      <c r="P3" s="294">
        <v>269096124.85328448</v>
      </c>
      <c r="Q3" s="294">
        <v>220969040.82341322</v>
      </c>
      <c r="R3" s="294">
        <v>212731215.51071823</v>
      </c>
      <c r="S3" s="294">
        <v>170754523.24900281</v>
      </c>
      <c r="T3" s="294">
        <v>156360975.7966482</v>
      </c>
      <c r="U3" s="294">
        <v>148668087.39059395</v>
      </c>
      <c r="V3" s="294">
        <v>188439202.77841285</v>
      </c>
      <c r="W3" s="294">
        <v>180392735.78821561</v>
      </c>
      <c r="X3" s="294">
        <v>156834680.2126509</v>
      </c>
      <c r="Y3" s="294">
        <v>176283611.7278176</v>
      </c>
      <c r="Z3" s="294">
        <v>225173549.70547396</v>
      </c>
      <c r="AA3" s="294">
        <v>283209300.06458104</v>
      </c>
      <c r="AB3" s="294">
        <v>274772848.13945717</v>
      </c>
      <c r="AC3" s="294">
        <v>224389766.51455256</v>
      </c>
      <c r="AD3" s="294">
        <v>216629232.09181711</v>
      </c>
      <c r="AE3" s="294">
        <v>173277441.89511448</v>
      </c>
      <c r="AF3" s="294">
        <v>156610475.83180889</v>
      </c>
      <c r="AG3" s="294">
        <v>148547483.97841835</v>
      </c>
      <c r="AH3" s="294">
        <v>185529977.72392735</v>
      </c>
      <c r="AI3" s="294">
        <v>181124193.11311957</v>
      </c>
      <c r="AJ3" s="294">
        <v>155498592.58416045</v>
      </c>
      <c r="AK3" s="294">
        <v>174913594.78830299</v>
      </c>
      <c r="AL3" s="294">
        <v>223474602.89389163</v>
      </c>
      <c r="AM3" s="294">
        <v>284390385.49230736</v>
      </c>
      <c r="AN3" s="294">
        <v>278939315.33524585</v>
      </c>
      <c r="AO3" s="294">
        <v>227297463.52739656</v>
      </c>
      <c r="AP3" s="294">
        <v>220281413.2544322</v>
      </c>
      <c r="AQ3" s="294">
        <v>175693454.33211213</v>
      </c>
      <c r="AR3" s="294">
        <v>158308518.71301138</v>
      </c>
      <c r="AS3" s="294">
        <v>149582437.49889219</v>
      </c>
      <c r="AT3" s="294">
        <v>184855392.70456728</v>
      </c>
      <c r="AU3" s="294">
        <v>181603627.19813922</v>
      </c>
      <c r="AV3" s="294">
        <v>154419090.12636662</v>
      </c>
      <c r="AW3" s="294">
        <v>173723818.20166939</v>
      </c>
    </row>
    <row r="4" spans="1:49" s="297" customFormat="1">
      <c r="A4" s="295" t="s">
        <v>254</v>
      </c>
      <c r="B4" s="296"/>
      <c r="C4" s="296"/>
      <c r="D4" s="297">
        <v>4.2399999999999998E-3</v>
      </c>
      <c r="E4" s="297">
        <f t="shared" ref="E4:J4" si="0">D4</f>
        <v>4.2399999999999998E-3</v>
      </c>
      <c r="F4" s="297">
        <f t="shared" si="0"/>
        <v>4.2399999999999998E-3</v>
      </c>
      <c r="G4" s="297">
        <f t="shared" si="0"/>
        <v>4.2399999999999998E-3</v>
      </c>
      <c r="H4" s="297">
        <f t="shared" si="0"/>
        <v>4.2399999999999998E-3</v>
      </c>
      <c r="I4" s="297">
        <f t="shared" si="0"/>
        <v>4.2399999999999998E-3</v>
      </c>
      <c r="J4" s="297">
        <f t="shared" si="0"/>
        <v>4.2399999999999998E-3</v>
      </c>
      <c r="K4" s="297">
        <f t="shared" ref="K4:AW4" si="1">J4</f>
        <v>4.2399999999999998E-3</v>
      </c>
      <c r="L4" s="297">
        <f t="shared" si="1"/>
        <v>4.2399999999999998E-3</v>
      </c>
      <c r="M4" s="297">
        <f t="shared" si="1"/>
        <v>4.2399999999999998E-3</v>
      </c>
      <c r="N4" s="338">
        <v>-1.1100000000000001E-3</v>
      </c>
      <c r="O4" s="297">
        <f t="shared" si="1"/>
        <v>-1.1100000000000001E-3</v>
      </c>
      <c r="P4" s="297">
        <f t="shared" si="1"/>
        <v>-1.1100000000000001E-3</v>
      </c>
      <c r="Q4" s="297">
        <f t="shared" si="1"/>
        <v>-1.1100000000000001E-3</v>
      </c>
      <c r="R4" s="297">
        <f t="shared" si="1"/>
        <v>-1.1100000000000001E-3</v>
      </c>
      <c r="S4" s="297">
        <f t="shared" si="1"/>
        <v>-1.1100000000000001E-3</v>
      </c>
      <c r="T4" s="297">
        <f t="shared" si="1"/>
        <v>-1.1100000000000001E-3</v>
      </c>
      <c r="U4" s="297">
        <f t="shared" si="1"/>
        <v>-1.1100000000000001E-3</v>
      </c>
      <c r="V4" s="297">
        <f t="shared" si="1"/>
        <v>-1.1100000000000001E-3</v>
      </c>
      <c r="W4" s="297">
        <f t="shared" si="1"/>
        <v>-1.1100000000000001E-3</v>
      </c>
      <c r="X4" s="297">
        <f t="shared" si="1"/>
        <v>-1.1100000000000001E-3</v>
      </c>
      <c r="Y4" s="297">
        <f t="shared" si="1"/>
        <v>-1.1100000000000001E-3</v>
      </c>
      <c r="Z4" s="297">
        <f>ROUND(Z5-Z8,5)</f>
        <v>2.7899999999999999E-3</v>
      </c>
      <c r="AA4" s="297">
        <f t="shared" si="1"/>
        <v>2.7899999999999999E-3</v>
      </c>
      <c r="AB4" s="297">
        <f t="shared" si="1"/>
        <v>2.7899999999999999E-3</v>
      </c>
      <c r="AC4" s="297">
        <f t="shared" si="1"/>
        <v>2.7899999999999999E-3</v>
      </c>
      <c r="AD4" s="297">
        <f t="shared" si="1"/>
        <v>2.7899999999999999E-3</v>
      </c>
      <c r="AE4" s="297">
        <f t="shared" si="1"/>
        <v>2.7899999999999999E-3</v>
      </c>
      <c r="AF4" s="297">
        <f t="shared" si="1"/>
        <v>2.7899999999999999E-3</v>
      </c>
      <c r="AG4" s="297">
        <f t="shared" si="1"/>
        <v>2.7899999999999999E-3</v>
      </c>
      <c r="AH4" s="297">
        <f t="shared" si="1"/>
        <v>2.7899999999999999E-3</v>
      </c>
      <c r="AI4" s="297">
        <f t="shared" si="1"/>
        <v>2.7899999999999999E-3</v>
      </c>
      <c r="AJ4" s="297">
        <f t="shared" si="1"/>
        <v>2.7899999999999999E-3</v>
      </c>
      <c r="AK4" s="297">
        <f t="shared" si="1"/>
        <v>2.7899999999999999E-3</v>
      </c>
      <c r="AL4" s="297">
        <f>ROUND(AL5-AL8,5)</f>
        <v>1.09E-3</v>
      </c>
      <c r="AM4" s="297">
        <f t="shared" si="1"/>
        <v>1.09E-3</v>
      </c>
      <c r="AN4" s="297">
        <f t="shared" si="1"/>
        <v>1.09E-3</v>
      </c>
      <c r="AO4" s="297">
        <f t="shared" si="1"/>
        <v>1.09E-3</v>
      </c>
      <c r="AP4" s="297">
        <f t="shared" si="1"/>
        <v>1.09E-3</v>
      </c>
      <c r="AQ4" s="297">
        <f t="shared" si="1"/>
        <v>1.09E-3</v>
      </c>
      <c r="AR4" s="297">
        <f t="shared" si="1"/>
        <v>1.09E-3</v>
      </c>
      <c r="AS4" s="297">
        <f t="shared" si="1"/>
        <v>1.09E-3</v>
      </c>
      <c r="AT4" s="297">
        <f t="shared" si="1"/>
        <v>1.09E-3</v>
      </c>
      <c r="AU4" s="297">
        <f t="shared" si="1"/>
        <v>1.09E-3</v>
      </c>
      <c r="AV4" s="297">
        <f t="shared" si="1"/>
        <v>1.09E-3</v>
      </c>
      <c r="AW4" s="297">
        <f t="shared" si="1"/>
        <v>1.09E-3</v>
      </c>
    </row>
    <row r="5" spans="1:49">
      <c r="A5" s="293" t="s">
        <v>315</v>
      </c>
      <c r="B5" s="292"/>
      <c r="C5" s="292"/>
      <c r="D5" s="292"/>
      <c r="E5" s="292"/>
      <c r="F5" s="292"/>
      <c r="G5" s="292"/>
      <c r="H5" s="292"/>
      <c r="L5" s="222"/>
      <c r="N5" s="298">
        <f>ROUND((M16+M17+M22)*1.02/(SUM(N3:Y3)),5)</f>
        <v>-1.3699999999999999E-3</v>
      </c>
      <c r="O5" s="299">
        <v>0.95444899999999999</v>
      </c>
      <c r="P5" s="201" t="s">
        <v>252</v>
      </c>
      <c r="Z5" s="298">
        <f>ROUND((Y16+Y17+Y22)*1.02/(SUM(Z3:AK3)),5)</f>
        <v>3.82E-3</v>
      </c>
      <c r="AA5" s="300">
        <f>O5</f>
        <v>0.95444899999999999</v>
      </c>
      <c r="AB5" s="201" t="s">
        <v>252</v>
      </c>
      <c r="AL5" s="298">
        <f>ROUND((AK16+AK17+AK22)*1.025/(SUM(AL3:AW3)),5)</f>
        <v>1.09E-3</v>
      </c>
      <c r="AM5" s="300">
        <f>AA5</f>
        <v>0.95444899999999999</v>
      </c>
      <c r="AN5" s="201" t="s">
        <v>252</v>
      </c>
      <c r="AV5" s="222"/>
      <c r="AW5" s="300"/>
    </row>
    <row r="6" spans="1:49">
      <c r="A6" s="293" t="s">
        <v>316</v>
      </c>
      <c r="B6" s="292"/>
      <c r="C6" s="292"/>
      <c r="D6" s="292"/>
      <c r="E6" s="292"/>
      <c r="F6" s="292"/>
      <c r="G6" s="292"/>
      <c r="H6" s="292"/>
      <c r="L6" s="222"/>
      <c r="N6" s="301">
        <f>IF(M4&gt;0,N5*SUM(N3:Y3)-M4*SUM(N3:Y3),N5*SUM(N3:Y3))</f>
        <v>-10549774.41151355</v>
      </c>
      <c r="O6" s="338">
        <f>ROUND(N4/O5,5)</f>
        <v>-1.16E-3</v>
      </c>
      <c r="P6" s="339" t="s">
        <v>373</v>
      </c>
      <c r="Z6" s="301">
        <f>IF(Y4&gt;0,Z5*SUM(Z3:AK3)-Y4*SUM(Z3:AK3),Z5*SUM(Z3:AK3))</f>
        <v>9166764.0635654032</v>
      </c>
      <c r="AA6" s="297">
        <f>ROUND(Z4/AA5,5)</f>
        <v>2.9199999999999999E-3</v>
      </c>
      <c r="AB6" s="201" t="s">
        <v>317</v>
      </c>
      <c r="AL6" s="301">
        <f>IF(AK4&gt;0,AL5*SUM(AL3:AW3)-AK4*SUM(AL3:AW3),AL5*SUM(AL3:AW3))</f>
        <v>-4101368.1827726541</v>
      </c>
      <c r="AM6" s="297">
        <f>ROUND(AL4/AM5,5)</f>
        <v>1.14E-3</v>
      </c>
      <c r="AN6" s="201" t="s">
        <v>317</v>
      </c>
      <c r="AV6" s="222"/>
      <c r="AW6" s="297"/>
    </row>
    <row r="7" spans="1:49">
      <c r="A7" s="293" t="s">
        <v>318</v>
      </c>
      <c r="B7" s="292"/>
      <c r="C7" s="292"/>
      <c r="D7" s="292"/>
      <c r="E7" s="292"/>
      <c r="F7" s="292"/>
      <c r="G7" s="292"/>
      <c r="H7" s="292"/>
      <c r="L7" s="222" t="s">
        <v>319</v>
      </c>
      <c r="M7" s="302">
        <f>234050</f>
        <v>234050</v>
      </c>
      <c r="N7" s="301">
        <f>M7*1000*0.03</f>
        <v>7021500</v>
      </c>
      <c r="O7" s="303">
        <f>IF(M4&gt;0,M4*SUM(N3:Y3)+N7,N7)</f>
        <v>14994948.040074412</v>
      </c>
      <c r="P7" s="151" t="s">
        <v>320</v>
      </c>
      <c r="X7" s="222" t="s">
        <v>319</v>
      </c>
      <c r="Y7" s="301">
        <f>M7</f>
        <v>234050</v>
      </c>
      <c r="Z7" s="301">
        <f>Y7*1000*0.03</f>
        <v>7021500</v>
      </c>
      <c r="AA7" s="303">
        <f>IF(Y4&gt;0,Y4/AA5*SUM(Z3:AK3)+Z7,Z7)</f>
        <v>7021500</v>
      </c>
      <c r="AB7" s="151" t="s">
        <v>320</v>
      </c>
      <c r="AJ7" s="222" t="s">
        <v>319</v>
      </c>
      <c r="AK7" s="301">
        <f>Y7</f>
        <v>234050</v>
      </c>
      <c r="AL7" s="301">
        <f>AK7*1000*0.03</f>
        <v>7021500</v>
      </c>
      <c r="AM7" s="303">
        <f>IF(AK4&gt;0,AK4*SUM(AL3:AW3)+AL7,AL7)</f>
        <v>13752568.958785709</v>
      </c>
      <c r="AN7" s="151" t="s">
        <v>320</v>
      </c>
      <c r="AV7" s="222"/>
      <c r="AW7" s="304"/>
    </row>
    <row r="8" spans="1:49">
      <c r="A8" s="293" t="s">
        <v>360</v>
      </c>
      <c r="B8" s="292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277">
        <f>IF(N6&gt;N7,N5-N10,0)</f>
        <v>0</v>
      </c>
      <c r="Z8" s="277">
        <f>IF(Z6&gt;Z7,Z5-Z10,0)</f>
        <v>1.0272636560896965E-3</v>
      </c>
      <c r="AL8" s="277">
        <f>IF(AL6&gt;AL7,AL5-AL10,0)</f>
        <v>0</v>
      </c>
    </row>
    <row r="9" spans="1:49">
      <c r="A9" s="293" t="s">
        <v>322</v>
      </c>
      <c r="B9" s="292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277"/>
      <c r="Z9" s="301">
        <f>N8*Z3</f>
        <v>0</v>
      </c>
      <c r="AA9" s="301">
        <f>N8*AA3</f>
        <v>0</v>
      </c>
      <c r="AB9" s="301">
        <f>N8*AB3</f>
        <v>0</v>
      </c>
      <c r="AC9" s="301">
        <f>N8*AC3</f>
        <v>0</v>
      </c>
      <c r="AD9" s="301">
        <f>N8*AD3</f>
        <v>0</v>
      </c>
      <c r="AE9" s="301">
        <f>N8*AE3</f>
        <v>0</v>
      </c>
      <c r="AF9" s="301">
        <f>N8*AF3</f>
        <v>0</v>
      </c>
      <c r="AG9" s="301">
        <f>N8*AG3</f>
        <v>0</v>
      </c>
      <c r="AH9" s="301">
        <f>N8*AH3</f>
        <v>0</v>
      </c>
      <c r="AI9" s="301">
        <f>N8*AI3</f>
        <v>0</v>
      </c>
      <c r="AJ9" s="301">
        <f>N8*AJ3</f>
        <v>0</v>
      </c>
      <c r="AK9" s="301">
        <f>N8*AK3</f>
        <v>0</v>
      </c>
      <c r="AL9" s="301">
        <f>Z8*AL3</f>
        <v>229567.33761197218</v>
      </c>
      <c r="AM9" s="301">
        <f>Z8*AM3</f>
        <v>292143.90715758584</v>
      </c>
      <c r="AN9" s="301">
        <f>Z8*AN3</f>
        <v>286544.22089844139</v>
      </c>
      <c r="AO9" s="301">
        <f>Z8*AO3</f>
        <v>233494.42340306783</v>
      </c>
      <c r="AP9" s="301">
        <f>Z8*AP3</f>
        <v>226287.08994835336</v>
      </c>
      <c r="AQ9" s="301">
        <f>Z8*AQ3</f>
        <v>180483.50024823364</v>
      </c>
      <c r="AR9" s="301">
        <f>Z8*AR3</f>
        <v>162624.58772327221</v>
      </c>
      <c r="AS9" s="301">
        <f>Z8*AS3</f>
        <v>153660.60163192049</v>
      </c>
      <c r="AT9" s="301">
        <f>Z8*AT3</f>
        <v>189895.22655759039</v>
      </c>
      <c r="AU9" s="301">
        <f>Z8*AU3</f>
        <v>186554.80603471075</v>
      </c>
      <c r="AV9" s="301">
        <f>Z8*AV3</f>
        <v>158629.11909325572</v>
      </c>
      <c r="AW9" s="301">
        <f>Z8*AW3</f>
        <v>178460.16463570867</v>
      </c>
    </row>
    <row r="10" spans="1:49">
      <c r="A10" s="293" t="s">
        <v>358</v>
      </c>
      <c r="B10" s="315"/>
      <c r="C10" s="315"/>
      <c r="D10" s="315"/>
      <c r="E10" s="315"/>
      <c r="F10" s="315"/>
      <c r="G10" s="315"/>
      <c r="H10" s="315"/>
      <c r="L10" s="222"/>
      <c r="M10" s="302"/>
      <c r="N10" s="277">
        <f>O7/SUM(N3:Y3)*O5</f>
        <v>7.6105734309010239E-3</v>
      </c>
      <c r="O10" s="303"/>
      <c r="X10" s="222"/>
      <c r="Y10" s="301"/>
      <c r="Z10" s="277">
        <f>AA7/SUM(Z3:AK3)*AA5</f>
        <v>2.7927363439103035E-3</v>
      </c>
      <c r="AA10" s="277">
        <f>Z10</f>
        <v>2.7927363439103035E-3</v>
      </c>
      <c r="AB10" s="277">
        <f t="shared" ref="AB10:AK10" si="2">AA10</f>
        <v>2.7927363439103035E-3</v>
      </c>
      <c r="AC10" s="277">
        <f t="shared" si="2"/>
        <v>2.7927363439103035E-3</v>
      </c>
      <c r="AD10" s="277">
        <f t="shared" si="2"/>
        <v>2.7927363439103035E-3</v>
      </c>
      <c r="AE10" s="277">
        <f t="shared" si="2"/>
        <v>2.7927363439103035E-3</v>
      </c>
      <c r="AF10" s="277">
        <f t="shared" si="2"/>
        <v>2.7927363439103035E-3</v>
      </c>
      <c r="AG10" s="277">
        <f t="shared" si="2"/>
        <v>2.7927363439103035E-3</v>
      </c>
      <c r="AH10" s="277">
        <f t="shared" si="2"/>
        <v>2.7927363439103035E-3</v>
      </c>
      <c r="AI10" s="277">
        <f t="shared" si="2"/>
        <v>2.7927363439103035E-3</v>
      </c>
      <c r="AJ10" s="277">
        <f t="shared" si="2"/>
        <v>2.7927363439103035E-3</v>
      </c>
      <c r="AK10" s="277">
        <f t="shared" si="2"/>
        <v>2.7927363439103035E-3</v>
      </c>
      <c r="AL10" s="277">
        <f>AM7/SUM(AL3:AW3)*AM5</f>
        <v>5.4407243336441098E-3</v>
      </c>
      <c r="AM10" s="277">
        <f>AL10</f>
        <v>5.4407243336441098E-3</v>
      </c>
      <c r="AN10" s="277">
        <f t="shared" ref="AN10:AW10" si="3">AM10</f>
        <v>5.4407243336441098E-3</v>
      </c>
      <c r="AO10" s="277">
        <f t="shared" si="3"/>
        <v>5.4407243336441098E-3</v>
      </c>
      <c r="AP10" s="277">
        <f t="shared" si="3"/>
        <v>5.4407243336441098E-3</v>
      </c>
      <c r="AQ10" s="277">
        <f t="shared" si="3"/>
        <v>5.4407243336441098E-3</v>
      </c>
      <c r="AR10" s="277">
        <f t="shared" si="3"/>
        <v>5.4407243336441098E-3</v>
      </c>
      <c r="AS10" s="277">
        <f t="shared" si="3"/>
        <v>5.4407243336441098E-3</v>
      </c>
      <c r="AT10" s="277">
        <f t="shared" si="3"/>
        <v>5.4407243336441098E-3</v>
      </c>
      <c r="AU10" s="277">
        <f t="shared" si="3"/>
        <v>5.4407243336441098E-3</v>
      </c>
      <c r="AV10" s="277">
        <f t="shared" si="3"/>
        <v>5.4407243336441098E-3</v>
      </c>
      <c r="AW10" s="277">
        <f t="shared" si="3"/>
        <v>5.4407243336441098E-3</v>
      </c>
    </row>
    <row r="11" spans="1:49">
      <c r="A11" s="293" t="s">
        <v>359</v>
      </c>
      <c r="B11" s="31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1"/>
      <c r="O11" s="301">
        <f>SUMPRODUCT($Z3:$AK3,-$Z10:$AK10)-SUM($AL9:AM9)</f>
        <v>-7223374.8982695593</v>
      </c>
      <c r="P11" s="301">
        <f>SUMPRODUCT($Z3:$AK3,-$Z10:$AK10)-SUM($AL9:AN9)</f>
        <v>-7509919.1191680003</v>
      </c>
      <c r="Q11" s="301">
        <f>SUMPRODUCT($Z3:$AK3,-$Z10:$AK10)-SUM($AL9:AO9)</f>
        <v>-7743413.5425710678</v>
      </c>
      <c r="R11" s="301">
        <f>SUMPRODUCT($Z3:$AK3,-$Z10:$AK10)-SUM($AL9:AP9)</f>
        <v>-7969700.6325194221</v>
      </c>
      <c r="S11" s="301">
        <f>SUMPRODUCT($Z3:$AK3,-$Z10:$AK10)-SUM($AL9:AQ9)</f>
        <v>-8150184.132767655</v>
      </c>
      <c r="T11" s="301">
        <f>SUMPRODUCT($Z3:$AK3,-$Z10:$AK10)-SUM($AL9:AR9)</f>
        <v>-8312808.7204909269</v>
      </c>
      <c r="U11" s="301">
        <f>SUMPRODUCT($Z3:$AK3,-$Z10:$AK10)-SUM($AL9:AS9)</f>
        <v>-8466469.3221228477</v>
      </c>
      <c r="V11" s="301">
        <f>SUMPRODUCT($Z3:$AK3,-$Z10:$AK10)-SUM($AL9:AT9)</f>
        <v>-8656364.5486804377</v>
      </c>
      <c r="W11" s="301">
        <f>SUMPRODUCT($Z3:$AK3,-$Z10:$AK10)-SUM($AL9:AU9)</f>
        <v>-8842919.3547151498</v>
      </c>
      <c r="X11" s="301">
        <f>SUMPRODUCT($Z3:$AK3,-$Z10:$AK10)-SUM($AL9:AV9)</f>
        <v>-9001548.4738084041</v>
      </c>
      <c r="Y11" s="301">
        <f>SUMPRODUCT($Z3:$AK3,-$Z10:$AK10)-SUM($AL9:AW9)</f>
        <v>-9180008.6384441126</v>
      </c>
      <c r="Z11" s="301"/>
      <c r="AA11" s="303"/>
      <c r="AJ11" s="222"/>
      <c r="AK11" s="301"/>
      <c r="AL11" s="301"/>
      <c r="AM11" s="303"/>
      <c r="AV11" s="222"/>
      <c r="AW11" s="304"/>
    </row>
    <row r="12" spans="1:49">
      <c r="A12" s="293" t="s">
        <v>361</v>
      </c>
      <c r="O12" s="326">
        <f>IF($Y16&gt;0,IF(O11+O15+O16+O22&lt;0,0,+O11+O15+O16+O22),0)</f>
        <v>1396884.3755832305</v>
      </c>
      <c r="P12" s="280">
        <f>IF($Y16&gt;0,IF(P11+P16+P22&lt;0,0,+P11+P16+P22),0)</f>
        <v>1145970.5596833806</v>
      </c>
      <c r="Q12" s="280">
        <f t="shared" ref="Q12:Y12" si="4">IF($Y16&gt;0,IF(Q11+Q16+Q22&lt;0,0,+Q11+Q16+Q22),0)</f>
        <v>948253.81361956522</v>
      </c>
      <c r="R12" s="280">
        <f t="shared" si="4"/>
        <v>757892.28207679838</v>
      </c>
      <c r="S12" s="280">
        <f t="shared" si="4"/>
        <v>613482.83254222944</v>
      </c>
      <c r="T12" s="280">
        <f t="shared" si="4"/>
        <v>487081.40160890482</v>
      </c>
      <c r="U12" s="280">
        <f t="shared" si="4"/>
        <v>369793.67914832942</v>
      </c>
      <c r="V12" s="280">
        <f t="shared" si="4"/>
        <v>216421.67299599387</v>
      </c>
      <c r="W12" s="280">
        <f t="shared" si="4"/>
        <v>66541.050010878593</v>
      </c>
      <c r="X12" s="280">
        <f t="shared" si="4"/>
        <v>0</v>
      </c>
      <c r="Y12" s="280">
        <f t="shared" si="4"/>
        <v>0</v>
      </c>
    </row>
    <row r="13" spans="1:49" ht="5.4" customHeight="1"/>
    <row r="14" spans="1:49">
      <c r="A14" s="151" t="s">
        <v>323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</row>
    <row r="15" spans="1:49">
      <c r="A15" s="151">
        <v>186328</v>
      </c>
      <c r="B15" s="151" t="s">
        <v>324</v>
      </c>
      <c r="C15" s="302">
        <v>-2092789.9</v>
      </c>
      <c r="D15" s="306">
        <f>0-D26+(0+0-D26)/2*D24/12</f>
        <v>341177.85259188991</v>
      </c>
      <c r="E15" s="301">
        <f>D15-E26+(D15+D15-E26)/2*E24/12</f>
        <v>2079411.3910603344</v>
      </c>
      <c r="F15" s="301">
        <f>E15-F26+(E15+E15-F26)/2*F24/12</f>
        <v>2724630.6129319076</v>
      </c>
      <c r="G15" s="301">
        <f>F15-G26+(F15+F15-G26)/2*G24/12</f>
        <v>3543429.221483204</v>
      </c>
      <c r="H15" s="301">
        <f>G15-H26+(G15+G15-H26)/2*H24/12</f>
        <v>4699800.7904610932</v>
      </c>
      <c r="I15" s="301">
        <f>H15-I26+(H15+H15-I26)/2*I24/12</f>
        <v>5305351.9698947705</v>
      </c>
      <c r="J15" s="301">
        <f t="shared" ref="J15:O15" si="5">I15-J26+(I15+I15-J26)/2*J$24/12</f>
        <v>6315433.2219057959</v>
      </c>
      <c r="K15" s="301">
        <f t="shared" si="5"/>
        <v>4770285.5495783361</v>
      </c>
      <c r="L15" s="301">
        <f t="shared" si="5"/>
        <v>6601759.6787987724</v>
      </c>
      <c r="M15" s="301">
        <f t="shared" si="5"/>
        <v>7458007.1532744737</v>
      </c>
      <c r="N15" s="301">
        <f t="shared" si="5"/>
        <v>8343980.5316406749</v>
      </c>
      <c r="O15" s="301">
        <f t="shared" si="5"/>
        <v>8620259.2738527898</v>
      </c>
      <c r="P15" s="306">
        <f>0-P26+(0+0-P26)/2*P24/12</f>
        <v>0</v>
      </c>
      <c r="Q15" s="301">
        <f>P15-Q26+(P15+P15-Q26)/2*Q24/12</f>
        <v>0</v>
      </c>
      <c r="R15" s="301">
        <f t="shared" ref="R15:AA15" si="6">Q15-R26+(Q15+Q15-R26)/2*R24/12</f>
        <v>0</v>
      </c>
      <c r="S15" s="301">
        <f t="shared" si="6"/>
        <v>0</v>
      </c>
      <c r="T15" s="301">
        <f t="shared" si="6"/>
        <v>0</v>
      </c>
      <c r="U15" s="301">
        <f t="shared" si="6"/>
        <v>0</v>
      </c>
      <c r="V15" s="301">
        <f t="shared" si="6"/>
        <v>0</v>
      </c>
      <c r="W15" s="301">
        <f t="shared" si="6"/>
        <v>0</v>
      </c>
      <c r="X15" s="301">
        <f t="shared" si="6"/>
        <v>0</v>
      </c>
      <c r="Y15" s="301">
        <f t="shared" si="6"/>
        <v>0</v>
      </c>
      <c r="Z15" s="301">
        <f t="shared" si="6"/>
        <v>0</v>
      </c>
      <c r="AA15" s="301">
        <f t="shared" si="6"/>
        <v>0</v>
      </c>
      <c r="AB15" s="306">
        <f>0-AB26+(0+0-AB26)/2*AB24/12</f>
        <v>0</v>
      </c>
      <c r="AC15" s="301">
        <f>AB15-AC26+(AB15+AB15-AC26)/2*AC24/12</f>
        <v>0</v>
      </c>
      <c r="AD15" s="301">
        <f t="shared" ref="AD15:AM15" si="7">AC15-AD26+(AC15+AC15-AD26)/2*AD24/12</f>
        <v>0</v>
      </c>
      <c r="AE15" s="301">
        <f t="shared" si="7"/>
        <v>0</v>
      </c>
      <c r="AF15" s="301">
        <f t="shared" si="7"/>
        <v>0</v>
      </c>
      <c r="AG15" s="301">
        <f t="shared" si="7"/>
        <v>0</v>
      </c>
      <c r="AH15" s="301">
        <f t="shared" si="7"/>
        <v>0</v>
      </c>
      <c r="AI15" s="301">
        <f t="shared" si="7"/>
        <v>0</v>
      </c>
      <c r="AJ15" s="301">
        <f t="shared" si="7"/>
        <v>0</v>
      </c>
      <c r="AK15" s="301">
        <f t="shared" si="7"/>
        <v>0</v>
      </c>
      <c r="AL15" s="301">
        <f t="shared" si="7"/>
        <v>0</v>
      </c>
      <c r="AM15" s="301">
        <f t="shared" si="7"/>
        <v>0</v>
      </c>
      <c r="AN15" s="306">
        <f>0-AN26+(0+0-AN26)/2*AN24/12</f>
        <v>0</v>
      </c>
      <c r="AO15" s="301">
        <f>AN15-AO26+(AN15+AN15-AO26)/2*AO24/12</f>
        <v>0</v>
      </c>
      <c r="AP15" s="301">
        <f t="shared" ref="AP15:AW15" si="8">AO15-AP26+(AO15+AO15-AP26)/2*AP24/12</f>
        <v>0</v>
      </c>
      <c r="AQ15" s="301">
        <f t="shared" si="8"/>
        <v>0</v>
      </c>
      <c r="AR15" s="301">
        <f t="shared" si="8"/>
        <v>0</v>
      </c>
      <c r="AS15" s="301">
        <f t="shared" si="8"/>
        <v>0</v>
      </c>
      <c r="AT15" s="301">
        <f t="shared" si="8"/>
        <v>0</v>
      </c>
      <c r="AU15" s="301">
        <f t="shared" si="8"/>
        <v>0</v>
      </c>
      <c r="AV15" s="301">
        <f t="shared" si="8"/>
        <v>0</v>
      </c>
      <c r="AW15" s="301">
        <f t="shared" si="8"/>
        <v>0</v>
      </c>
    </row>
    <row r="16" spans="1:49">
      <c r="A16" s="151">
        <v>182329</v>
      </c>
      <c r="B16" s="151" t="s">
        <v>325</v>
      </c>
      <c r="C16" s="302">
        <v>0</v>
      </c>
      <c r="D16" s="306">
        <f>C15+(C15+C22)*D24/12</f>
        <v>-2102780.6119375001</v>
      </c>
      <c r="E16" s="301">
        <f>D16+(D16+D22)*E24/12</f>
        <v>-2112806.7076464454</v>
      </c>
      <c r="F16" s="301">
        <f>E16+(E16+E22)*F24/12</f>
        <v>-2122868.31244436</v>
      </c>
      <c r="G16" s="301">
        <f>F16+(F16+F22)*G24/12</f>
        <v>-2133488.2327332152</v>
      </c>
      <c r="H16" s="301">
        <f>G16+(G16+G22)*H24/12</f>
        <v>-2144147.7122251466</v>
      </c>
      <c r="I16" s="301">
        <f>H16+(H16+H22)*I24/12</f>
        <v>-2154846.8982781852</v>
      </c>
      <c r="J16" s="301">
        <f>I16+(I16+I22)*J$24/12</f>
        <v>-2166114.4821806224</v>
      </c>
      <c r="K16" s="301">
        <f>J16+(J16+J22)*K$24/12</f>
        <v>-2177426.1035568118</v>
      </c>
      <c r="L16" s="301">
        <f>K16+(K16+K22)*L$24/12</f>
        <v>-2188781.9345198795</v>
      </c>
      <c r="M16" s="301">
        <f>L16+(L16+L22)*M$24/12</f>
        <v>-2200838.4501158949</v>
      </c>
      <c r="N16" s="301">
        <v>0</v>
      </c>
      <c r="O16" s="301">
        <v>0</v>
      </c>
      <c r="P16" s="306">
        <f>O15+(O15+O22)*P24/12</f>
        <v>8655889.6788513809</v>
      </c>
      <c r="Q16" s="301">
        <f>P16+(P16+P22)*Q24/12</f>
        <v>8691667.356190633</v>
      </c>
      <c r="R16" s="301">
        <f t="shared" ref="R16:Y16" si="9">Q16+(Q16+Q22)*R24/12</f>
        <v>8727592.9145962205</v>
      </c>
      <c r="S16" s="301">
        <f t="shared" si="9"/>
        <v>8763666.9653098844</v>
      </c>
      <c r="T16" s="301">
        <f t="shared" si="9"/>
        <v>8799890.1220998317</v>
      </c>
      <c r="U16" s="301">
        <f t="shared" si="9"/>
        <v>8836263.0012711771</v>
      </c>
      <c r="V16" s="301">
        <f t="shared" si="9"/>
        <v>8872786.2216764316</v>
      </c>
      <c r="W16" s="301">
        <f t="shared" si="9"/>
        <v>8909460.4047260284</v>
      </c>
      <c r="X16" s="301">
        <f t="shared" si="9"/>
        <v>8946286.1743988954</v>
      </c>
      <c r="Y16" s="301">
        <f t="shared" si="9"/>
        <v>8983264.1572530773</v>
      </c>
      <c r="Z16" s="301">
        <v>0</v>
      </c>
      <c r="AA16" s="301">
        <v>0</v>
      </c>
      <c r="AB16" s="306">
        <f>AA15+(AA15+AA22)*AB24/12</f>
        <v>0</v>
      </c>
      <c r="AC16" s="301">
        <f>AB16+(AB16+AB22)*AC24/12</f>
        <v>0</v>
      </c>
      <c r="AD16" s="301">
        <f t="shared" ref="AD16:AK16" si="10">AC16+(AC16+AC22)*AD24/12</f>
        <v>0</v>
      </c>
      <c r="AE16" s="301">
        <f t="shared" si="10"/>
        <v>0</v>
      </c>
      <c r="AF16" s="301">
        <f t="shared" si="10"/>
        <v>0</v>
      </c>
      <c r="AG16" s="301">
        <f t="shared" si="10"/>
        <v>0</v>
      </c>
      <c r="AH16" s="301">
        <f t="shared" si="10"/>
        <v>0</v>
      </c>
      <c r="AI16" s="301">
        <f t="shared" si="10"/>
        <v>0</v>
      </c>
      <c r="AJ16" s="301">
        <f t="shared" si="10"/>
        <v>0</v>
      </c>
      <c r="AK16" s="301">
        <f t="shared" si="10"/>
        <v>0</v>
      </c>
      <c r="AL16" s="301">
        <v>0</v>
      </c>
      <c r="AM16" s="301">
        <v>0</v>
      </c>
      <c r="AN16" s="306">
        <f>AM15+(AM15+AM22)*AN24/12</f>
        <v>0</v>
      </c>
      <c r="AO16" s="301">
        <f>AN16+(AN16+AN22)*AO24/12</f>
        <v>0</v>
      </c>
      <c r="AP16" s="301">
        <f t="shared" ref="AP16:AW16" si="11">AO16+(AO16+AO22)*AP24/12</f>
        <v>0</v>
      </c>
      <c r="AQ16" s="301">
        <f t="shared" si="11"/>
        <v>0</v>
      </c>
      <c r="AR16" s="301">
        <f t="shared" si="11"/>
        <v>0</v>
      </c>
      <c r="AS16" s="301">
        <f t="shared" si="11"/>
        <v>0</v>
      </c>
      <c r="AT16" s="301">
        <f t="shared" si="11"/>
        <v>0</v>
      </c>
      <c r="AU16" s="301">
        <f t="shared" si="11"/>
        <v>0</v>
      </c>
      <c r="AV16" s="301">
        <f t="shared" si="11"/>
        <v>0</v>
      </c>
      <c r="AW16" s="301">
        <f t="shared" si="11"/>
        <v>0</v>
      </c>
    </row>
    <row r="17" spans="1:50">
      <c r="A17" s="151">
        <v>182328</v>
      </c>
      <c r="B17" s="151" t="s">
        <v>326</v>
      </c>
      <c r="C17" s="302">
        <v>8212539.75</v>
      </c>
      <c r="D17" s="301">
        <f t="shared" ref="D17:I17" si="12">C17-D27+(C17+C17-D27)/2*D24/12</f>
        <v>7077316.9058760423</v>
      </c>
      <c r="E17" s="301">
        <f t="shared" si="12"/>
        <v>6183807.4455187293</v>
      </c>
      <c r="F17" s="301">
        <f t="shared" si="12"/>
        <v>5225694.8171924409</v>
      </c>
      <c r="G17" s="301">
        <f t="shared" si="12"/>
        <v>4503526.432813582</v>
      </c>
      <c r="H17" s="301">
        <f t="shared" si="12"/>
        <v>3892086.3308411143</v>
      </c>
      <c r="I17" s="301">
        <f t="shared" si="12"/>
        <v>3298325.1253019138</v>
      </c>
      <c r="J17" s="301">
        <f>I17-J27+(I17+I17-J27)/2*J$24/12</f>
        <v>2523815.9728441001</v>
      </c>
      <c r="K17" s="301">
        <f>J17-K27+(J17+J17-K27)/2*K$24/12</f>
        <v>1674081.5778774268</v>
      </c>
      <c r="L17" s="301">
        <f>K17-L27+(K17+K17-L27)/2*L$24/12</f>
        <v>1088330.496507657</v>
      </c>
      <c r="M17" s="301">
        <f>L17-M27+(L17+L17-M27)/2*M$24/12</f>
        <v>411850.24736628862</v>
      </c>
      <c r="N17" s="306">
        <f>IF(M16+M17+M22&gt;0,(M16+M17+M22)-N27+(M16+M17+M22-N27/2)*N24/12,0)</f>
        <v>0</v>
      </c>
      <c r="O17" s="301">
        <f>IF(N17&lt;&gt;0,N17-O27+(N17+N17-O27)/2*O$24/12,0)</f>
        <v>0</v>
      </c>
      <c r="P17" s="301">
        <f>IF(O17&lt;&gt;0,O17-P27+(O17+O17-P27)/2*P24/12,0)</f>
        <v>0</v>
      </c>
      <c r="Q17" s="301">
        <f>IF(P17&lt;&gt;0,P17-Q27+(P17+P17-Q27)/2*Q24/12,0)</f>
        <v>0</v>
      </c>
      <c r="R17" s="301">
        <f t="shared" ref="R17:Y17" si="13">IF(Q17&lt;&gt;0,Q17-R27+(Q17+Q17-R27)/2*R24/12,0)</f>
        <v>0</v>
      </c>
      <c r="S17" s="301">
        <f t="shared" si="13"/>
        <v>0</v>
      </c>
      <c r="T17" s="301">
        <f t="shared" si="13"/>
        <v>0</v>
      </c>
      <c r="U17" s="301">
        <f t="shared" si="13"/>
        <v>0</v>
      </c>
      <c r="V17" s="301">
        <f t="shared" si="13"/>
        <v>0</v>
      </c>
      <c r="W17" s="301">
        <f t="shared" si="13"/>
        <v>0</v>
      </c>
      <c r="X17" s="301">
        <f t="shared" si="13"/>
        <v>0</v>
      </c>
      <c r="Y17" s="301">
        <f t="shared" si="13"/>
        <v>0</v>
      </c>
      <c r="Z17" s="306">
        <f>IF(Y16+Y17+Y22&gt;0,(Y16+Y17+Y22)-Z27+(Y16+Y17+Y22-Z27/2)*Z24/12,0)</f>
        <v>8390862.4280705154</v>
      </c>
      <c r="AA17" s="301">
        <f>IF(Z17&lt;&gt;0,Z17-AA27+(Z17+Z17-AA27)/2*AA$24/12,0)</f>
        <v>7633757.7274355199</v>
      </c>
      <c r="AB17" s="301">
        <f>IF(AA17&lt;&gt;0,AA17-AB27+(AA17+AA17-AB27)/2*AB24/12,0)</f>
        <v>6897110.0061574625</v>
      </c>
      <c r="AC17" s="301">
        <f>IF(AB17&lt;&gt;0,AB17-AC27+(AB17+AB17-AC27)/2*AC24/12,0)</f>
        <v>6298276.7808802556</v>
      </c>
      <c r="AD17" s="301">
        <f t="shared" ref="AD17:AK17" si="14">IF(AC17&lt;&gt;0,AC17-AD27+(AC17+AC17-AD27)/2*AD24/12,0)</f>
        <v>5718665.0165528161</v>
      </c>
      <c r="AE17" s="301">
        <f t="shared" si="14"/>
        <v>5257858.9846705645</v>
      </c>
      <c r="AF17" s="301">
        <f t="shared" si="14"/>
        <v>4841745.2248994764</v>
      </c>
      <c r="AG17" s="301">
        <f t="shared" si="14"/>
        <v>4446453.7667366536</v>
      </c>
      <c r="AH17" s="301">
        <f t="shared" si="14"/>
        <v>3946134.0386045184</v>
      </c>
      <c r="AI17" s="301">
        <f t="shared" si="14"/>
        <v>3456063.8650809899</v>
      </c>
      <c r="AJ17" s="301">
        <f t="shared" si="14"/>
        <v>3035611.2508620103</v>
      </c>
      <c r="AK17" s="301">
        <f t="shared" si="14"/>
        <v>2559140.962785325</v>
      </c>
      <c r="AL17" s="306">
        <f>IF(AK16+AK17+AK22&gt;0,(AK16+AK17+AK22)-AL27+(AK16+AK17+AK22-AL27/2)*AL24/12,0)</f>
        <v>2325628.0144883767</v>
      </c>
      <c r="AM17" s="301">
        <f>IF(AL17&lt;&gt;0,AL17-AM27+(AL17+AL17-AM27)/2*AM$24/12,0)</f>
        <v>2024614.4533532611</v>
      </c>
      <c r="AN17" s="301">
        <f>IF(AM17&lt;&gt;0,AM17-AN27+(AM17+AM17-AN27)/2*AN24/12,0)</f>
        <v>1728310.6487473582</v>
      </c>
      <c r="AO17" s="301">
        <f>IF(AN17&lt;&gt;0,AN17-AO27+(AN17+AN17-AO27)/2*AO24/12,0)</f>
        <v>1487188.0720978123</v>
      </c>
      <c r="AP17" s="301">
        <f t="shared" ref="AP17:AW17" si="15">IF(AO17&lt;&gt;0,AO17-AP27+(AO17+AO17-AP27)/2*AP24/12,0)</f>
        <v>1252732.1550848943</v>
      </c>
      <c r="AQ17" s="301">
        <f t="shared" si="15"/>
        <v>1066008.4706491176</v>
      </c>
      <c r="AR17" s="301">
        <f t="shared" si="15"/>
        <v>897501.73727413069</v>
      </c>
      <c r="AS17" s="301">
        <f t="shared" si="15"/>
        <v>737829.59487686539</v>
      </c>
      <c r="AT17" s="301">
        <f t="shared" si="15"/>
        <v>538970.4949064122</v>
      </c>
      <c r="AU17" s="301">
        <f t="shared" si="15"/>
        <v>342841.1935351853</v>
      </c>
      <c r="AV17" s="301">
        <f t="shared" si="15"/>
        <v>175593.60749369979</v>
      </c>
      <c r="AW17" s="301">
        <f t="shared" si="15"/>
        <v>-13430.909289614858</v>
      </c>
    </row>
    <row r="18" spans="1:50" ht="15" thickBot="1">
      <c r="A18" s="151">
        <v>254328</v>
      </c>
      <c r="B18" s="151" t="s">
        <v>327</v>
      </c>
      <c r="C18" s="302">
        <v>0</v>
      </c>
      <c r="N18" s="306">
        <f>IF((M16+M17+M22)&lt;0,(M16+M17+M22)-N27+(M16+M17+M22-N27/2)*N24/12,0)</f>
        <v>-2406937.0381841939</v>
      </c>
      <c r="O18" s="301">
        <f>IF(N18&lt;&gt;0,N18-O27+(N18+N18-O27)/2*O$24/12,0)</f>
        <v>-2135579.8355097636</v>
      </c>
      <c r="P18" s="301">
        <f>IF(O18&lt;&gt;0,O18-P27+(O18+O18-P27)/2*P24/12,0)</f>
        <v>-1845092.8937323114</v>
      </c>
      <c r="Q18" s="301">
        <f>IF(P18&lt;&gt;0,P18-Q27+(P18+P18-Q27)/2*Q24/12,0)</f>
        <v>-1606936.7393994341</v>
      </c>
      <c r="R18" s="301">
        <f t="shared" ref="R18:Y18" si="16">IF(Q18&lt;&gt;0,Q18-R27+(Q18+Q18-R27)/2*R24/12,0)</f>
        <v>-1376959.0899636729</v>
      </c>
      <c r="S18" s="301">
        <f t="shared" si="16"/>
        <v>-1192721.2891861298</v>
      </c>
      <c r="T18" s="301">
        <f t="shared" si="16"/>
        <v>-1023731.8286353421</v>
      </c>
      <c r="U18" s="301">
        <f t="shared" si="16"/>
        <v>-862600.63193100144</v>
      </c>
      <c r="V18" s="301">
        <f t="shared" si="16"/>
        <v>-656566.25326110434</v>
      </c>
      <c r="W18" s="301">
        <f t="shared" si="16"/>
        <v>-458630.30278043268</v>
      </c>
      <c r="X18" s="301">
        <f t="shared" si="16"/>
        <v>-286079.70090614149</v>
      </c>
      <c r="Y18" s="301">
        <f t="shared" si="16"/>
        <v>-91182.960046705703</v>
      </c>
      <c r="Z18" s="306">
        <f>IF((Y16+Y17+Y22)&lt;0,(Y16+Y17+Y22)-Z27+(Y16+Y17+Y22-Z27/2)*Z24/12,0)</f>
        <v>0</v>
      </c>
      <c r="AA18" s="301">
        <f>IF(Z18&lt;&gt;0,Z18-AA27+(Z18+Z18-AA27)/2*AA$24/12,0)</f>
        <v>0</v>
      </c>
      <c r="AB18" s="301">
        <f>IF(AA18&lt;&gt;0,AA18-AB27+(AA18+AA18-AB27)/2*AB24/12,0)</f>
        <v>0</v>
      </c>
      <c r="AC18" s="301">
        <f>IF(AB18&lt;&gt;0,AB18-AC27+(AB18+AB18-AC27)/2*AC24/12,0)</f>
        <v>0</v>
      </c>
      <c r="AD18" s="301">
        <f t="shared" ref="AD18:AK18" si="17">IF(AC18&lt;&gt;0,AC18-AD27+(AC18+AC18-AD27)/2*AD24/12,0)</f>
        <v>0</v>
      </c>
      <c r="AE18" s="301">
        <f t="shared" si="17"/>
        <v>0</v>
      </c>
      <c r="AF18" s="301">
        <f t="shared" si="17"/>
        <v>0</v>
      </c>
      <c r="AG18" s="301">
        <f t="shared" si="17"/>
        <v>0</v>
      </c>
      <c r="AH18" s="301">
        <f t="shared" si="17"/>
        <v>0</v>
      </c>
      <c r="AI18" s="301">
        <f t="shared" si="17"/>
        <v>0</v>
      </c>
      <c r="AJ18" s="301">
        <f t="shared" si="17"/>
        <v>0</v>
      </c>
      <c r="AK18" s="301">
        <f t="shared" si="17"/>
        <v>0</v>
      </c>
      <c r="AL18" s="306">
        <f>IF((AK16+AK17+AK22)&lt;0,(AK16+AK17+AK22)-AL27+(AK16+AK17+AK22-AL27/2)*AL24/12,0)</f>
        <v>0</v>
      </c>
      <c r="AM18" s="301">
        <f>IF(AL18&lt;&gt;0,AL18-AM27+(AL18+AL18-AM27)/2*AM$24/12,0)</f>
        <v>0</v>
      </c>
      <c r="AN18" s="301">
        <f>IF(AM18&lt;&gt;0,AM18-AN27+(AM18+AM18-AN27)/2*AN24/12,0)</f>
        <v>0</v>
      </c>
      <c r="AO18" s="301">
        <f>IF(AN18&lt;&gt;0,AN18-AO27+(AN18+AN18-AO27)/2*AO24/12,0)</f>
        <v>0</v>
      </c>
      <c r="AP18" s="301">
        <f t="shared" ref="AP18:AW18" si="18">IF(AO18&lt;&gt;0,AO18-AP27+(AO18+AO18-AP27)/2*AP24/12,0)</f>
        <v>0</v>
      </c>
      <c r="AQ18" s="301">
        <f t="shared" si="18"/>
        <v>0</v>
      </c>
      <c r="AR18" s="301">
        <f t="shared" si="18"/>
        <v>0</v>
      </c>
      <c r="AS18" s="301">
        <f t="shared" si="18"/>
        <v>0</v>
      </c>
      <c r="AT18" s="301">
        <f t="shared" si="18"/>
        <v>0</v>
      </c>
      <c r="AU18" s="301">
        <f t="shared" si="18"/>
        <v>0</v>
      </c>
      <c r="AV18" s="301">
        <f t="shared" si="18"/>
        <v>0</v>
      </c>
      <c r="AW18" s="301">
        <f t="shared" si="18"/>
        <v>0</v>
      </c>
    </row>
    <row r="19" spans="1:50" ht="15" thickBot="1">
      <c r="A19" s="151">
        <v>253311</v>
      </c>
      <c r="B19" s="151" t="s">
        <v>328</v>
      </c>
      <c r="C19" s="302">
        <v>0</v>
      </c>
      <c r="N19" s="301"/>
      <c r="O19" s="332">
        <f>-O12</f>
        <v>-1396884.3755832305</v>
      </c>
      <c r="AA19" s="307"/>
      <c r="AM19" s="307"/>
    </row>
    <row r="20" spans="1:50">
      <c r="A20" s="151">
        <v>253312</v>
      </c>
      <c r="B20" s="151" t="s">
        <v>329</v>
      </c>
      <c r="C20" s="302">
        <v>0</v>
      </c>
      <c r="D20" s="331">
        <f>SUM(AB9:AK9)</f>
        <v>0</v>
      </c>
      <c r="E20" s="331">
        <f>SUM(AC9:AK9)</f>
        <v>0</v>
      </c>
      <c r="F20" s="331">
        <f>SUM(AD9:AK9)</f>
        <v>0</v>
      </c>
      <c r="G20" s="331">
        <f>SUM(AE9:AK9)</f>
        <v>0</v>
      </c>
      <c r="H20" s="331">
        <f>SUM(AF9:AK9)</f>
        <v>0</v>
      </c>
      <c r="I20" s="331">
        <f>SUM(AG9:AK9)</f>
        <v>0</v>
      </c>
      <c r="J20" s="331">
        <f>SUM(AH9:AK9)</f>
        <v>0</v>
      </c>
      <c r="K20" s="331">
        <f>SUM(AI9:AK9)</f>
        <v>0</v>
      </c>
      <c r="L20" s="331">
        <f>SUM(AJ9:AK9)</f>
        <v>0</v>
      </c>
      <c r="M20" s="331">
        <f>SUM(AK9:AK9)</f>
        <v>0</v>
      </c>
      <c r="N20" s="301"/>
      <c r="O20" s="303"/>
      <c r="P20" s="303">
        <f>-P12</f>
        <v>-1145970.5596833806</v>
      </c>
      <c r="Q20" s="303">
        <f t="shared" ref="Q20:Y20" si="19">-Q12</f>
        <v>-948253.81361956522</v>
      </c>
      <c r="R20" s="303">
        <f t="shared" si="19"/>
        <v>-757892.28207679838</v>
      </c>
      <c r="S20" s="303">
        <f t="shared" si="19"/>
        <v>-613482.83254222944</v>
      </c>
      <c r="T20" s="303">
        <f t="shared" si="19"/>
        <v>-487081.40160890482</v>
      </c>
      <c r="U20" s="303">
        <f t="shared" si="19"/>
        <v>-369793.67914832942</v>
      </c>
      <c r="V20" s="303">
        <f t="shared" si="19"/>
        <v>-216421.67299599387</v>
      </c>
      <c r="W20" s="303">
        <f t="shared" si="19"/>
        <v>-66541.050010878593</v>
      </c>
      <c r="X20" s="303">
        <f>-X12</f>
        <v>0</v>
      </c>
      <c r="Y20" s="303">
        <f t="shared" si="19"/>
        <v>0</v>
      </c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</row>
    <row r="21" spans="1:50">
      <c r="A21" s="151">
        <v>283328</v>
      </c>
      <c r="B21" s="151" t="s">
        <v>330</v>
      </c>
      <c r="C21" s="301">
        <f>SUM(C15:C20)*-0.21</f>
        <v>-1285147.4685</v>
      </c>
      <c r="D21" s="301">
        <f t="shared" ref="D21:I21" si="20">SUM(D15:D20)*-0.21</f>
        <v>-1116299.9707713907</v>
      </c>
      <c r="E21" s="301">
        <f t="shared" si="20"/>
        <v>-1291586.54707585</v>
      </c>
      <c r="F21" s="301">
        <f t="shared" si="20"/>
        <v>-1223765.9947127977</v>
      </c>
      <c r="G21" s="301">
        <f t="shared" si="20"/>
        <v>-1241828.1585283498</v>
      </c>
      <c r="H21" s="301">
        <f t="shared" si="20"/>
        <v>-1354025.2759061828</v>
      </c>
      <c r="I21" s="301">
        <f t="shared" si="20"/>
        <v>-1354254.3413528847</v>
      </c>
      <c r="J21" s="301">
        <f t="shared" ref="J21:AW21" si="21">SUM(J15:J20)*-0.21</f>
        <v>-1401358.2896395475</v>
      </c>
      <c r="K21" s="301">
        <f t="shared" si="21"/>
        <v>-896057.61501877964</v>
      </c>
      <c r="L21" s="301">
        <f t="shared" si="21"/>
        <v>-1155274.7305651754</v>
      </c>
      <c r="M21" s="301">
        <f t="shared" si="21"/>
        <v>-1190493.9796102222</v>
      </c>
      <c r="N21" s="301">
        <f>SUM(N15:N20)*-0.21</f>
        <v>-1246779.133625861</v>
      </c>
      <c r="O21" s="301">
        <f t="shared" si="21"/>
        <v>-1068436.9631795569</v>
      </c>
      <c r="P21" s="301">
        <f t="shared" si="21"/>
        <v>-1189613.5073414946</v>
      </c>
      <c r="Q21" s="301">
        <f t="shared" si="21"/>
        <v>-1288660.128666043</v>
      </c>
      <c r="R21" s="301">
        <f t="shared" si="21"/>
        <v>-1384475.7239367072</v>
      </c>
      <c r="S21" s="301">
        <f t="shared" si="21"/>
        <v>-1461067.1971521203</v>
      </c>
      <c r="T21" s="301">
        <f t="shared" si="21"/>
        <v>-1530706.1472896726</v>
      </c>
      <c r="U21" s="301">
        <f t="shared" si="21"/>
        <v>-1596812.4249402876</v>
      </c>
      <c r="V21" s="301">
        <f t="shared" si="21"/>
        <v>-1679957.6420380599</v>
      </c>
      <c r="W21" s="301">
        <f t="shared" si="21"/>
        <v>-1760700.7009062904</v>
      </c>
      <c r="X21" s="301">
        <f t="shared" si="21"/>
        <v>-1818643.3594334784</v>
      </c>
      <c r="Y21" s="301">
        <f t="shared" si="21"/>
        <v>-1867337.0514133382</v>
      </c>
      <c r="Z21" s="301">
        <f t="shared" si="21"/>
        <v>-1762081.1098948081</v>
      </c>
      <c r="AA21" s="301">
        <f t="shared" si="21"/>
        <v>-1603089.1227614591</v>
      </c>
      <c r="AB21" s="301">
        <f t="shared" si="21"/>
        <v>-1448393.101293067</v>
      </c>
      <c r="AC21" s="301">
        <f t="shared" si="21"/>
        <v>-1322638.1239848537</v>
      </c>
      <c r="AD21" s="301">
        <f t="shared" si="21"/>
        <v>-1200919.6534760913</v>
      </c>
      <c r="AE21" s="301">
        <f t="shared" si="21"/>
        <v>-1104150.3867808185</v>
      </c>
      <c r="AF21" s="301">
        <f t="shared" si="21"/>
        <v>-1016766.49722889</v>
      </c>
      <c r="AG21" s="301">
        <f t="shared" si="21"/>
        <v>-933755.29101469729</v>
      </c>
      <c r="AH21" s="301">
        <f t="shared" si="21"/>
        <v>-828688.14810694882</v>
      </c>
      <c r="AI21" s="301">
        <f t="shared" si="21"/>
        <v>-725773.41166700784</v>
      </c>
      <c r="AJ21" s="301">
        <f t="shared" si="21"/>
        <v>-637478.36268102215</v>
      </c>
      <c r="AK21" s="301">
        <f t="shared" si="21"/>
        <v>-537419.60218491824</v>
      </c>
      <c r="AL21" s="301">
        <f t="shared" si="21"/>
        <v>-488381.88304255909</v>
      </c>
      <c r="AM21" s="301">
        <f t="shared" si="21"/>
        <v>-425169.03520418482</v>
      </c>
      <c r="AN21" s="301">
        <f t="shared" si="21"/>
        <v>-362945.2362369452</v>
      </c>
      <c r="AO21" s="301">
        <f t="shared" si="21"/>
        <v>-312309.49514054059</v>
      </c>
      <c r="AP21" s="301">
        <f t="shared" si="21"/>
        <v>-263073.75256782776</v>
      </c>
      <c r="AQ21" s="301">
        <f t="shared" si="21"/>
        <v>-223861.77883631468</v>
      </c>
      <c r="AR21" s="301">
        <f t="shared" si="21"/>
        <v>-188475.36482756745</v>
      </c>
      <c r="AS21" s="301">
        <f t="shared" si="21"/>
        <v>-154944.21492414174</v>
      </c>
      <c r="AT21" s="301">
        <f t="shared" si="21"/>
        <v>-113183.80393034656</v>
      </c>
      <c r="AU21" s="301">
        <f t="shared" si="21"/>
        <v>-71996.650642388908</v>
      </c>
      <c r="AV21" s="301">
        <f t="shared" si="21"/>
        <v>-36874.657573676952</v>
      </c>
      <c r="AW21" s="301">
        <f t="shared" si="21"/>
        <v>2820.4909508191199</v>
      </c>
    </row>
    <row r="22" spans="1:50">
      <c r="A22" s="151">
        <v>229000</v>
      </c>
      <c r="B22" s="151" t="s">
        <v>331</v>
      </c>
      <c r="C22" s="302">
        <v>-728117</v>
      </c>
      <c r="D22" s="303">
        <f t="shared" ref="D22:I22" si="22">C22</f>
        <v>-728117</v>
      </c>
      <c r="E22" s="303">
        <f t="shared" si="22"/>
        <v>-728117</v>
      </c>
      <c r="F22" s="303">
        <f t="shared" si="22"/>
        <v>-728117</v>
      </c>
      <c r="G22" s="303">
        <f t="shared" si="22"/>
        <v>-728117</v>
      </c>
      <c r="H22" s="303">
        <f t="shared" si="22"/>
        <v>-728117</v>
      </c>
      <c r="I22" s="303">
        <f t="shared" si="22"/>
        <v>-728117</v>
      </c>
      <c r="J22" s="303">
        <f t="shared" ref="J22:AW22" si="23">I22</f>
        <v>-728117</v>
      </c>
      <c r="K22" s="303">
        <f t="shared" si="23"/>
        <v>-728117</v>
      </c>
      <c r="L22" s="303">
        <f t="shared" si="23"/>
        <v>-728117</v>
      </c>
      <c r="M22" s="303">
        <f t="shared" si="23"/>
        <v>-728117</v>
      </c>
      <c r="N22" s="306">
        <v>0</v>
      </c>
      <c r="O22" s="308">
        <f>-SUM(D32:O32)</f>
        <v>0</v>
      </c>
      <c r="P22" s="303">
        <f t="shared" si="23"/>
        <v>0</v>
      </c>
      <c r="Q22" s="303">
        <f t="shared" si="23"/>
        <v>0</v>
      </c>
      <c r="R22" s="303">
        <f t="shared" si="23"/>
        <v>0</v>
      </c>
      <c r="S22" s="303">
        <f t="shared" si="23"/>
        <v>0</v>
      </c>
      <c r="T22" s="303">
        <f t="shared" si="23"/>
        <v>0</v>
      </c>
      <c r="U22" s="303">
        <f t="shared" si="23"/>
        <v>0</v>
      </c>
      <c r="V22" s="303">
        <f t="shared" si="23"/>
        <v>0</v>
      </c>
      <c r="W22" s="303">
        <f t="shared" si="23"/>
        <v>0</v>
      </c>
      <c r="X22" s="303">
        <f t="shared" si="23"/>
        <v>0</v>
      </c>
      <c r="Y22" s="303">
        <f t="shared" si="23"/>
        <v>0</v>
      </c>
      <c r="Z22" s="306">
        <v>0</v>
      </c>
      <c r="AA22" s="308">
        <f>-SUM(P32:AA32)</f>
        <v>0</v>
      </c>
      <c r="AB22" s="303">
        <f t="shared" si="23"/>
        <v>0</v>
      </c>
      <c r="AC22" s="303">
        <f t="shared" si="23"/>
        <v>0</v>
      </c>
      <c r="AD22" s="303">
        <f t="shared" si="23"/>
        <v>0</v>
      </c>
      <c r="AE22" s="303">
        <f t="shared" si="23"/>
        <v>0</v>
      </c>
      <c r="AF22" s="303">
        <f t="shared" si="23"/>
        <v>0</v>
      </c>
      <c r="AG22" s="303">
        <f t="shared" si="23"/>
        <v>0</v>
      </c>
      <c r="AH22" s="303">
        <f t="shared" si="23"/>
        <v>0</v>
      </c>
      <c r="AI22" s="303">
        <f t="shared" si="23"/>
        <v>0</v>
      </c>
      <c r="AJ22" s="303">
        <f t="shared" si="23"/>
        <v>0</v>
      </c>
      <c r="AK22" s="303">
        <f t="shared" si="23"/>
        <v>0</v>
      </c>
      <c r="AL22" s="306">
        <v>0</v>
      </c>
      <c r="AM22" s="308">
        <f>-SUM(AB32:AM32)</f>
        <v>0</v>
      </c>
      <c r="AN22" s="303">
        <f t="shared" si="23"/>
        <v>0</v>
      </c>
      <c r="AO22" s="303">
        <f t="shared" si="23"/>
        <v>0</v>
      </c>
      <c r="AP22" s="303">
        <f t="shared" si="23"/>
        <v>0</v>
      </c>
      <c r="AQ22" s="303">
        <f t="shared" si="23"/>
        <v>0</v>
      </c>
      <c r="AR22" s="303">
        <f t="shared" si="23"/>
        <v>0</v>
      </c>
      <c r="AS22" s="303">
        <f t="shared" si="23"/>
        <v>0</v>
      </c>
      <c r="AT22" s="303">
        <f t="shared" si="23"/>
        <v>0</v>
      </c>
      <c r="AU22" s="303">
        <f t="shared" si="23"/>
        <v>0</v>
      </c>
      <c r="AV22" s="303">
        <f t="shared" si="23"/>
        <v>0</v>
      </c>
      <c r="AW22" s="303">
        <f t="shared" si="23"/>
        <v>0</v>
      </c>
    </row>
    <row r="23" spans="1:50">
      <c r="A23" s="151">
        <v>190449</v>
      </c>
      <c r="B23" s="151" t="s">
        <v>332</v>
      </c>
      <c r="C23" s="301">
        <f>C22*-0.21</f>
        <v>152904.57</v>
      </c>
      <c r="D23" s="301">
        <f t="shared" ref="D23:I23" si="24">D22*-0.21</f>
        <v>152904.57</v>
      </c>
      <c r="E23" s="301">
        <f t="shared" si="24"/>
        <v>152904.57</v>
      </c>
      <c r="F23" s="301">
        <f t="shared" si="24"/>
        <v>152904.57</v>
      </c>
      <c r="G23" s="301">
        <f t="shared" si="24"/>
        <v>152904.57</v>
      </c>
      <c r="H23" s="301">
        <f t="shared" si="24"/>
        <v>152904.57</v>
      </c>
      <c r="I23" s="301">
        <f t="shared" si="24"/>
        <v>152904.57</v>
      </c>
      <c r="J23" s="301">
        <f>J22*-0.21</f>
        <v>152904.57</v>
      </c>
      <c r="K23" s="301">
        <f>K22*-0.21</f>
        <v>152904.57</v>
      </c>
      <c r="L23" s="301">
        <f>L22*-0.21</f>
        <v>152904.57</v>
      </c>
      <c r="M23" s="301">
        <f>M22*-0.21</f>
        <v>152904.57</v>
      </c>
      <c r="N23" s="301"/>
    </row>
    <row r="24" spans="1:50">
      <c r="B24" s="151" t="s">
        <v>333</v>
      </c>
      <c r="C24" s="301"/>
      <c r="D24" s="281">
        <v>4.2500000000000003E-2</v>
      </c>
      <c r="E24" s="278">
        <f>D24</f>
        <v>4.2500000000000003E-2</v>
      </c>
      <c r="F24" s="278">
        <f>E24</f>
        <v>4.2500000000000003E-2</v>
      </c>
      <c r="G24" s="279">
        <v>4.4699999999999997E-2</v>
      </c>
      <c r="H24" s="278">
        <f>G24</f>
        <v>4.4699999999999997E-2</v>
      </c>
      <c r="I24" s="278">
        <f>H24</f>
        <v>4.4699999999999997E-2</v>
      </c>
      <c r="J24" s="281">
        <v>4.6899999999999997E-2</v>
      </c>
      <c r="K24" s="278">
        <f>J24</f>
        <v>4.6899999999999997E-2</v>
      </c>
      <c r="L24" s="278">
        <f t="shared" ref="L24:AW24" si="25">K24</f>
        <v>4.6899999999999997E-2</v>
      </c>
      <c r="M24" s="278">
        <v>4.9599999999999998E-2</v>
      </c>
      <c r="N24" s="278">
        <f t="shared" si="25"/>
        <v>4.9599999999999998E-2</v>
      </c>
      <c r="O24" s="278">
        <f t="shared" si="25"/>
        <v>4.9599999999999998E-2</v>
      </c>
      <c r="P24" s="278">
        <f t="shared" si="25"/>
        <v>4.9599999999999998E-2</v>
      </c>
      <c r="Q24" s="278">
        <f t="shared" si="25"/>
        <v>4.9599999999999998E-2</v>
      </c>
      <c r="R24" s="278">
        <f t="shared" si="25"/>
        <v>4.9599999999999998E-2</v>
      </c>
      <c r="S24" s="278">
        <f t="shared" si="25"/>
        <v>4.9599999999999998E-2</v>
      </c>
      <c r="T24" s="278">
        <f t="shared" si="25"/>
        <v>4.9599999999999998E-2</v>
      </c>
      <c r="U24" s="278">
        <f t="shared" si="25"/>
        <v>4.9599999999999998E-2</v>
      </c>
      <c r="V24" s="278">
        <f t="shared" si="25"/>
        <v>4.9599999999999998E-2</v>
      </c>
      <c r="W24" s="278">
        <f t="shared" si="25"/>
        <v>4.9599999999999998E-2</v>
      </c>
      <c r="X24" s="278">
        <f t="shared" si="25"/>
        <v>4.9599999999999998E-2</v>
      </c>
      <c r="Y24" s="278">
        <f t="shared" si="25"/>
        <v>4.9599999999999998E-2</v>
      </c>
      <c r="Z24" s="278">
        <f t="shared" si="25"/>
        <v>4.9599999999999998E-2</v>
      </c>
      <c r="AA24" s="278">
        <f t="shared" si="25"/>
        <v>4.9599999999999998E-2</v>
      </c>
      <c r="AB24" s="278">
        <f t="shared" si="25"/>
        <v>4.9599999999999998E-2</v>
      </c>
      <c r="AC24" s="278">
        <f t="shared" si="25"/>
        <v>4.9599999999999998E-2</v>
      </c>
      <c r="AD24" s="278">
        <f t="shared" si="25"/>
        <v>4.9599999999999998E-2</v>
      </c>
      <c r="AE24" s="278">
        <f t="shared" si="25"/>
        <v>4.9599999999999998E-2</v>
      </c>
      <c r="AF24" s="278">
        <f t="shared" si="25"/>
        <v>4.9599999999999998E-2</v>
      </c>
      <c r="AG24" s="278">
        <f t="shared" si="25"/>
        <v>4.9599999999999998E-2</v>
      </c>
      <c r="AH24" s="278">
        <f t="shared" si="25"/>
        <v>4.9599999999999998E-2</v>
      </c>
      <c r="AI24" s="278">
        <f t="shared" si="25"/>
        <v>4.9599999999999998E-2</v>
      </c>
      <c r="AJ24" s="278">
        <f t="shared" si="25"/>
        <v>4.9599999999999998E-2</v>
      </c>
      <c r="AK24" s="278">
        <f t="shared" si="25"/>
        <v>4.9599999999999998E-2</v>
      </c>
      <c r="AL24" s="278">
        <f t="shared" si="25"/>
        <v>4.9599999999999998E-2</v>
      </c>
      <c r="AM24" s="278">
        <f t="shared" si="25"/>
        <v>4.9599999999999998E-2</v>
      </c>
      <c r="AN24" s="278">
        <f t="shared" si="25"/>
        <v>4.9599999999999998E-2</v>
      </c>
      <c r="AO24" s="278">
        <f t="shared" si="25"/>
        <v>4.9599999999999998E-2</v>
      </c>
      <c r="AP24" s="278">
        <f t="shared" si="25"/>
        <v>4.9599999999999998E-2</v>
      </c>
      <c r="AQ24" s="278">
        <f t="shared" si="25"/>
        <v>4.9599999999999998E-2</v>
      </c>
      <c r="AR24" s="278">
        <f t="shared" si="25"/>
        <v>4.9599999999999998E-2</v>
      </c>
      <c r="AS24" s="278">
        <f t="shared" si="25"/>
        <v>4.9599999999999998E-2</v>
      </c>
      <c r="AT24" s="278">
        <f t="shared" si="25"/>
        <v>4.9599999999999998E-2</v>
      </c>
      <c r="AU24" s="278">
        <f t="shared" si="25"/>
        <v>4.9599999999999998E-2</v>
      </c>
      <c r="AV24" s="278">
        <f t="shared" si="25"/>
        <v>4.9599999999999998E-2</v>
      </c>
      <c r="AW24" s="278">
        <f t="shared" si="25"/>
        <v>4.9599999999999998E-2</v>
      </c>
    </row>
    <row r="25" spans="1:50">
      <c r="A25" s="151" t="s">
        <v>334</v>
      </c>
      <c r="C25" s="301"/>
      <c r="E25" s="301"/>
      <c r="F25" s="301"/>
      <c r="G25" s="301"/>
      <c r="H25" s="301"/>
    </row>
    <row r="26" spans="1:50">
      <c r="A26" s="151">
        <v>456328</v>
      </c>
      <c r="B26" s="151" t="s">
        <v>335</v>
      </c>
      <c r="C26" s="309" t="s">
        <v>345</v>
      </c>
      <c r="D26" s="302">
        <f>'Deferral Calc'!D57</f>
        <v>-340574.751469496</v>
      </c>
      <c r="E26" s="302">
        <f>'Deferral Calc'!E57</f>
        <v>-1733954.6555379997</v>
      </c>
      <c r="F26" s="302">
        <f>'Deferral Calc'!F57</f>
        <v>-636727.1022846055</v>
      </c>
      <c r="G26" s="302">
        <f>'Deferral Calc'!G57</f>
        <v>-807146.05</v>
      </c>
      <c r="H26" s="302">
        <f>'Deferral Calc'!H57</f>
        <v>-1141047.094913587</v>
      </c>
      <c r="I26" s="302">
        <f>'Deferral Calc'!I57</f>
        <v>-586951.22483295866</v>
      </c>
      <c r="J26" s="302">
        <f>'Deferral Calc'!J57</f>
        <v>-987416.59147285006</v>
      </c>
      <c r="K26" s="302">
        <f>'Deferral Calc'!K57</f>
        <v>1566768.7632116319</v>
      </c>
      <c r="L26" s="302">
        <f>'Deferral Calc'!L57</f>
        <v>-1809294.6</v>
      </c>
      <c r="M26" s="302">
        <f>'Deferral Calc'!M57</f>
        <v>-827250.55</v>
      </c>
      <c r="N26" s="302">
        <f>'Deferral Calc'!N57</f>
        <v>-853383.29</v>
      </c>
      <c r="O26" s="302">
        <f>'Deferral Calc'!O57</f>
        <v>-241291.62</v>
      </c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</row>
    <row r="27" spans="1:50">
      <c r="A27" s="151">
        <v>456329</v>
      </c>
      <c r="B27" s="151" t="s">
        <v>336</v>
      </c>
      <c r="C27" s="309" t="s">
        <v>345</v>
      </c>
      <c r="D27" s="313">
        <f>'Deferral Calc'!D61</f>
        <v>1162250.77</v>
      </c>
      <c r="E27" s="313">
        <f>'Deferral Calc'!E61</f>
        <v>916951.19</v>
      </c>
      <c r="F27" s="313">
        <f>'Deferral Calc'!F61</f>
        <v>978281.24</v>
      </c>
      <c r="G27" s="313">
        <f>'Deferral Calc'!G61</f>
        <v>740255.3719426567</v>
      </c>
      <c r="H27" s="313">
        <f>'Deferral Calc'!H61</f>
        <v>627047.86129303998</v>
      </c>
      <c r="I27" s="313">
        <f>'Deferral Calc'!I61</f>
        <v>607128.45038274571</v>
      </c>
      <c r="J27" s="313">
        <f>'Deferral Calc'!J61</f>
        <v>785864.3964810787</v>
      </c>
      <c r="K27" s="313">
        <f>'Deferral Calc'!K61</f>
        <v>857921.78690196818</v>
      </c>
      <c r="L27" s="313">
        <f>'Deferral Calc'!L61</f>
        <v>591138.76653037919</v>
      </c>
      <c r="M27" s="313">
        <f>'Deferral Calc'!M61</f>
        <v>679574.22845479345</v>
      </c>
      <c r="N27" s="313">
        <f>'Deferral Calc'!N61</f>
        <v>-120323.53077317961</v>
      </c>
      <c r="O27" s="313">
        <f>'Deferral Calc'!O61</f>
        <v>-280725.70929970534</v>
      </c>
      <c r="P27" s="301">
        <f t="shared" ref="P27:AO27" si="26">P3*P4</f>
        <v>-298696.69858714577</v>
      </c>
      <c r="Q27" s="301">
        <f t="shared" si="26"/>
        <v>-245275.63531398869</v>
      </c>
      <c r="R27" s="301">
        <f t="shared" si="26"/>
        <v>-236131.64921689726</v>
      </c>
      <c r="S27" s="301">
        <f t="shared" si="26"/>
        <v>-189537.52080639315</v>
      </c>
      <c r="T27" s="301">
        <f t="shared" si="26"/>
        <v>-173560.68313427953</v>
      </c>
      <c r="U27" s="301">
        <f t="shared" si="26"/>
        <v>-165021.5770035593</v>
      </c>
      <c r="V27" s="301">
        <f t="shared" si="26"/>
        <v>-209167.51508403828</v>
      </c>
      <c r="W27" s="301">
        <f t="shared" si="26"/>
        <v>-200235.93672491933</v>
      </c>
      <c r="X27" s="301">
        <f t="shared" si="26"/>
        <v>-174086.4950360425</v>
      </c>
      <c r="Y27" s="301">
        <f t="shared" si="26"/>
        <v>-195674.80901787756</v>
      </c>
      <c r="Z27" s="301">
        <f t="shared" si="26"/>
        <v>628234.20367827232</v>
      </c>
      <c r="AA27" s="301">
        <f t="shared" si="26"/>
        <v>790153.94718018104</v>
      </c>
      <c r="AB27" s="301">
        <f t="shared" si="26"/>
        <v>766616.24630908552</v>
      </c>
      <c r="AC27" s="301">
        <f t="shared" si="26"/>
        <v>626047.44857560168</v>
      </c>
      <c r="AD27" s="301">
        <f t="shared" si="26"/>
        <v>604395.55753616977</v>
      </c>
      <c r="AE27" s="301">
        <f t="shared" si="26"/>
        <v>483444.06288736942</v>
      </c>
      <c r="AF27" s="301">
        <f t="shared" si="26"/>
        <v>436943.22757074679</v>
      </c>
      <c r="AG27" s="301">
        <f t="shared" si="26"/>
        <v>414447.48029978719</v>
      </c>
      <c r="AH27" s="301">
        <f t="shared" si="26"/>
        <v>517628.63784975727</v>
      </c>
      <c r="AI27" s="301">
        <f t="shared" si="26"/>
        <v>505336.49878560362</v>
      </c>
      <c r="AJ27" s="301">
        <f t="shared" si="26"/>
        <v>433841.07330980763</v>
      </c>
      <c r="AK27" s="301">
        <f t="shared" si="26"/>
        <v>488008.92945936532</v>
      </c>
      <c r="AL27" s="301">
        <f t="shared" si="26"/>
        <v>243587.3171543419</v>
      </c>
      <c r="AM27" s="301">
        <f t="shared" si="26"/>
        <v>309985.52018661506</v>
      </c>
      <c r="AN27" s="301">
        <f t="shared" si="26"/>
        <v>304043.85371541796</v>
      </c>
      <c r="AO27" s="301">
        <f t="shared" si="26"/>
        <v>247754.23524486227</v>
      </c>
      <c r="AP27" s="301">
        <f t="shared" ref="AP27:AW27" si="27">AP3*AP4</f>
        <v>240106.7404473311</v>
      </c>
      <c r="AQ27" s="301">
        <f t="shared" si="27"/>
        <v>191505.86522200223</v>
      </c>
      <c r="AR27" s="301">
        <f t="shared" si="27"/>
        <v>172556.28539718242</v>
      </c>
      <c r="AS27" s="301">
        <f t="shared" si="27"/>
        <v>163044.85687379248</v>
      </c>
      <c r="AT27" s="301">
        <f t="shared" si="27"/>
        <v>201492.37804797836</v>
      </c>
      <c r="AU27" s="301">
        <f t="shared" si="27"/>
        <v>197947.95364597175</v>
      </c>
      <c r="AV27" s="301">
        <f t="shared" si="27"/>
        <v>168316.80823773961</v>
      </c>
      <c r="AW27" s="301">
        <f t="shared" si="27"/>
        <v>189358.96183981965</v>
      </c>
    </row>
    <row r="28" spans="1:50">
      <c r="A28" s="222" t="s">
        <v>337</v>
      </c>
      <c r="B28" s="151" t="s">
        <v>338</v>
      </c>
      <c r="C28" s="301"/>
      <c r="D28" s="303">
        <f>SUM(C15:C20,C22)-SUM(D15:D20,D22)-SUM(D26:D27,D31:D32)</f>
        <v>-17640.315060937079</v>
      </c>
      <c r="E28" s="303">
        <f t="shared" ref="E28:H28" si="28">SUM(D15:D20,D22)-SUM(E15:E20,E22)-SUM(E26:E27,E31:E32)</f>
        <v>-17694.516864186153</v>
      </c>
      <c r="F28" s="303">
        <f t="shared" si="28"/>
        <v>-18599.126462764922</v>
      </c>
      <c r="G28" s="303">
        <f t="shared" si="28"/>
        <v>-19119.625826239004</v>
      </c>
      <c r="H28" s="303">
        <f t="shared" si="28"/>
        <v>-20272.75389294303</v>
      </c>
      <c r="I28" s="303">
        <f>SUM(H15:H20,H22)-SUM(I15:I20,I22)-SUM(I26:I27,I31:I32)</f>
        <v>-21268.013391224435</v>
      </c>
      <c r="J28" s="303">
        <f t="shared" ref="J28:AW28" si="29">SUM(I15:I20,I22)-SUM(J15:J20,J22)-SUM(J26:J27,J31:J32)</f>
        <v>-22752.320659003919</v>
      </c>
      <c r="K28" s="303">
        <f t="shared" si="29"/>
        <v>-18496.861443276983</v>
      </c>
      <c r="L28" s="303">
        <f t="shared" si="29"/>
        <v>-16211.383417977951</v>
      </c>
      <c r="M28" s="303">
        <f t="shared" si="29"/>
        <v>-20034.388193111285</v>
      </c>
      <c r="N28" s="303">
        <f t="shared" si="29"/>
        <v>-22434.722158433869</v>
      </c>
      <c r="O28" s="303">
        <f t="shared" si="29"/>
        <v>-25618.615586839383</v>
      </c>
      <c r="P28" s="303">
        <f t="shared" si="29"/>
        <v>-27420.648188898223</v>
      </c>
      <c r="Q28" s="303">
        <f t="shared" si="29"/>
        <v>-28658.196358140558</v>
      </c>
      <c r="R28" s="303">
        <f t="shared" si="29"/>
        <v>-29771.558624451573</v>
      </c>
      <c r="S28" s="303">
        <f t="shared" si="29"/>
        <v>-30774.330684814136</v>
      </c>
      <c r="T28" s="303">
        <f t="shared" si="29"/>
        <v>-31651.934206454665</v>
      </c>
      <c r="U28" s="303">
        <f t="shared" si="29"/>
        <v>-32482.498872127151</v>
      </c>
      <c r="V28" s="303">
        <f t="shared" si="29"/>
        <v>-33390.083991113352</v>
      </c>
      <c r="W28" s="303">
        <f t="shared" si="29"/>
        <v>-34374.196805349085</v>
      </c>
      <c r="X28" s="303">
        <f t="shared" si="29"/>
        <v>-35289.876511116308</v>
      </c>
      <c r="Y28" s="303">
        <f t="shared" si="29"/>
        <v>-36199.914695740212</v>
      </c>
      <c r="Z28" s="303">
        <f t="shared" si="29"/>
        <v>-127015.43454241531</v>
      </c>
      <c r="AA28" s="303">
        <f t="shared" si="29"/>
        <v>-33049.246545185568</v>
      </c>
      <c r="AB28" s="303">
        <f t="shared" si="29"/>
        <v>-29968.525031028083</v>
      </c>
      <c r="AC28" s="303">
        <f t="shared" si="29"/>
        <v>-27214.22329839482</v>
      </c>
      <c r="AD28" s="303">
        <f t="shared" si="29"/>
        <v>-24783.793208730291</v>
      </c>
      <c r="AE28" s="303">
        <f t="shared" si="29"/>
        <v>-22638.031005117809</v>
      </c>
      <c r="AF28" s="303">
        <f t="shared" si="29"/>
        <v>-20829.467799658654</v>
      </c>
      <c r="AG28" s="303">
        <f t="shared" si="29"/>
        <v>-19156.022136964428</v>
      </c>
      <c r="AH28" s="303">
        <f t="shared" si="29"/>
        <v>-17308.909717622038</v>
      </c>
      <c r="AI28" s="303">
        <f t="shared" si="29"/>
        <v>-15266.325262075115</v>
      </c>
      <c r="AJ28" s="303">
        <f t="shared" si="29"/>
        <v>-13388.459090828022</v>
      </c>
      <c r="AK28" s="303">
        <f t="shared" si="29"/>
        <v>-11538.641382680042</v>
      </c>
      <c r="AL28" s="303">
        <f t="shared" si="29"/>
        <v>-10074.368857393565</v>
      </c>
      <c r="AM28" s="303">
        <f t="shared" si="29"/>
        <v>-8971.9590514994925</v>
      </c>
      <c r="AN28" s="303">
        <f t="shared" si="29"/>
        <v>-7740.0491095150937</v>
      </c>
      <c r="AO28" s="303">
        <f t="shared" si="29"/>
        <v>-6631.6585953163449</v>
      </c>
      <c r="AP28" s="303">
        <f t="shared" si="29"/>
        <v>-5650.8234344130615</v>
      </c>
      <c r="AQ28" s="303">
        <f t="shared" si="29"/>
        <v>-4782.1807862255664</v>
      </c>
      <c r="AR28" s="303">
        <f t="shared" si="29"/>
        <v>-4049.5520221955085</v>
      </c>
      <c r="AS28" s="303">
        <f t="shared" si="29"/>
        <v>-3372.7144765271805</v>
      </c>
      <c r="AT28" s="303">
        <f t="shared" si="29"/>
        <v>-2633.278077525174</v>
      </c>
      <c r="AU28" s="303">
        <f t="shared" si="29"/>
        <v>-1818.6522747448471</v>
      </c>
      <c r="AV28" s="303">
        <f t="shared" si="29"/>
        <v>-1069.2221962540934</v>
      </c>
      <c r="AW28" s="303">
        <f t="shared" si="29"/>
        <v>-334.44505650500651</v>
      </c>
    </row>
    <row r="29" spans="1:50">
      <c r="A29" s="222" t="s">
        <v>339</v>
      </c>
      <c r="B29" s="151" t="s">
        <v>340</v>
      </c>
      <c r="C29" s="301"/>
      <c r="D29" s="303">
        <f>SUM(D26:D27,D31:D32)*-0.21</f>
        <v>-172551.96389140585</v>
      </c>
      <c r="E29" s="303">
        <f t="shared" ref="E29:H29" si="30">SUM(E26:E27,E31:E32)*-0.21</f>
        <v>171570.72776297995</v>
      </c>
      <c r="F29" s="303">
        <f t="shared" si="30"/>
        <v>-71726.368920232839</v>
      </c>
      <c r="G29" s="303">
        <f t="shared" si="30"/>
        <v>14047.042392042104</v>
      </c>
      <c r="H29" s="303">
        <f t="shared" si="30"/>
        <v>107939.83906031486</v>
      </c>
      <c r="I29" s="303">
        <f>SUM(I26:I27,I31:I32)*-0.21</f>
        <v>-4237.2173654552807</v>
      </c>
      <c r="J29" s="303">
        <f t="shared" ref="J29:AW29" si="31">SUM(J26:J27,J31:J32)*-0.21</f>
        <v>42325.960948271982</v>
      </c>
      <c r="K29" s="303">
        <f t="shared" si="31"/>
        <v>-509185.01552385604</v>
      </c>
      <c r="L29" s="303">
        <f t="shared" si="31"/>
        <v>255812.72502862039</v>
      </c>
      <c r="M29" s="303">
        <f t="shared" si="31"/>
        <v>31012.027524493384</v>
      </c>
      <c r="N29" s="303">
        <f t="shared" si="31"/>
        <v>204478.43236236772</v>
      </c>
      <c r="O29" s="303">
        <f t="shared" si="31"/>
        <v>-183722.07971954028</v>
      </c>
      <c r="P29" s="303">
        <f t="shared" si="31"/>
        <v>115418.20804226908</v>
      </c>
      <c r="Q29" s="303">
        <f t="shared" si="31"/>
        <v>93028.400089338858</v>
      </c>
      <c r="R29" s="303">
        <f t="shared" si="31"/>
        <v>89563.567959529464</v>
      </c>
      <c r="S29" s="303">
        <f t="shared" si="31"/>
        <v>70128.863771602031</v>
      </c>
      <c r="T29" s="303">
        <f t="shared" si="31"/>
        <v>62992.043954196874</v>
      </c>
      <c r="U29" s="303">
        <f t="shared" si="31"/>
        <v>59284.952887468295</v>
      </c>
      <c r="V29" s="303">
        <f t="shared" si="31"/>
        <v>76133.299459638496</v>
      </c>
      <c r="W29" s="303">
        <f t="shared" si="31"/>
        <v>73524.477539107276</v>
      </c>
      <c r="X29" s="303">
        <f t="shared" si="31"/>
        <v>50531.784459853428</v>
      </c>
      <c r="Y29" s="303">
        <f t="shared" si="31"/>
        <v>41091.709893754283</v>
      </c>
      <c r="Z29" s="303">
        <f t="shared" si="31"/>
        <v>-131929.18277243717</v>
      </c>
      <c r="AA29" s="303">
        <f t="shared" si="31"/>
        <v>-165932.328907838</v>
      </c>
      <c r="AB29" s="303">
        <f t="shared" si="31"/>
        <v>-160989.41172490796</v>
      </c>
      <c r="AC29" s="303">
        <f t="shared" si="31"/>
        <v>-131469.96420087636</v>
      </c>
      <c r="AD29" s="303">
        <f t="shared" si="31"/>
        <v>-126923.06708259565</v>
      </c>
      <c r="AE29" s="303">
        <f t="shared" si="31"/>
        <v>-101523.25320634758</v>
      </c>
      <c r="AF29" s="303">
        <f t="shared" si="31"/>
        <v>-91758.077789856819</v>
      </c>
      <c r="AG29" s="303">
        <f t="shared" si="31"/>
        <v>-87033.970862955306</v>
      </c>
      <c r="AH29" s="303">
        <f t="shared" si="31"/>
        <v>-108702.01394844902</v>
      </c>
      <c r="AI29" s="303">
        <f t="shared" si="31"/>
        <v>-106120.66474497676</v>
      </c>
      <c r="AJ29" s="303">
        <f t="shared" si="31"/>
        <v>-91106.6253950596</v>
      </c>
      <c r="AK29" s="303">
        <f t="shared" si="31"/>
        <v>-102481.87518646671</v>
      </c>
      <c r="AL29" s="303">
        <f t="shared" si="31"/>
        <v>-51153.3366024118</v>
      </c>
      <c r="AM29" s="303">
        <f t="shared" si="31"/>
        <v>-65096.959239189164</v>
      </c>
      <c r="AN29" s="303">
        <f t="shared" si="31"/>
        <v>-63849.209280237774</v>
      </c>
      <c r="AO29" s="303">
        <f t="shared" si="31"/>
        <v>-52028.389401421075</v>
      </c>
      <c r="AP29" s="303">
        <f t="shared" si="31"/>
        <v>-50422.41549393953</v>
      </c>
      <c r="AQ29" s="303">
        <f t="shared" si="31"/>
        <v>-40216.231696620467</v>
      </c>
      <c r="AR29" s="303">
        <f t="shared" si="31"/>
        <v>-36236.819933408304</v>
      </c>
      <c r="AS29" s="303">
        <f t="shared" si="31"/>
        <v>-34239.419943496418</v>
      </c>
      <c r="AT29" s="303">
        <f t="shared" si="31"/>
        <v>-42313.399390075458</v>
      </c>
      <c r="AU29" s="303">
        <f t="shared" si="31"/>
        <v>-41569.070265654067</v>
      </c>
      <c r="AV29" s="303">
        <f t="shared" si="31"/>
        <v>-35346.529729925314</v>
      </c>
      <c r="AW29" s="303">
        <f t="shared" si="31"/>
        <v>-39765.381986362125</v>
      </c>
    </row>
    <row r="30" spans="1:50">
      <c r="A30" s="222" t="s">
        <v>341</v>
      </c>
      <c r="B30" s="151" t="s">
        <v>342</v>
      </c>
      <c r="C30" s="301"/>
      <c r="D30" s="303">
        <f>D28*-0.21</f>
        <v>3704.4661627967862</v>
      </c>
      <c r="E30" s="303">
        <f t="shared" ref="E30:H30" si="32">E28*-0.21</f>
        <v>3715.8485414790921</v>
      </c>
      <c r="F30" s="303">
        <f t="shared" si="32"/>
        <v>3905.8165571806335</v>
      </c>
      <c r="G30" s="303">
        <f t="shared" si="32"/>
        <v>4015.1214235101907</v>
      </c>
      <c r="H30" s="303">
        <f t="shared" si="32"/>
        <v>4257.2783175180366</v>
      </c>
      <c r="I30" s="303">
        <f>I28*-0.21</f>
        <v>4466.282812157131</v>
      </c>
      <c r="J30" s="303">
        <f t="shared" ref="J30:AW30" si="33">J28*-0.21</f>
        <v>4777.9873383908225</v>
      </c>
      <c r="K30" s="303">
        <f t="shared" si="33"/>
        <v>3884.3409030881662</v>
      </c>
      <c r="L30" s="303">
        <f t="shared" si="33"/>
        <v>3404.3905177753695</v>
      </c>
      <c r="M30" s="303">
        <f t="shared" si="33"/>
        <v>4207.2215205533694</v>
      </c>
      <c r="N30" s="303">
        <f t="shared" si="33"/>
        <v>4711.2916532711124</v>
      </c>
      <c r="O30" s="303">
        <f t="shared" si="33"/>
        <v>5379.9092732362706</v>
      </c>
      <c r="P30" s="303">
        <f t="shared" si="33"/>
        <v>5758.3361196686265</v>
      </c>
      <c r="Q30" s="303">
        <f t="shared" si="33"/>
        <v>6018.2212352095166</v>
      </c>
      <c r="R30" s="303">
        <f t="shared" si="33"/>
        <v>6252.0273111348297</v>
      </c>
      <c r="S30" s="303">
        <f t="shared" si="33"/>
        <v>6462.6094438109685</v>
      </c>
      <c r="T30" s="303">
        <f t="shared" si="33"/>
        <v>6646.9061833554797</v>
      </c>
      <c r="U30" s="303">
        <f t="shared" si="33"/>
        <v>6821.3247631467011</v>
      </c>
      <c r="V30" s="303">
        <f t="shared" si="33"/>
        <v>7011.9176381338038</v>
      </c>
      <c r="W30" s="303">
        <f t="shared" si="33"/>
        <v>7218.581329123308</v>
      </c>
      <c r="X30" s="303">
        <f t="shared" si="33"/>
        <v>7410.8740673344246</v>
      </c>
      <c r="Y30" s="303">
        <f t="shared" si="33"/>
        <v>7601.9820861054441</v>
      </c>
      <c r="Z30" s="303">
        <f t="shared" si="33"/>
        <v>26673.241253907214</v>
      </c>
      <c r="AA30" s="303">
        <f t="shared" si="33"/>
        <v>6940.3417744889693</v>
      </c>
      <c r="AB30" s="303">
        <f t="shared" si="33"/>
        <v>6293.3902565158969</v>
      </c>
      <c r="AC30" s="303">
        <f t="shared" si="33"/>
        <v>5714.9868926629115</v>
      </c>
      <c r="AD30" s="303">
        <f t="shared" si="33"/>
        <v>5204.5965738333607</v>
      </c>
      <c r="AE30" s="303">
        <f t="shared" si="33"/>
        <v>4753.9865110747396</v>
      </c>
      <c r="AF30" s="303">
        <f t="shared" si="33"/>
        <v>4374.188237928317</v>
      </c>
      <c r="AG30" s="303">
        <f t="shared" si="33"/>
        <v>4022.7646487625298</v>
      </c>
      <c r="AH30" s="303">
        <f t="shared" si="33"/>
        <v>3634.8710407006279</v>
      </c>
      <c r="AI30" s="303">
        <f t="shared" si="33"/>
        <v>3205.928305035774</v>
      </c>
      <c r="AJ30" s="303">
        <f t="shared" si="33"/>
        <v>2811.5764090738844</v>
      </c>
      <c r="AK30" s="303">
        <f t="shared" si="33"/>
        <v>2423.1146903628087</v>
      </c>
      <c r="AL30" s="303">
        <f t="shared" si="33"/>
        <v>2115.6174600526488</v>
      </c>
      <c r="AM30" s="303">
        <f t="shared" si="33"/>
        <v>1884.1114008148934</v>
      </c>
      <c r="AN30" s="303">
        <f t="shared" si="33"/>
        <v>1625.4103129981697</v>
      </c>
      <c r="AO30" s="303">
        <f t="shared" si="33"/>
        <v>1392.6483050164325</v>
      </c>
      <c r="AP30" s="303">
        <f t="shared" si="33"/>
        <v>1186.6729212267428</v>
      </c>
      <c r="AQ30" s="303">
        <f t="shared" si="33"/>
        <v>1004.2579651073689</v>
      </c>
      <c r="AR30" s="303">
        <f t="shared" si="33"/>
        <v>850.4059246610567</v>
      </c>
      <c r="AS30" s="303">
        <f t="shared" si="33"/>
        <v>708.27004007070786</v>
      </c>
      <c r="AT30" s="303">
        <f t="shared" si="33"/>
        <v>552.98839628028657</v>
      </c>
      <c r="AU30" s="303">
        <f t="shared" si="33"/>
        <v>381.91697769641786</v>
      </c>
      <c r="AV30" s="303">
        <f t="shared" si="33"/>
        <v>224.53666121335962</v>
      </c>
      <c r="AW30" s="303">
        <f t="shared" si="33"/>
        <v>70.233461866051357</v>
      </c>
    </row>
    <row r="31" spans="1:50">
      <c r="A31" s="151">
        <v>456311</v>
      </c>
      <c r="B31" s="151" t="s">
        <v>343</v>
      </c>
      <c r="C31" s="301"/>
      <c r="D31" s="303">
        <f>-(SUM(D19:D20)-SUM(C19:C20))</f>
        <v>0</v>
      </c>
      <c r="E31" s="303">
        <f t="shared" ref="E31:H31" si="34">-(SUM(E19:E20)-SUM(D19:D20))</f>
        <v>0</v>
      </c>
      <c r="F31" s="303">
        <f t="shared" si="34"/>
        <v>0</v>
      </c>
      <c r="G31" s="303">
        <f t="shared" si="34"/>
        <v>0</v>
      </c>
      <c r="H31" s="303">
        <f t="shared" si="34"/>
        <v>0</v>
      </c>
      <c r="I31" s="303">
        <f>-(SUM(I19:I20)-SUM(H19:H20))</f>
        <v>0</v>
      </c>
      <c r="J31" s="303">
        <f t="shared" ref="J31:AW31" si="35">-(SUM(J19:J20)-SUM(I19:I20))</f>
        <v>0</v>
      </c>
      <c r="K31" s="303">
        <f t="shared" si="35"/>
        <v>0</v>
      </c>
      <c r="L31" s="303">
        <f t="shared" si="35"/>
        <v>0</v>
      </c>
      <c r="M31" s="303">
        <f t="shared" si="35"/>
        <v>0</v>
      </c>
      <c r="N31" s="303">
        <f t="shared" si="35"/>
        <v>0</v>
      </c>
      <c r="O31" s="303">
        <f>-(SUM(O19:O20)-SUM(N19:N20))</f>
        <v>1396884.3755832305</v>
      </c>
      <c r="P31" s="303">
        <f t="shared" si="35"/>
        <v>-250913.81589984987</v>
      </c>
      <c r="Q31" s="303">
        <f t="shared" si="35"/>
        <v>-197716.74606381543</v>
      </c>
      <c r="R31" s="303">
        <f t="shared" si="35"/>
        <v>-190361.53154276684</v>
      </c>
      <c r="S31" s="303">
        <f t="shared" si="35"/>
        <v>-144409.44953456894</v>
      </c>
      <c r="T31" s="303">
        <f t="shared" si="35"/>
        <v>-126401.43093332462</v>
      </c>
      <c r="U31" s="303">
        <f t="shared" si="35"/>
        <v>-117287.7224605754</v>
      </c>
      <c r="V31" s="303">
        <f t="shared" si="35"/>
        <v>-153372.00615233555</v>
      </c>
      <c r="W31" s="303">
        <f t="shared" si="35"/>
        <v>-149880.62298511527</v>
      </c>
      <c r="X31" s="303">
        <f t="shared" si="35"/>
        <v>-66541.050010878593</v>
      </c>
      <c r="Y31" s="303">
        <f t="shared" si="35"/>
        <v>0</v>
      </c>
      <c r="Z31" s="303">
        <f t="shared" si="35"/>
        <v>0</v>
      </c>
      <c r="AA31" s="303">
        <f t="shared" si="35"/>
        <v>0</v>
      </c>
      <c r="AB31" s="303">
        <f t="shared" si="35"/>
        <v>0</v>
      </c>
      <c r="AC31" s="303">
        <f t="shared" si="35"/>
        <v>0</v>
      </c>
      <c r="AD31" s="303">
        <f t="shared" si="35"/>
        <v>0</v>
      </c>
      <c r="AE31" s="303">
        <f t="shared" si="35"/>
        <v>0</v>
      </c>
      <c r="AF31" s="303">
        <f t="shared" si="35"/>
        <v>0</v>
      </c>
      <c r="AG31" s="303">
        <f t="shared" si="35"/>
        <v>0</v>
      </c>
      <c r="AH31" s="303">
        <f t="shared" si="35"/>
        <v>0</v>
      </c>
      <c r="AI31" s="303">
        <f t="shared" si="35"/>
        <v>0</v>
      </c>
      <c r="AJ31" s="303">
        <f t="shared" si="35"/>
        <v>0</v>
      </c>
      <c r="AK31" s="303">
        <f t="shared" si="35"/>
        <v>0</v>
      </c>
      <c r="AL31" s="303">
        <f t="shared" si="35"/>
        <v>0</v>
      </c>
      <c r="AM31" s="303">
        <f t="shared" si="35"/>
        <v>0</v>
      </c>
      <c r="AN31" s="303">
        <f t="shared" si="35"/>
        <v>0</v>
      </c>
      <c r="AO31" s="303">
        <f t="shared" si="35"/>
        <v>0</v>
      </c>
      <c r="AP31" s="303">
        <f t="shared" si="35"/>
        <v>0</v>
      </c>
      <c r="AQ31" s="303">
        <f t="shared" si="35"/>
        <v>0</v>
      </c>
      <c r="AR31" s="303">
        <f t="shared" si="35"/>
        <v>0</v>
      </c>
      <c r="AS31" s="303">
        <f t="shared" si="35"/>
        <v>0</v>
      </c>
      <c r="AT31" s="303">
        <f t="shared" si="35"/>
        <v>0</v>
      </c>
      <c r="AU31" s="303">
        <f t="shared" si="35"/>
        <v>0</v>
      </c>
      <c r="AV31" s="303">
        <f t="shared" si="35"/>
        <v>0</v>
      </c>
      <c r="AW31" s="303">
        <f t="shared" si="35"/>
        <v>0</v>
      </c>
    </row>
    <row r="32" spans="1:50">
      <c r="A32" s="151">
        <v>449100</v>
      </c>
      <c r="B32" s="151" t="s">
        <v>331</v>
      </c>
      <c r="C32" s="310">
        <v>0</v>
      </c>
      <c r="D32" s="310"/>
      <c r="E32" s="310"/>
      <c r="F32" s="310"/>
      <c r="G32" s="310"/>
      <c r="H32" s="310"/>
      <c r="I32" s="310"/>
      <c r="K32" s="311"/>
      <c r="L32" s="310"/>
      <c r="N32" s="301"/>
      <c r="O32" s="310"/>
      <c r="P32" s="170"/>
      <c r="R32" s="310"/>
      <c r="U32" s="310"/>
      <c r="W32" s="311"/>
      <c r="X32" s="310"/>
      <c r="Z32" s="301"/>
      <c r="AA32" s="310"/>
      <c r="AB32" s="170"/>
      <c r="AD32" s="310"/>
      <c r="AG32" s="310"/>
      <c r="AI32" s="311"/>
      <c r="AJ32" s="310"/>
      <c r="AL32" s="301"/>
      <c r="AM32" s="310"/>
      <c r="AN32" s="170"/>
      <c r="AP32" s="310"/>
      <c r="AS32" s="310"/>
      <c r="AU32" s="311"/>
      <c r="AV32" s="310"/>
      <c r="AX32" s="170"/>
    </row>
    <row r="33" spans="1:49">
      <c r="C33" s="301"/>
      <c r="D33" s="301"/>
      <c r="E33" s="301"/>
      <c r="F33" s="301"/>
      <c r="G33" s="301"/>
      <c r="H33" s="301"/>
    </row>
    <row r="34" spans="1:49">
      <c r="A34" s="397" t="s">
        <v>184</v>
      </c>
      <c r="B34" s="397"/>
      <c r="C34" s="301"/>
      <c r="D34" s="301"/>
      <c r="E34" s="301"/>
      <c r="F34" s="301"/>
      <c r="G34" s="301"/>
      <c r="H34" s="301"/>
    </row>
    <row r="35" spans="1:49">
      <c r="A35" s="293" t="s">
        <v>314</v>
      </c>
      <c r="B35" s="312" t="s">
        <v>344</v>
      </c>
      <c r="C35" s="301"/>
      <c r="D35" s="314" t="s">
        <v>346</v>
      </c>
      <c r="E35" s="314" t="s">
        <v>346</v>
      </c>
      <c r="F35" s="314" t="s">
        <v>346</v>
      </c>
      <c r="G35" s="314" t="s">
        <v>346</v>
      </c>
      <c r="H35" s="314" t="s">
        <v>346</v>
      </c>
      <c r="I35" s="314" t="s">
        <v>346</v>
      </c>
      <c r="J35" s="330" t="s">
        <v>346</v>
      </c>
      <c r="K35" s="334" t="s">
        <v>346</v>
      </c>
      <c r="L35" s="340" t="s">
        <v>346</v>
      </c>
      <c r="M35" s="367" t="s">
        <v>346</v>
      </c>
      <c r="N35" s="377" t="s">
        <v>346</v>
      </c>
      <c r="O35" s="294">
        <v>189814201.73591179</v>
      </c>
      <c r="P35" s="294">
        <v>186313253.76808581</v>
      </c>
      <c r="Q35" s="294">
        <v>164520840.98907495</v>
      </c>
      <c r="R35" s="294">
        <v>174180410.69505116</v>
      </c>
      <c r="S35" s="294">
        <v>162405194.71054432</v>
      </c>
      <c r="T35" s="294">
        <v>172942336.91653362</v>
      </c>
      <c r="U35" s="294">
        <v>176564147.13102299</v>
      </c>
      <c r="V35" s="294">
        <v>213507316.94989979</v>
      </c>
      <c r="W35" s="294">
        <v>200797741.49273083</v>
      </c>
      <c r="X35" s="294">
        <v>176607554.57601932</v>
      </c>
      <c r="Y35" s="294">
        <v>178093995.55826968</v>
      </c>
      <c r="Z35" s="294">
        <v>178102914.76759753</v>
      </c>
      <c r="AA35" s="294">
        <v>191076795.07881239</v>
      </c>
      <c r="AB35" s="294">
        <v>186640714.03679577</v>
      </c>
      <c r="AC35" s="294">
        <v>164542312.59761468</v>
      </c>
      <c r="AD35" s="294">
        <v>175036459.21899581</v>
      </c>
      <c r="AE35" s="294">
        <v>163258807.06129554</v>
      </c>
      <c r="AF35" s="294">
        <v>172768508.1582174</v>
      </c>
      <c r="AG35" s="294">
        <v>178370460.59688199</v>
      </c>
      <c r="AH35" s="294">
        <v>212605129.83371052</v>
      </c>
      <c r="AI35" s="294">
        <v>202971041.63094145</v>
      </c>
      <c r="AJ35" s="294">
        <v>176824826.77638102</v>
      </c>
      <c r="AK35" s="294">
        <v>180622932.2859315</v>
      </c>
      <c r="AL35" s="294">
        <v>179486955.44977126</v>
      </c>
      <c r="AM35" s="294">
        <v>192077685.63945252</v>
      </c>
      <c r="AN35" s="294">
        <v>187126487.69295251</v>
      </c>
      <c r="AO35" s="294">
        <v>164711259.79667628</v>
      </c>
      <c r="AP35" s="294">
        <v>175340247.40451962</v>
      </c>
      <c r="AQ35" s="294">
        <v>163020264.58256891</v>
      </c>
      <c r="AR35" s="294">
        <v>172617708.05657271</v>
      </c>
      <c r="AS35" s="294">
        <v>179607415.91563067</v>
      </c>
      <c r="AT35" s="294">
        <v>213340344.94658688</v>
      </c>
      <c r="AU35" s="294">
        <v>204491248.33575168</v>
      </c>
      <c r="AV35" s="294">
        <v>177270125.99340478</v>
      </c>
      <c r="AW35" s="294">
        <v>182995083.40999806</v>
      </c>
    </row>
    <row r="36" spans="1:49" s="297" customFormat="1">
      <c r="A36" s="295" t="s">
        <v>254</v>
      </c>
      <c r="B36" s="296"/>
      <c r="D36" s="297">
        <v>3.8000000000000002E-4</v>
      </c>
      <c r="E36" s="297">
        <f>D36</f>
        <v>3.8000000000000002E-4</v>
      </c>
      <c r="F36" s="297">
        <f t="shared" ref="F36" si="36">E36</f>
        <v>3.8000000000000002E-4</v>
      </c>
      <c r="G36" s="297">
        <f t="shared" ref="G36" si="37">F36</f>
        <v>3.8000000000000002E-4</v>
      </c>
      <c r="H36" s="297">
        <f t="shared" ref="H36:I36" si="38">G36</f>
        <v>3.8000000000000002E-4</v>
      </c>
      <c r="I36" s="297">
        <f t="shared" si="38"/>
        <v>3.8000000000000002E-4</v>
      </c>
      <c r="J36" s="297">
        <f>I36</f>
        <v>3.8000000000000002E-4</v>
      </c>
      <c r="K36" s="297">
        <f t="shared" ref="K36:AW36" si="39">J36</f>
        <v>3.8000000000000002E-4</v>
      </c>
      <c r="L36" s="297">
        <f t="shared" si="39"/>
        <v>3.8000000000000002E-4</v>
      </c>
      <c r="M36" s="297">
        <f t="shared" si="39"/>
        <v>3.8000000000000002E-4</v>
      </c>
      <c r="N36" s="338">
        <v>5.1999999999999995E-4</v>
      </c>
      <c r="O36" s="297">
        <f t="shared" ref="O36:Y36" si="40">N36</f>
        <v>5.1999999999999995E-4</v>
      </c>
      <c r="P36" s="297">
        <f t="shared" si="40"/>
        <v>5.1999999999999995E-4</v>
      </c>
      <c r="Q36" s="297">
        <f t="shared" si="40"/>
        <v>5.1999999999999995E-4</v>
      </c>
      <c r="R36" s="297">
        <f t="shared" si="40"/>
        <v>5.1999999999999995E-4</v>
      </c>
      <c r="S36" s="297">
        <f t="shared" si="40"/>
        <v>5.1999999999999995E-4</v>
      </c>
      <c r="T36" s="297">
        <f t="shared" si="40"/>
        <v>5.1999999999999995E-4</v>
      </c>
      <c r="U36" s="297">
        <f t="shared" si="40"/>
        <v>5.1999999999999995E-4</v>
      </c>
      <c r="V36" s="297">
        <f t="shared" si="40"/>
        <v>5.1999999999999995E-4</v>
      </c>
      <c r="W36" s="297">
        <f t="shared" si="40"/>
        <v>5.1999999999999995E-4</v>
      </c>
      <c r="X36" s="297">
        <f t="shared" si="40"/>
        <v>5.1999999999999995E-4</v>
      </c>
      <c r="Y36" s="297">
        <f t="shared" si="40"/>
        <v>5.1999999999999995E-4</v>
      </c>
      <c r="Z36" s="297">
        <f>ROUND(Z37-Z40,5)</f>
        <v>3.46E-3</v>
      </c>
      <c r="AA36" s="297">
        <f t="shared" si="39"/>
        <v>3.46E-3</v>
      </c>
      <c r="AB36" s="297">
        <f t="shared" si="39"/>
        <v>3.46E-3</v>
      </c>
      <c r="AC36" s="297">
        <f t="shared" si="39"/>
        <v>3.46E-3</v>
      </c>
      <c r="AD36" s="297">
        <f t="shared" si="39"/>
        <v>3.46E-3</v>
      </c>
      <c r="AE36" s="297">
        <f t="shared" si="39"/>
        <v>3.46E-3</v>
      </c>
      <c r="AF36" s="297">
        <f t="shared" si="39"/>
        <v>3.46E-3</v>
      </c>
      <c r="AG36" s="297">
        <f t="shared" si="39"/>
        <v>3.46E-3</v>
      </c>
      <c r="AH36" s="297">
        <f t="shared" si="39"/>
        <v>3.46E-3</v>
      </c>
      <c r="AI36" s="297">
        <f t="shared" si="39"/>
        <v>3.46E-3</v>
      </c>
      <c r="AJ36" s="297">
        <f t="shared" si="39"/>
        <v>3.46E-3</v>
      </c>
      <c r="AK36" s="297">
        <f t="shared" si="39"/>
        <v>3.46E-3</v>
      </c>
      <c r="AL36" s="297">
        <f>ROUND(AL37-AL40,5)</f>
        <v>0</v>
      </c>
      <c r="AM36" s="297">
        <f t="shared" si="39"/>
        <v>0</v>
      </c>
      <c r="AN36" s="297">
        <f t="shared" si="39"/>
        <v>0</v>
      </c>
      <c r="AO36" s="297">
        <f t="shared" si="39"/>
        <v>0</v>
      </c>
      <c r="AP36" s="297">
        <f t="shared" si="39"/>
        <v>0</v>
      </c>
      <c r="AQ36" s="297">
        <f t="shared" si="39"/>
        <v>0</v>
      </c>
      <c r="AR36" s="297">
        <f t="shared" si="39"/>
        <v>0</v>
      </c>
      <c r="AS36" s="297">
        <f t="shared" si="39"/>
        <v>0</v>
      </c>
      <c r="AT36" s="297">
        <f t="shared" si="39"/>
        <v>0</v>
      </c>
      <c r="AU36" s="297">
        <f t="shared" si="39"/>
        <v>0</v>
      </c>
      <c r="AV36" s="297">
        <f t="shared" si="39"/>
        <v>0</v>
      </c>
      <c r="AW36" s="297">
        <f t="shared" si="39"/>
        <v>0</v>
      </c>
    </row>
    <row r="37" spans="1:49">
      <c r="A37" s="293" t="s">
        <v>315</v>
      </c>
      <c r="B37" s="292"/>
      <c r="C37" s="301"/>
      <c r="D37" s="301"/>
      <c r="E37" s="301"/>
      <c r="F37" s="301"/>
      <c r="G37" s="301"/>
      <c r="H37" s="301"/>
      <c r="L37" s="222"/>
      <c r="N37" s="298">
        <f>ROUND((M48+M49+M54)*1.025/(SUM(N35:Y35)),5)</f>
        <v>5.6999999999999998E-4</v>
      </c>
      <c r="O37" s="300">
        <f>O5</f>
        <v>0.95444899999999999</v>
      </c>
      <c r="P37" s="201" t="s">
        <v>252</v>
      </c>
      <c r="Z37" s="298">
        <f>ROUND((Y48+Y49+Y54)*1.025/(SUM(Z35:AK35)),5)</f>
        <v>3.46E-3</v>
      </c>
      <c r="AA37" s="300">
        <f>AA5</f>
        <v>0.95444899999999999</v>
      </c>
      <c r="AB37" s="201" t="s">
        <v>252</v>
      </c>
      <c r="AL37" s="298">
        <f>ROUND((AK48+AK49+AK54)*1.025/(SUM(AL35:AW35)),5)</f>
        <v>0</v>
      </c>
      <c r="AM37" s="300">
        <f>AM5</f>
        <v>0.95444899999999999</v>
      </c>
      <c r="AN37" s="201" t="s">
        <v>252</v>
      </c>
      <c r="AV37" s="222"/>
    </row>
    <row r="38" spans="1:49">
      <c r="A38" s="293" t="s">
        <v>316</v>
      </c>
      <c r="B38" s="292"/>
      <c r="C38" s="301"/>
      <c r="D38" s="301"/>
      <c r="E38" s="301"/>
      <c r="F38" s="301"/>
      <c r="G38" s="301"/>
      <c r="H38" s="301"/>
      <c r="L38" s="222"/>
      <c r="N38" s="301">
        <f>IF(M36&gt;0,N37*SUM(N35:Y35)-M36*SUM(N35:Y35),N37*SUM(N35:Y35))</f>
        <v>379191.92895939725</v>
      </c>
      <c r="O38" s="338">
        <f>ROUND(N36/O37,5)</f>
        <v>5.4000000000000001E-4</v>
      </c>
      <c r="P38" s="339" t="s">
        <v>373</v>
      </c>
      <c r="Z38" s="301">
        <f>IF(Y36&gt;0,Z37*SUM(Z35:AK35)-Y36*SUM(Z35:AK35),Z37*SUM(Z35:AK35))</f>
        <v>6417493.4520069351</v>
      </c>
      <c r="AA38" s="297">
        <f>ROUND(Z36/AA37,5)</f>
        <v>3.63E-3</v>
      </c>
      <c r="AB38" s="201" t="s">
        <v>317</v>
      </c>
      <c r="AL38" s="301">
        <f>IF(AK36&gt;0,AL37*SUM(AL35:AW35)-AK36*SUM(AL35:AW35),AL37*SUM(AL35:AW35))</f>
        <v>-7584613.5021946458</v>
      </c>
      <c r="AM38" s="297">
        <f>ROUND(AL36/AM37,5)</f>
        <v>0</v>
      </c>
      <c r="AN38" s="201" t="s">
        <v>317</v>
      </c>
      <c r="AV38" s="222"/>
      <c r="AW38" s="297"/>
    </row>
    <row r="39" spans="1:49">
      <c r="A39" s="293" t="s">
        <v>318</v>
      </c>
      <c r="B39" s="292"/>
      <c r="C39" s="301"/>
      <c r="D39" s="301"/>
      <c r="E39" s="301"/>
      <c r="F39" s="301"/>
      <c r="G39" s="301"/>
      <c r="H39" s="301"/>
      <c r="L39" s="222" t="s">
        <v>319</v>
      </c>
      <c r="M39" s="313">
        <v>224250</v>
      </c>
      <c r="N39" s="301">
        <f>M39*1000*0.03</f>
        <v>6727500</v>
      </c>
      <c r="O39" s="303">
        <f>IF(M36&gt;0,M36*SUM(N35:Y35)+N39,N39)</f>
        <v>7485883.8579187952</v>
      </c>
      <c r="P39" s="151" t="s">
        <v>320</v>
      </c>
      <c r="X39" s="222" t="s">
        <v>319</v>
      </c>
      <c r="Y39" s="301">
        <f>M39</f>
        <v>224250</v>
      </c>
      <c r="Z39" s="301">
        <f>Y39*1000*0.03</f>
        <v>6727500</v>
      </c>
      <c r="AA39" s="303">
        <f>IF(Y36&gt;0,Y36*SUM(Z35:AK35)+Z39,Z39)</f>
        <v>7862566.8690624507</v>
      </c>
      <c r="AB39" s="151" t="s">
        <v>320</v>
      </c>
      <c r="AJ39" s="222" t="s">
        <v>319</v>
      </c>
      <c r="AK39" s="301">
        <f>Y39</f>
        <v>224250</v>
      </c>
      <c r="AL39" s="301">
        <f>AK39*1000*0.03</f>
        <v>6727500</v>
      </c>
      <c r="AM39" s="303">
        <f>IF(AK36&gt;0,AK36*SUM(AL35:AW35)+AL39,AL39)</f>
        <v>14312113.502194647</v>
      </c>
      <c r="AN39" s="151" t="s">
        <v>320</v>
      </c>
      <c r="AV39" s="222"/>
      <c r="AW39" s="301"/>
    </row>
    <row r="40" spans="1:49">
      <c r="A40" s="293" t="s">
        <v>321</v>
      </c>
      <c r="B40" s="292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277">
        <f>IF(N38&gt;N39,N37-N42,0)</f>
        <v>0</v>
      </c>
      <c r="Z40" s="277">
        <f>IF(Z38&gt;Z39,Z37-Z42,0)</f>
        <v>0</v>
      </c>
      <c r="AL40" s="277">
        <f>IF(AL38&gt;AL39,AL37-AL42,0)</f>
        <v>0</v>
      </c>
    </row>
    <row r="41" spans="1:49">
      <c r="A41" s="293" t="s">
        <v>322</v>
      </c>
      <c r="B41" s="292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277"/>
      <c r="Z41" s="301">
        <f>N40*Z35</f>
        <v>0</v>
      </c>
      <c r="AA41" s="301">
        <f>N40*AA35</f>
        <v>0</v>
      </c>
      <c r="AB41" s="301">
        <f>N40*AB35</f>
        <v>0</v>
      </c>
      <c r="AC41" s="301">
        <f>N40*AC35</f>
        <v>0</v>
      </c>
      <c r="AD41" s="301">
        <f>N40*AD35</f>
        <v>0</v>
      </c>
      <c r="AE41" s="301">
        <f>N40*AE35</f>
        <v>0</v>
      </c>
      <c r="AF41" s="301">
        <f>N40*AF35</f>
        <v>0</v>
      </c>
      <c r="AG41" s="301">
        <f>N40*AG35</f>
        <v>0</v>
      </c>
      <c r="AH41" s="301">
        <f>N40*AH35</f>
        <v>0</v>
      </c>
      <c r="AI41" s="301">
        <f>N40*AI35</f>
        <v>0</v>
      </c>
      <c r="AJ41" s="301">
        <f>N40*AJ35</f>
        <v>0</v>
      </c>
      <c r="AK41" s="301">
        <f>N40*AK35</f>
        <v>0</v>
      </c>
      <c r="AL41" s="301">
        <f>Z40*AL35</f>
        <v>0</v>
      </c>
      <c r="AM41" s="301">
        <f>Z40*AM35</f>
        <v>0</v>
      </c>
      <c r="AN41" s="301">
        <f>Z40*AN35</f>
        <v>0</v>
      </c>
      <c r="AO41" s="301">
        <f>Z40*AO35</f>
        <v>0</v>
      </c>
      <c r="AP41" s="301">
        <f>Z40*AP35</f>
        <v>0</v>
      </c>
      <c r="AQ41" s="301">
        <f>Z40*AQ35</f>
        <v>0</v>
      </c>
      <c r="AR41" s="301">
        <f>Z40*AR35</f>
        <v>0</v>
      </c>
      <c r="AS41" s="301">
        <f>Z40*AS35</f>
        <v>0</v>
      </c>
      <c r="AT41" s="301">
        <f>Z40*AT35</f>
        <v>0</v>
      </c>
      <c r="AU41" s="301">
        <f>Z40*AU35</f>
        <v>0</v>
      </c>
      <c r="AV41" s="301">
        <f>Z40*AV35</f>
        <v>0</v>
      </c>
      <c r="AW41" s="301">
        <f>Z40*AW35</f>
        <v>0</v>
      </c>
    </row>
    <row r="42" spans="1:49">
      <c r="A42" s="293" t="s">
        <v>358</v>
      </c>
      <c r="B42" s="317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277">
        <f>O39/SUM(N35:Y35)*O37</f>
        <v>3.5800601889489046E-3</v>
      </c>
      <c r="O42" s="303"/>
      <c r="X42" s="222"/>
      <c r="Y42" s="301"/>
      <c r="Z42" s="277">
        <f>AA39/SUM(Z35:AK35)*AA37</f>
        <v>3.4379454029350104E-3</v>
      </c>
      <c r="AA42" s="277">
        <f>Z42</f>
        <v>3.4379454029350104E-3</v>
      </c>
      <c r="AB42" s="277">
        <f t="shared" ref="AB42" si="41">AA42</f>
        <v>3.4379454029350104E-3</v>
      </c>
      <c r="AC42" s="277">
        <f t="shared" ref="AC42" si="42">AB42</f>
        <v>3.4379454029350104E-3</v>
      </c>
      <c r="AD42" s="277">
        <f t="shared" ref="AD42" si="43">AC42</f>
        <v>3.4379454029350104E-3</v>
      </c>
      <c r="AE42" s="277">
        <f t="shared" ref="AE42" si="44">AD42</f>
        <v>3.4379454029350104E-3</v>
      </c>
      <c r="AF42" s="277">
        <f t="shared" ref="AF42" si="45">AE42</f>
        <v>3.4379454029350104E-3</v>
      </c>
      <c r="AG42" s="277">
        <f t="shared" ref="AG42" si="46">AF42</f>
        <v>3.4379454029350104E-3</v>
      </c>
      <c r="AH42" s="277">
        <f t="shared" ref="AH42" si="47">AG42</f>
        <v>3.4379454029350104E-3</v>
      </c>
      <c r="AI42" s="277">
        <f t="shared" ref="AI42" si="48">AH42</f>
        <v>3.4379454029350104E-3</v>
      </c>
      <c r="AJ42" s="277">
        <f t="shared" ref="AJ42" si="49">AI42</f>
        <v>3.4379454029350104E-3</v>
      </c>
      <c r="AK42" s="277">
        <f t="shared" ref="AK42" si="50">AJ42</f>
        <v>3.4379454029350104E-3</v>
      </c>
      <c r="AL42" s="277">
        <f>AM39/SUM(AL35:AW35)*AM37</f>
        <v>6.2315938919917588E-3</v>
      </c>
      <c r="AM42" s="277">
        <f>AL42</f>
        <v>6.2315938919917588E-3</v>
      </c>
      <c r="AN42" s="277">
        <f t="shared" ref="AN42" si="51">AM42</f>
        <v>6.2315938919917588E-3</v>
      </c>
      <c r="AO42" s="277">
        <f t="shared" ref="AO42" si="52">AN42</f>
        <v>6.2315938919917588E-3</v>
      </c>
      <c r="AP42" s="277">
        <f t="shared" ref="AP42" si="53">AO42</f>
        <v>6.2315938919917588E-3</v>
      </c>
      <c r="AQ42" s="277">
        <f t="shared" ref="AQ42" si="54">AP42</f>
        <v>6.2315938919917588E-3</v>
      </c>
      <c r="AR42" s="277">
        <f t="shared" ref="AR42" si="55">AQ42</f>
        <v>6.2315938919917588E-3</v>
      </c>
      <c r="AS42" s="277">
        <f t="shared" ref="AS42" si="56">AR42</f>
        <v>6.2315938919917588E-3</v>
      </c>
      <c r="AT42" s="277">
        <f t="shared" ref="AT42" si="57">AS42</f>
        <v>6.2315938919917588E-3</v>
      </c>
      <c r="AU42" s="277">
        <f t="shared" ref="AU42" si="58">AT42</f>
        <v>6.2315938919917588E-3</v>
      </c>
      <c r="AV42" s="277">
        <f t="shared" ref="AV42" si="59">AU42</f>
        <v>6.2315938919917588E-3</v>
      </c>
      <c r="AW42" s="277">
        <f t="shared" ref="AW42" si="60">AV42</f>
        <v>6.2315938919917588E-3</v>
      </c>
    </row>
    <row r="43" spans="1:49">
      <c r="A43" s="293" t="s">
        <v>359</v>
      </c>
      <c r="B43" s="317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1"/>
      <c r="O43" s="301">
        <f>SUMPRODUCT($Z35:$AK35,-$Z42:$AK42)-SUM($AL41:AM41)</f>
        <v>-7504419.0856097881</v>
      </c>
      <c r="P43" s="301">
        <f>SUMPRODUCT($Z35:$AK35,-$Z42:$AK42)-SUM($AL41:AN41)</f>
        <v>-7504419.0856097881</v>
      </c>
      <c r="Q43" s="301">
        <f>SUMPRODUCT($Z35:$AK35,-$Z42:$AK42)-SUM($AL41:AO41)</f>
        <v>-7504419.0856097881</v>
      </c>
      <c r="R43" s="301">
        <f>SUMPRODUCT($Z35:$AK35,-$Z42:$AK42)-SUM($AL41:AP41)</f>
        <v>-7504419.0856097881</v>
      </c>
      <c r="S43" s="301">
        <f>SUMPRODUCT($Z35:$AK35,-$Z42:$AK42)-SUM($AL41:AQ41)</f>
        <v>-7504419.0856097881</v>
      </c>
      <c r="T43" s="301">
        <f>SUMPRODUCT($Z35:$AK35,-$Z42:$AK42)-SUM($AL41:AR41)</f>
        <v>-7504419.0856097881</v>
      </c>
      <c r="U43" s="301">
        <f>SUMPRODUCT($Z35:$AK35,-$Z42:$AK42)-SUM($AL41:AS41)</f>
        <v>-7504419.0856097881</v>
      </c>
      <c r="V43" s="301">
        <f>SUMPRODUCT($Z35:$AK35,-$Z42:$AK42)-SUM($AL41:AT41)</f>
        <v>-7504419.0856097881</v>
      </c>
      <c r="W43" s="301">
        <f>SUMPRODUCT($Z35:$AK35,-$Z42:$AK42)-SUM($AL41:AU41)</f>
        <v>-7504419.0856097881</v>
      </c>
      <c r="X43" s="301">
        <f>SUMPRODUCT($Z35:$AK35,-$Z42:$AK42)-SUM($AL41:AV41)</f>
        <v>-7504419.0856097881</v>
      </c>
      <c r="Y43" s="301">
        <f>SUMPRODUCT($Z35:$AK35,-$Z42:$AK42)-SUM($AL41:AW41)</f>
        <v>-7504419.0856097881</v>
      </c>
      <c r="Z43" s="301"/>
      <c r="AA43" s="303"/>
      <c r="AJ43" s="222"/>
      <c r="AK43" s="301"/>
      <c r="AL43" s="301"/>
      <c r="AM43" s="303"/>
      <c r="AV43" s="222"/>
      <c r="AW43" s="304"/>
    </row>
    <row r="44" spans="1:49">
      <c r="A44" s="293" t="s">
        <v>361</v>
      </c>
      <c r="B44" s="317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O44" s="326">
        <f>IF($Y48&gt;0,IF(O43+O47+O48+O54&lt;0,0,+O43+O47+O48+O54),0)</f>
        <v>0</v>
      </c>
      <c r="P44" s="280">
        <f>IF($Y48&gt;0,IF(P43+P48+P54&lt;0,0,+P43+P48+P54),0)</f>
        <v>0</v>
      </c>
      <c r="Q44" s="280">
        <f t="shared" ref="Q44:Y44" si="61">IF($Y48&gt;0,IF(Q43+Q48+Q54&lt;0,0,+Q43+Q48+Q54),0)</f>
        <v>0</v>
      </c>
      <c r="R44" s="280">
        <f t="shared" si="61"/>
        <v>0</v>
      </c>
      <c r="S44" s="280">
        <f t="shared" si="61"/>
        <v>0</v>
      </c>
      <c r="T44" s="280">
        <f t="shared" si="61"/>
        <v>0</v>
      </c>
      <c r="U44" s="280">
        <f t="shared" si="61"/>
        <v>0</v>
      </c>
      <c r="V44" s="280">
        <f t="shared" si="61"/>
        <v>0</v>
      </c>
      <c r="W44" s="280">
        <f t="shared" si="61"/>
        <v>0</v>
      </c>
      <c r="X44" s="280">
        <f t="shared" si="61"/>
        <v>0</v>
      </c>
      <c r="Y44" s="280">
        <f t="shared" si="61"/>
        <v>0</v>
      </c>
    </row>
    <row r="45" spans="1:49" ht="6.6" customHeight="1">
      <c r="A45" s="293"/>
      <c r="B45" s="29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</row>
    <row r="46" spans="1:49">
      <c r="A46" s="151" t="s">
        <v>323</v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</row>
    <row r="47" spans="1:49">
      <c r="A47" s="151">
        <v>186338</v>
      </c>
      <c r="B47" s="151" t="s">
        <v>324</v>
      </c>
      <c r="C47" s="302">
        <v>1735911.16</v>
      </c>
      <c r="D47" s="306">
        <f>0-D58+(0+0-D58)/2*D56/12</f>
        <v>578803.71987320343</v>
      </c>
      <c r="E47" s="301">
        <f t="shared" ref="E47" si="62">D47-E58+(D47+D47-E58)/2*E56/12</f>
        <v>999486.0607444722</v>
      </c>
      <c r="F47" s="301">
        <f t="shared" ref="F47" si="63">E47-F58+(E47+E47-F58)/2*F56/12</f>
        <v>1181133.281605199</v>
      </c>
      <c r="G47" s="301">
        <f t="shared" ref="G47" si="64">F47-G58+(F47+F47-G58)/2*G56/12</f>
        <v>1706313.3533016783</v>
      </c>
      <c r="H47" s="301">
        <f t="shared" ref="H47" si="65">G47-H58+(G47+G47-H58)/2*H56/12</f>
        <v>2539903.5253491504</v>
      </c>
      <c r="I47" s="301">
        <f t="shared" ref="I47" si="66">H47-I58+(H47+H47-I58)/2*I56/12</f>
        <v>3390111.4803912365</v>
      </c>
      <c r="J47" s="301">
        <f t="shared" ref="J47:O47" si="67">I47-J58+(I47+I47-J58)/2*J56/12</f>
        <v>4117983.4915397097</v>
      </c>
      <c r="K47" s="301">
        <f t="shared" si="67"/>
        <v>4496341.481090229</v>
      </c>
      <c r="L47" s="301">
        <f t="shared" si="67"/>
        <v>5278663.19372724</v>
      </c>
      <c r="M47" s="301">
        <f t="shared" si="67"/>
        <v>5856350.5346373124</v>
      </c>
      <c r="N47" s="301">
        <f t="shared" si="67"/>
        <v>5272399.0964458138</v>
      </c>
      <c r="O47" s="301">
        <f t="shared" si="67"/>
        <v>7051825.01002979</v>
      </c>
      <c r="P47" s="306">
        <f>0-P58+(0+0-P58)/2*P56/12</f>
        <v>0</v>
      </c>
      <c r="Q47" s="301">
        <f>P47-Q58+(P47+P47-Q58)/2*Q56/12</f>
        <v>0</v>
      </c>
      <c r="R47" s="301">
        <f t="shared" ref="R47:Y47" si="68">Q47-R58+(Q47+Q47-R58)/2*R56/12</f>
        <v>0</v>
      </c>
      <c r="S47" s="301">
        <f t="shared" si="68"/>
        <v>0</v>
      </c>
      <c r="T47" s="301">
        <f t="shared" si="68"/>
        <v>0</v>
      </c>
      <c r="U47" s="301">
        <f t="shared" si="68"/>
        <v>0</v>
      </c>
      <c r="V47" s="301">
        <f t="shared" si="68"/>
        <v>0</v>
      </c>
      <c r="W47" s="301">
        <f t="shared" si="68"/>
        <v>0</v>
      </c>
      <c r="X47" s="301">
        <f t="shared" si="68"/>
        <v>0</v>
      </c>
      <c r="Y47" s="301">
        <f t="shared" si="68"/>
        <v>0</v>
      </c>
      <c r="Z47" s="301">
        <f>Y47-Z58+(Y47+Y47-Z58)/2*Z56/12</f>
        <v>0</v>
      </c>
      <c r="AA47" s="301">
        <f>Z47-AA58+(Z47+Z47-AA58)/2*AA56/12</f>
        <v>0</v>
      </c>
      <c r="AB47" s="306">
        <f>0-AB58+(0+0-AB58)/2*AB56/12</f>
        <v>0</v>
      </c>
      <c r="AC47" s="301">
        <f>AB47-AC58+(AB47+AB47-AC58)/2*AC56/12</f>
        <v>0</v>
      </c>
      <c r="AD47" s="301">
        <f t="shared" ref="AD47:AK47" si="69">AC47-AD58+(AC47+AC47-AD58)/2*AD56/12</f>
        <v>0</v>
      </c>
      <c r="AE47" s="301">
        <f t="shared" si="69"/>
        <v>0</v>
      </c>
      <c r="AF47" s="301">
        <f t="shared" si="69"/>
        <v>0</v>
      </c>
      <c r="AG47" s="301">
        <f t="shared" si="69"/>
        <v>0</v>
      </c>
      <c r="AH47" s="301">
        <f t="shared" si="69"/>
        <v>0</v>
      </c>
      <c r="AI47" s="301">
        <f t="shared" si="69"/>
        <v>0</v>
      </c>
      <c r="AJ47" s="301">
        <f t="shared" si="69"/>
        <v>0</v>
      </c>
      <c r="AK47" s="301">
        <f t="shared" si="69"/>
        <v>0</v>
      </c>
      <c r="AL47" s="301">
        <f>AK47-AL58+(AK47+AK47-AL58)/2*AL56/12</f>
        <v>0</v>
      </c>
      <c r="AM47" s="301">
        <f>AL47-AM58+(AL47+AL47-AM58)/2*AM56/12</f>
        <v>0</v>
      </c>
      <c r="AN47" s="306">
        <f>0-AN58+(0+0-AN58)/2*AN56/12</f>
        <v>0</v>
      </c>
      <c r="AO47" s="301">
        <f>AN47-AO58+(AN47+AN47-AO58)/2*AO56/12</f>
        <v>0</v>
      </c>
      <c r="AP47" s="301">
        <f t="shared" ref="AP47:AW47" si="70">AO47-AP58+(AO47+AO47-AP58)/2*AP56/12</f>
        <v>0</v>
      </c>
      <c r="AQ47" s="301">
        <f t="shared" si="70"/>
        <v>0</v>
      </c>
      <c r="AR47" s="301">
        <f t="shared" si="70"/>
        <v>0</v>
      </c>
      <c r="AS47" s="301">
        <f t="shared" si="70"/>
        <v>0</v>
      </c>
      <c r="AT47" s="301">
        <f t="shared" si="70"/>
        <v>0</v>
      </c>
      <c r="AU47" s="301">
        <f t="shared" si="70"/>
        <v>0</v>
      </c>
      <c r="AV47" s="301">
        <f t="shared" si="70"/>
        <v>0</v>
      </c>
      <c r="AW47" s="301">
        <f t="shared" si="70"/>
        <v>0</v>
      </c>
    </row>
    <row r="48" spans="1:49">
      <c r="A48" s="151">
        <v>182339</v>
      </c>
      <c r="B48" s="151" t="s">
        <v>325</v>
      </c>
      <c r="C48" s="302">
        <v>0</v>
      </c>
      <c r="D48" s="306">
        <f>C47+(C47+C54)*D56/12</f>
        <v>1739590.1482749998</v>
      </c>
      <c r="E48" s="301">
        <f t="shared" ref="E48:I48" si="71">D48+(D48+D54)*E56/12</f>
        <v>1743282.1663001403</v>
      </c>
      <c r="F48" s="301">
        <f t="shared" si="71"/>
        <v>1746987.2602224534</v>
      </c>
      <c r="G48" s="301">
        <f t="shared" si="71"/>
        <v>1750897.948716782</v>
      </c>
      <c r="H48" s="301">
        <f t="shared" si="71"/>
        <v>1754823.204525752</v>
      </c>
      <c r="I48" s="301">
        <f t="shared" si="71"/>
        <v>1758763.0819126104</v>
      </c>
      <c r="J48" s="301">
        <f>I48+(I48+I54)*J56/12</f>
        <v>1762912.2666077523</v>
      </c>
      <c r="K48" s="301">
        <f>J48+(J48+J54)*K56/12</f>
        <v>1767077.6676997442</v>
      </c>
      <c r="L48" s="301">
        <f>K48+(K48+K54)*L56/12</f>
        <v>1771259.3485676707</v>
      </c>
      <c r="M48" s="301">
        <f>L48+(L48+L54)*M56/12</f>
        <v>1775699.0501417504</v>
      </c>
      <c r="N48" s="301">
        <v>0</v>
      </c>
      <c r="O48" s="301">
        <v>0</v>
      </c>
      <c r="P48" s="306">
        <f>O47+(O47+O54)*P56/12</f>
        <v>7080972.5534045799</v>
      </c>
      <c r="Q48" s="301">
        <f>P48+(P48+P54)*Q56/12</f>
        <v>7110240.5732919853</v>
      </c>
      <c r="R48" s="301">
        <f t="shared" ref="R48:Y48" si="72">Q48+(Q48+Q54)*R56/12</f>
        <v>7139629.5676615918</v>
      </c>
      <c r="S48" s="301">
        <f t="shared" si="72"/>
        <v>7169140.0365412598</v>
      </c>
      <c r="T48" s="301">
        <f t="shared" si="72"/>
        <v>7198772.4820256308</v>
      </c>
      <c r="U48" s="301">
        <f t="shared" si="72"/>
        <v>7228527.4082846697</v>
      </c>
      <c r="V48" s="301">
        <f t="shared" si="72"/>
        <v>7258405.321572246</v>
      </c>
      <c r="W48" s="301">
        <f t="shared" si="72"/>
        <v>7288406.730234745</v>
      </c>
      <c r="X48" s="301">
        <f t="shared" si="72"/>
        <v>7318532.1447197152</v>
      </c>
      <c r="Y48" s="301">
        <f t="shared" si="72"/>
        <v>7348782.0775845563</v>
      </c>
      <c r="Z48" s="301">
        <v>0</v>
      </c>
      <c r="AA48" s="301">
        <v>0</v>
      </c>
      <c r="AB48" s="306">
        <f>AA47+(AA47+AA54)*AB56/12</f>
        <v>0</v>
      </c>
      <c r="AC48" s="301">
        <f>AB48+(AB48+AB54)*AC56/12</f>
        <v>0</v>
      </c>
      <c r="AD48" s="301">
        <f t="shared" ref="AD48:AK48" si="73">AC48+(AC48+AC54)*AD56/12</f>
        <v>0</v>
      </c>
      <c r="AE48" s="301">
        <f t="shared" si="73"/>
        <v>0</v>
      </c>
      <c r="AF48" s="301">
        <f t="shared" si="73"/>
        <v>0</v>
      </c>
      <c r="AG48" s="301">
        <f t="shared" si="73"/>
        <v>0</v>
      </c>
      <c r="AH48" s="301">
        <f t="shared" si="73"/>
        <v>0</v>
      </c>
      <c r="AI48" s="301">
        <f t="shared" si="73"/>
        <v>0</v>
      </c>
      <c r="AJ48" s="301">
        <f t="shared" si="73"/>
        <v>0</v>
      </c>
      <c r="AK48" s="301">
        <f t="shared" si="73"/>
        <v>0</v>
      </c>
      <c r="AL48" s="301">
        <v>0</v>
      </c>
      <c r="AM48" s="301">
        <v>0</v>
      </c>
      <c r="AN48" s="306">
        <f>AM47+(AM47+AM54)*AN56/12</f>
        <v>0</v>
      </c>
      <c r="AO48" s="301">
        <f>AN48+(AN48+AN54)*AO56/12</f>
        <v>0</v>
      </c>
      <c r="AP48" s="301">
        <f t="shared" ref="AP48:AW48" si="74">AO48+(AO48+AO54)*AP56/12</f>
        <v>0</v>
      </c>
      <c r="AQ48" s="301">
        <f t="shared" si="74"/>
        <v>0</v>
      </c>
      <c r="AR48" s="301">
        <f t="shared" si="74"/>
        <v>0</v>
      </c>
      <c r="AS48" s="301">
        <f t="shared" si="74"/>
        <v>0</v>
      </c>
      <c r="AT48" s="301">
        <f t="shared" si="74"/>
        <v>0</v>
      </c>
      <c r="AU48" s="301">
        <f t="shared" si="74"/>
        <v>0</v>
      </c>
      <c r="AV48" s="301">
        <f t="shared" si="74"/>
        <v>0</v>
      </c>
      <c r="AW48" s="301">
        <f t="shared" si="74"/>
        <v>0</v>
      </c>
    </row>
    <row r="49" spans="1:49">
      <c r="A49" s="151">
        <v>182338</v>
      </c>
      <c r="B49" s="151" t="s">
        <v>326</v>
      </c>
      <c r="C49" s="302">
        <v>689441.81</v>
      </c>
      <c r="D49" s="301">
        <f t="shared" ref="D49:I49" si="75">C49-D59+(C49+C49-D59)/2*D56/12</f>
        <v>625559.05100104166</v>
      </c>
      <c r="E49" s="301">
        <f t="shared" si="75"/>
        <v>560279.62161083706</v>
      </c>
      <c r="F49" s="301">
        <f t="shared" si="75"/>
        <v>498344.8352665421</v>
      </c>
      <c r="G49" s="301">
        <f t="shared" si="75"/>
        <v>438278.90965779865</v>
      </c>
      <c r="H49" s="301">
        <f t="shared" si="75"/>
        <v>372911.40347467182</v>
      </c>
      <c r="I49" s="301">
        <f t="shared" si="75"/>
        <v>305605.42887734825</v>
      </c>
      <c r="J49" s="301">
        <f>I49-J59+(I49+I49-J59)/2*J56/12</f>
        <v>228449.73781360881</v>
      </c>
      <c r="K49" s="301">
        <f>J49-K59+(J49+J49-K59)/2*K56/12</f>
        <v>155294.28006774915</v>
      </c>
      <c r="L49" s="301">
        <f>K49-L59+(K49+K49-L59)/2*L56/12</f>
        <v>91564.995697089966</v>
      </c>
      <c r="M49" s="301">
        <f>L49-M59+(L49+L49-M59)/2*M56/12</f>
        <v>21974.917556782948</v>
      </c>
      <c r="N49" s="306">
        <f>IF(M48+M49+M54&gt;0,(M48+M49+M54)-N59+(M48+M49+M54-N59/2)*N56/12,0)</f>
        <v>1015188.1010409761</v>
      </c>
      <c r="O49" s="301">
        <f>IF(N49&lt;&gt;0,N49-O59+(N49+N49-O59)/2*O56/12,0)</f>
        <v>931706.80044957588</v>
      </c>
      <c r="P49" s="301">
        <f>IF(O49&lt;&gt;0,O49-P59+(O49+O49-P59)/2*P56/12,0)</f>
        <v>838474.73862198007</v>
      </c>
      <c r="Q49" s="301">
        <f>IF(P49&lt;&gt;0,P49-Q59+(P49+P49-Q59)/2*Q56/12,0)</f>
        <v>756212.79183018231</v>
      </c>
      <c r="R49" s="301">
        <f t="shared" ref="R49:Y49" si="76">IF(Q49&lt;&gt;0,Q49-R59+(Q49+Q49-R59)/2*R56/12,0)</f>
        <v>668577.47192696016</v>
      </c>
      <c r="S49" s="301">
        <f t="shared" si="76"/>
        <v>586715.69277885964</v>
      </c>
      <c r="T49" s="301">
        <f t="shared" si="76"/>
        <v>499024.91374767513</v>
      </c>
      <c r="U49" s="301">
        <f t="shared" si="76"/>
        <v>409084.44594625011</v>
      </c>
      <c r="V49" s="301">
        <f t="shared" si="76"/>
        <v>299522.07431226457</v>
      </c>
      <c r="W49" s="301">
        <f t="shared" si="76"/>
        <v>196129.48267034441</v>
      </c>
      <c r="X49" s="301">
        <f t="shared" si="76"/>
        <v>104914.42856720077</v>
      </c>
      <c r="Y49" s="301">
        <f t="shared" si="76"/>
        <v>12547.805501085015</v>
      </c>
      <c r="Z49" s="306">
        <f>IF(Y48+Y49+Y54&gt;0,(Y48+Y49+Y54)-Z59+(Y48+Y49+Y54-Z59/2)*Z56/12,0)</f>
        <v>6774247.0735973101</v>
      </c>
      <c r="AA49" s="301">
        <f>IF(Z49&lt;&gt;0,Z49-AA59+(Z49+Z49-AA59)/2*AA56/12,0)</f>
        <v>6139755.2573928116</v>
      </c>
      <c r="AB49" s="301">
        <f>IF(AA49&lt;&gt;0,AA49-AB59+(AA49+AA49-AB59)/2*AB56/12,0)</f>
        <v>5518021.4363568826</v>
      </c>
      <c r="AC49" s="301">
        <f>IF(AB49&lt;&gt;0,AB49-AC59+(AB49+AB49-AC59)/2*AC56/12,0)</f>
        <v>4970336.2694761297</v>
      </c>
      <c r="AD49" s="301">
        <f t="shared" ref="AD49:AK49" si="77">IF(AC49&lt;&gt;0,AC49-AD59+(AC49+AC49-AD59)/2*AD56/12,0)</f>
        <v>4384002.5497845169</v>
      </c>
      <c r="AE49" s="301">
        <f t="shared" si="77"/>
        <v>3836080.2119151843</v>
      </c>
      <c r="AF49" s="301">
        <f t="shared" si="77"/>
        <v>3252921.5618846649</v>
      </c>
      <c r="AG49" s="301">
        <f t="shared" si="77"/>
        <v>2647929.7096350016</v>
      </c>
      <c r="AH49" s="301">
        <f t="shared" si="77"/>
        <v>1921740.4681284567</v>
      </c>
      <c r="AI49" s="301">
        <f t="shared" si="77"/>
        <v>1225952.4797586412</v>
      </c>
      <c r="AJ49" s="301">
        <f t="shared" si="77"/>
        <v>617941.43396736297</v>
      </c>
      <c r="AK49" s="301">
        <f t="shared" si="77"/>
        <v>-5751.3281960274799</v>
      </c>
      <c r="AL49" s="306">
        <f>IF(AK48+AK49+AK54&gt;0,(AK48+AK49+AK54)-AL59+(AK48+AK49+AK54-AL59/2)*AL56/12,0)</f>
        <v>0</v>
      </c>
      <c r="AM49" s="301">
        <f>IF(AL49&lt;&gt;0,AL49-AM59+(AL49+AL49-AM59)/2*AM56/12,0)</f>
        <v>0</v>
      </c>
      <c r="AN49" s="301">
        <f>IF(AM49&lt;&gt;0,AM49-AN59+(AM49+AM49-AN59)/2*AN56/12,0)</f>
        <v>0</v>
      </c>
      <c r="AO49" s="301">
        <f>IF(AN49&lt;&gt;0,AN49-AO59+(AN49+AN49-AO59)/2*AO56/12,0)</f>
        <v>0</v>
      </c>
      <c r="AP49" s="301">
        <f t="shared" ref="AP49:AW49" si="78">IF(AO49&lt;&gt;0,AO49-AP59+(AO49+AO49-AP59)/2*AP56/12,0)</f>
        <v>0</v>
      </c>
      <c r="AQ49" s="301">
        <f t="shared" si="78"/>
        <v>0</v>
      </c>
      <c r="AR49" s="301">
        <f t="shared" si="78"/>
        <v>0</v>
      </c>
      <c r="AS49" s="301">
        <f t="shared" si="78"/>
        <v>0</v>
      </c>
      <c r="AT49" s="301">
        <f t="shared" si="78"/>
        <v>0</v>
      </c>
      <c r="AU49" s="301">
        <f t="shared" si="78"/>
        <v>0</v>
      </c>
      <c r="AV49" s="301">
        <f t="shared" si="78"/>
        <v>0</v>
      </c>
      <c r="AW49" s="301">
        <f t="shared" si="78"/>
        <v>0</v>
      </c>
    </row>
    <row r="50" spans="1:49" ht="15" thickBot="1">
      <c r="A50" s="151">
        <v>254338</v>
      </c>
      <c r="B50" s="151" t="s">
        <v>327</v>
      </c>
      <c r="C50" s="302">
        <v>0</v>
      </c>
      <c r="N50" s="306">
        <f>IF((M48+M49+M54)&lt;0,(M48+M49+M54)-N59+(M48+M49+M54-N59/2)*N56/12,0)</f>
        <v>0</v>
      </c>
      <c r="O50" s="301">
        <f>IF(N50&lt;&gt;0,N50-O59+(N50+N50-O59)/2*O56/12,0)</f>
        <v>0</v>
      </c>
      <c r="P50" s="301">
        <f>IF(O50&lt;&gt;0,O50-P59+(O50+O50-P59)/2*P56/12,0)</f>
        <v>0</v>
      </c>
      <c r="Q50" s="301">
        <f>IF(P50&lt;&gt;0,P50-Q59+(P50+P50-Q59)/2*Q56/12,0)</f>
        <v>0</v>
      </c>
      <c r="R50" s="301">
        <f t="shared" ref="R50:Y50" si="79">IF(Q50&lt;&gt;0,Q50-R59+(Q50+Q50-R59)/2*R56/12,0)</f>
        <v>0</v>
      </c>
      <c r="S50" s="301">
        <f t="shared" si="79"/>
        <v>0</v>
      </c>
      <c r="T50" s="301">
        <f t="shared" si="79"/>
        <v>0</v>
      </c>
      <c r="U50" s="301">
        <f t="shared" si="79"/>
        <v>0</v>
      </c>
      <c r="V50" s="301">
        <f t="shared" si="79"/>
        <v>0</v>
      </c>
      <c r="W50" s="301">
        <f t="shared" si="79"/>
        <v>0</v>
      </c>
      <c r="X50" s="301">
        <f t="shared" si="79"/>
        <v>0</v>
      </c>
      <c r="Y50" s="301">
        <f t="shared" si="79"/>
        <v>0</v>
      </c>
      <c r="Z50" s="306">
        <f>IF((Y48+Y49+Y54)&lt;0,(Y48+Y49+Y54)-Z59+(Y48+Y49+Y54-Z59/2)*Z56/12,0)</f>
        <v>0</v>
      </c>
      <c r="AA50" s="301">
        <f>IF(Z50&lt;&gt;0,Z50-AA59+(Z50+Z50-AA59)/2*AA56/12,0)</f>
        <v>0</v>
      </c>
      <c r="AB50" s="301">
        <f>IF(AA50&lt;&gt;0,AA50-AB59+(AA50+AA50-AB59)/2*AB56/12,0)</f>
        <v>0</v>
      </c>
      <c r="AC50" s="301">
        <f>IF(AB50&lt;&gt;0,AB50-AC59+(AB50+AB50-AC59)/2*AC56/12,0)</f>
        <v>0</v>
      </c>
      <c r="AD50" s="301">
        <f t="shared" ref="AD50:AK50" si="80">IF(AC50&lt;&gt;0,AC50-AD59+(AC50+AC50-AD59)/2*AD56/12,0)</f>
        <v>0</v>
      </c>
      <c r="AE50" s="301">
        <f t="shared" si="80"/>
        <v>0</v>
      </c>
      <c r="AF50" s="301">
        <f t="shared" si="80"/>
        <v>0</v>
      </c>
      <c r="AG50" s="301">
        <f t="shared" si="80"/>
        <v>0</v>
      </c>
      <c r="AH50" s="301">
        <f t="shared" si="80"/>
        <v>0</v>
      </c>
      <c r="AI50" s="301">
        <f t="shared" si="80"/>
        <v>0</v>
      </c>
      <c r="AJ50" s="301">
        <f t="shared" si="80"/>
        <v>0</v>
      </c>
      <c r="AK50" s="301">
        <f t="shared" si="80"/>
        <v>0</v>
      </c>
      <c r="AL50" s="306">
        <f>IF((AK48+AK49+AK54)&lt;0,(AK48+AK49+AK54)-AL59+(AK48+AK49+AK54-AL59/2)*AL56/12,0)</f>
        <v>-5775.1003525710603</v>
      </c>
      <c r="AM50" s="301">
        <f>IF(AL50&lt;&gt;0,AL50-AM59+(AL50+AL50-AM59)/2*AM56/12,0)</f>
        <v>-5798.9707673616876</v>
      </c>
      <c r="AN50" s="301">
        <f>IF(AM50&lt;&gt;0,AM50-AN59+(AM50+AM50-AN59)/2*AN56/12,0)</f>
        <v>-5822.9398465334489</v>
      </c>
      <c r="AO50" s="301">
        <f>IF(AN50&lt;&gt;0,AN50-AO59+(AN50+AN50-AO59)/2*AO56/12,0)</f>
        <v>-5847.0079978991207</v>
      </c>
      <c r="AP50" s="301">
        <f t="shared" ref="AP50:AW50" si="81">IF(AO50&lt;&gt;0,AO50-AP59+(AO50+AO50-AP59)/2*AP56/12,0)</f>
        <v>-5871.1756309571037</v>
      </c>
      <c r="AQ50" s="301">
        <f t="shared" si="81"/>
        <v>-5895.4431568983928</v>
      </c>
      <c r="AR50" s="301">
        <f t="shared" si="81"/>
        <v>-5919.8109886135726</v>
      </c>
      <c r="AS50" s="301">
        <f t="shared" si="81"/>
        <v>-5944.2795406998421</v>
      </c>
      <c r="AT50" s="301">
        <f t="shared" si="81"/>
        <v>-5968.8492294680682</v>
      </c>
      <c r="AU50" s="301">
        <f t="shared" si="81"/>
        <v>-5993.5204729498691</v>
      </c>
      <c r="AV50" s="301">
        <f t="shared" si="81"/>
        <v>-6018.2936909047285</v>
      </c>
      <c r="AW50" s="301">
        <f t="shared" si="81"/>
        <v>-6043.1693048271345</v>
      </c>
    </row>
    <row r="51" spans="1:49" ht="15" thickBot="1">
      <c r="A51" s="151">
        <v>253311</v>
      </c>
      <c r="B51" s="151" t="s">
        <v>328</v>
      </c>
      <c r="C51" s="307">
        <f>SUM(AB41:AK41)</f>
        <v>0</v>
      </c>
      <c r="N51" s="301"/>
      <c r="O51" s="332">
        <f>-O44</f>
        <v>0</v>
      </c>
      <c r="AA51" s="307"/>
      <c r="AM51" s="307"/>
    </row>
    <row r="52" spans="1:49">
      <c r="A52" s="151">
        <v>253312</v>
      </c>
      <c r="B52" s="151" t="s">
        <v>329</v>
      </c>
      <c r="C52" s="302">
        <v>0</v>
      </c>
      <c r="D52" s="331">
        <f>SUM(AB41:AK41)</f>
        <v>0</v>
      </c>
      <c r="E52" s="331">
        <f>SUM(AC41:AK41)</f>
        <v>0</v>
      </c>
      <c r="F52" s="331">
        <f>SUM(AD41:AK41)</f>
        <v>0</v>
      </c>
      <c r="G52" s="331">
        <f>SUM(AE41:AK41)</f>
        <v>0</v>
      </c>
      <c r="H52" s="331">
        <f>SUM(AF41:AK41)</f>
        <v>0</v>
      </c>
      <c r="I52" s="331">
        <f>SUM(AG41:AK41)</f>
        <v>0</v>
      </c>
      <c r="J52" s="331">
        <f>SUM(AH41:AK41)</f>
        <v>0</v>
      </c>
      <c r="K52" s="331">
        <f>SUM(AI41:AK41)</f>
        <v>0</v>
      </c>
      <c r="L52" s="331">
        <f>SUM(AJ41:AK41)</f>
        <v>0</v>
      </c>
      <c r="M52" s="331">
        <f>SUM(AK41:AK41)</f>
        <v>0</v>
      </c>
      <c r="N52" s="301"/>
      <c r="O52" s="303"/>
      <c r="P52" s="303">
        <f>-P44</f>
        <v>0</v>
      </c>
      <c r="Q52" s="303">
        <f t="shared" ref="Q52:Y52" si="82">-Q44</f>
        <v>0</v>
      </c>
      <c r="R52" s="303">
        <f t="shared" si="82"/>
        <v>0</v>
      </c>
      <c r="S52" s="303">
        <f t="shared" si="82"/>
        <v>0</v>
      </c>
      <c r="T52" s="303">
        <f t="shared" si="82"/>
        <v>0</v>
      </c>
      <c r="U52" s="303">
        <f t="shared" si="82"/>
        <v>0</v>
      </c>
      <c r="V52" s="303">
        <f t="shared" si="82"/>
        <v>0</v>
      </c>
      <c r="W52" s="303">
        <f t="shared" si="82"/>
        <v>0</v>
      </c>
      <c r="X52" s="303">
        <f t="shared" si="82"/>
        <v>0</v>
      </c>
      <c r="Y52" s="303">
        <f t="shared" si="82"/>
        <v>0</v>
      </c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</row>
    <row r="53" spans="1:49">
      <c r="A53" s="151">
        <v>283328</v>
      </c>
      <c r="B53" s="151" t="s">
        <v>330</v>
      </c>
      <c r="C53" s="301">
        <f>SUM(C47:C52)*-0.21</f>
        <v>-509324.12369999994</v>
      </c>
      <c r="D53" s="301">
        <f t="shared" ref="D53:I53" si="83">SUM(D47:D52)*-0.21</f>
        <v>-618230.11302134139</v>
      </c>
      <c r="E53" s="301">
        <f t="shared" si="83"/>
        <v>-693640.04821764445</v>
      </c>
      <c r="F53" s="301">
        <f t="shared" si="83"/>
        <v>-719557.72918978089</v>
      </c>
      <c r="G53" s="301">
        <f t="shared" si="83"/>
        <v>-818052.9444520144</v>
      </c>
      <c r="H53" s="301">
        <f t="shared" si="83"/>
        <v>-980204.00800341053</v>
      </c>
      <c r="I53" s="301">
        <f t="shared" si="83"/>
        <v>-1145440.7981480509</v>
      </c>
      <c r="J53" s="301">
        <f t="shared" ref="J53:AW53" si="84">SUM(J47:J52)*-0.21</f>
        <v>-1282962.5541518249</v>
      </c>
      <c r="K53" s="301">
        <f t="shared" si="84"/>
        <v>-1347929.8200601216</v>
      </c>
      <c r="L53" s="301">
        <f t="shared" si="84"/>
        <v>-1499712.3829783201</v>
      </c>
      <c r="M53" s="301">
        <f t="shared" si="84"/>
        <v>-1607345.1454905276</v>
      </c>
      <c r="N53" s="301">
        <f t="shared" si="84"/>
        <v>-1320393.3114722259</v>
      </c>
      <c r="O53" s="301">
        <f t="shared" si="84"/>
        <v>-1676541.6802006669</v>
      </c>
      <c r="P53" s="301">
        <f t="shared" si="84"/>
        <v>-1663083.9313255774</v>
      </c>
      <c r="Q53" s="301">
        <f t="shared" si="84"/>
        <v>-1651955.206675655</v>
      </c>
      <c r="R53" s="301">
        <f t="shared" si="84"/>
        <v>-1639723.4783135958</v>
      </c>
      <c r="S53" s="301">
        <f t="shared" si="84"/>
        <v>-1628729.7031572249</v>
      </c>
      <c r="T53" s="301">
        <f t="shared" si="84"/>
        <v>-1616537.4531123941</v>
      </c>
      <c r="U53" s="301">
        <f t="shared" si="84"/>
        <v>-1603898.4893884931</v>
      </c>
      <c r="V53" s="301">
        <f t="shared" si="84"/>
        <v>-1587164.753135747</v>
      </c>
      <c r="W53" s="301">
        <f t="shared" si="84"/>
        <v>-1571752.6047100688</v>
      </c>
      <c r="X53" s="301">
        <f t="shared" si="84"/>
        <v>-1558923.7803902524</v>
      </c>
      <c r="Y53" s="301">
        <f t="shared" si="84"/>
        <v>-1545879.2754479845</v>
      </c>
      <c r="Z53" s="301">
        <f t="shared" si="84"/>
        <v>-1422591.8854554351</v>
      </c>
      <c r="AA53" s="301">
        <f t="shared" si="84"/>
        <v>-1289348.6040524903</v>
      </c>
      <c r="AB53" s="301">
        <f t="shared" si="84"/>
        <v>-1158784.5016349454</v>
      </c>
      <c r="AC53" s="301">
        <f t="shared" si="84"/>
        <v>-1043770.6165899872</v>
      </c>
      <c r="AD53" s="301">
        <f t="shared" si="84"/>
        <v>-920640.53545474855</v>
      </c>
      <c r="AE53" s="301">
        <f t="shared" si="84"/>
        <v>-805576.84450218861</v>
      </c>
      <c r="AF53" s="301">
        <f t="shared" si="84"/>
        <v>-683113.52799577964</v>
      </c>
      <c r="AG53" s="301">
        <f t="shared" si="84"/>
        <v>-556065.2390233503</v>
      </c>
      <c r="AH53" s="301">
        <f t="shared" si="84"/>
        <v>-403565.49830697587</v>
      </c>
      <c r="AI53" s="301">
        <f t="shared" si="84"/>
        <v>-257450.02074931466</v>
      </c>
      <c r="AJ53" s="301">
        <f t="shared" si="84"/>
        <v>-129767.70113314621</v>
      </c>
      <c r="AK53" s="301">
        <f t="shared" si="84"/>
        <v>1207.7789211657707</v>
      </c>
      <c r="AL53" s="301">
        <f t="shared" si="84"/>
        <v>1212.7710740399227</v>
      </c>
      <c r="AM53" s="301">
        <f t="shared" si="84"/>
        <v>1217.7838611459545</v>
      </c>
      <c r="AN53" s="301">
        <f t="shared" si="84"/>
        <v>1222.8173677720242</v>
      </c>
      <c r="AO53" s="301">
        <f t="shared" si="84"/>
        <v>1227.8716795588152</v>
      </c>
      <c r="AP53" s="301">
        <f t="shared" si="84"/>
        <v>1232.9468825009917</v>
      </c>
      <c r="AQ53" s="301">
        <f t="shared" si="84"/>
        <v>1238.0430629486625</v>
      </c>
      <c r="AR53" s="301">
        <f t="shared" si="84"/>
        <v>1243.1603076088502</v>
      </c>
      <c r="AS53" s="301">
        <f t="shared" si="84"/>
        <v>1248.2987035469669</v>
      </c>
      <c r="AT53" s="301">
        <f t="shared" si="84"/>
        <v>1253.4583381882942</v>
      </c>
      <c r="AU53" s="301">
        <f t="shared" si="84"/>
        <v>1258.6392993194725</v>
      </c>
      <c r="AV53" s="301">
        <f t="shared" si="84"/>
        <v>1263.841675089993</v>
      </c>
      <c r="AW53" s="301">
        <f t="shared" si="84"/>
        <v>1269.0655540136981</v>
      </c>
    </row>
    <row r="54" spans="1:49">
      <c r="A54" s="151">
        <v>229000</v>
      </c>
      <c r="B54" s="151" t="s">
        <v>331</v>
      </c>
      <c r="C54" s="302">
        <f>-1425255-C22</f>
        <v>-697138</v>
      </c>
      <c r="D54" s="303">
        <f t="shared" ref="D54:I54" si="85">C54</f>
        <v>-697138</v>
      </c>
      <c r="E54" s="303">
        <f t="shared" si="85"/>
        <v>-697138</v>
      </c>
      <c r="F54" s="303">
        <f t="shared" si="85"/>
        <v>-697138</v>
      </c>
      <c r="G54" s="303">
        <f t="shared" si="85"/>
        <v>-697138</v>
      </c>
      <c r="H54" s="303">
        <f t="shared" si="85"/>
        <v>-697138</v>
      </c>
      <c r="I54" s="303">
        <f t="shared" si="85"/>
        <v>-697138</v>
      </c>
      <c r="J54" s="303">
        <f>I54</f>
        <v>-697138</v>
      </c>
      <c r="K54" s="303">
        <f>J54</f>
        <v>-697138</v>
      </c>
      <c r="L54" s="303">
        <f>K54</f>
        <v>-697138</v>
      </c>
      <c r="M54" s="303">
        <f>L54</f>
        <v>-697138</v>
      </c>
      <c r="N54" s="306">
        <v>0</v>
      </c>
      <c r="O54" s="308">
        <f>-SUM(D64:O64)</f>
        <v>0</v>
      </c>
      <c r="P54" s="303">
        <f t="shared" ref="P54:Y54" si="86">O54</f>
        <v>0</v>
      </c>
      <c r="Q54" s="303">
        <f t="shared" si="86"/>
        <v>0</v>
      </c>
      <c r="R54" s="303">
        <f t="shared" si="86"/>
        <v>0</v>
      </c>
      <c r="S54" s="303">
        <f t="shared" si="86"/>
        <v>0</v>
      </c>
      <c r="T54" s="303">
        <f t="shared" si="86"/>
        <v>0</v>
      </c>
      <c r="U54" s="303">
        <f t="shared" si="86"/>
        <v>0</v>
      </c>
      <c r="V54" s="303">
        <f t="shared" si="86"/>
        <v>0</v>
      </c>
      <c r="W54" s="303">
        <f t="shared" si="86"/>
        <v>0</v>
      </c>
      <c r="X54" s="303">
        <f t="shared" si="86"/>
        <v>0</v>
      </c>
      <c r="Y54" s="303">
        <f t="shared" si="86"/>
        <v>0</v>
      </c>
      <c r="Z54" s="306">
        <v>0</v>
      </c>
      <c r="AA54" s="308">
        <f>-SUM(P64:AA64)</f>
        <v>0</v>
      </c>
      <c r="AB54" s="303">
        <f t="shared" ref="AB54:AK54" si="87">AA54</f>
        <v>0</v>
      </c>
      <c r="AC54" s="303">
        <f t="shared" si="87"/>
        <v>0</v>
      </c>
      <c r="AD54" s="303">
        <f t="shared" si="87"/>
        <v>0</v>
      </c>
      <c r="AE54" s="303">
        <f t="shared" si="87"/>
        <v>0</v>
      </c>
      <c r="AF54" s="303">
        <f t="shared" si="87"/>
        <v>0</v>
      </c>
      <c r="AG54" s="303">
        <f t="shared" si="87"/>
        <v>0</v>
      </c>
      <c r="AH54" s="303">
        <f t="shared" si="87"/>
        <v>0</v>
      </c>
      <c r="AI54" s="303">
        <f t="shared" si="87"/>
        <v>0</v>
      </c>
      <c r="AJ54" s="303">
        <f t="shared" si="87"/>
        <v>0</v>
      </c>
      <c r="AK54" s="303">
        <f t="shared" si="87"/>
        <v>0</v>
      </c>
      <c r="AL54" s="306">
        <v>0</v>
      </c>
      <c r="AM54" s="308">
        <f>-SUM(AB64:AM64)</f>
        <v>0</v>
      </c>
      <c r="AN54" s="303">
        <f t="shared" ref="AN54:AW54" si="88">AM54</f>
        <v>0</v>
      </c>
      <c r="AO54" s="303">
        <f t="shared" si="88"/>
        <v>0</v>
      </c>
      <c r="AP54" s="303">
        <f t="shared" si="88"/>
        <v>0</v>
      </c>
      <c r="AQ54" s="303">
        <f t="shared" si="88"/>
        <v>0</v>
      </c>
      <c r="AR54" s="303">
        <f t="shared" si="88"/>
        <v>0</v>
      </c>
      <c r="AS54" s="303">
        <f t="shared" si="88"/>
        <v>0</v>
      </c>
      <c r="AT54" s="303">
        <f t="shared" si="88"/>
        <v>0</v>
      </c>
      <c r="AU54" s="303">
        <f t="shared" si="88"/>
        <v>0</v>
      </c>
      <c r="AV54" s="303">
        <f t="shared" si="88"/>
        <v>0</v>
      </c>
      <c r="AW54" s="303">
        <f t="shared" si="88"/>
        <v>0</v>
      </c>
    </row>
    <row r="55" spans="1:49">
      <c r="A55" s="151">
        <v>190449</v>
      </c>
      <c r="B55" s="151" t="s">
        <v>332</v>
      </c>
      <c r="C55" s="301">
        <f>C54*-0.21</f>
        <v>146398.97999999998</v>
      </c>
      <c r="D55" s="301">
        <f t="shared" ref="D55:I55" si="89">D54*-0.21</f>
        <v>146398.97999999998</v>
      </c>
      <c r="E55" s="301">
        <f t="shared" si="89"/>
        <v>146398.97999999998</v>
      </c>
      <c r="F55" s="301">
        <f t="shared" si="89"/>
        <v>146398.97999999998</v>
      </c>
      <c r="G55" s="301">
        <f t="shared" si="89"/>
        <v>146398.97999999998</v>
      </c>
      <c r="H55" s="301">
        <f t="shared" si="89"/>
        <v>146398.97999999998</v>
      </c>
      <c r="I55" s="301">
        <f t="shared" si="89"/>
        <v>146398.97999999998</v>
      </c>
      <c r="J55" s="301">
        <f t="shared" ref="J55:AW55" si="90">J54*-0.21</f>
        <v>146398.97999999998</v>
      </c>
      <c r="K55" s="301">
        <f t="shared" si="90"/>
        <v>146398.97999999998</v>
      </c>
      <c r="L55" s="301">
        <f t="shared" si="90"/>
        <v>146398.97999999998</v>
      </c>
      <c r="M55" s="301">
        <f t="shared" si="90"/>
        <v>146398.97999999998</v>
      </c>
      <c r="N55" s="301">
        <f t="shared" si="90"/>
        <v>0</v>
      </c>
      <c r="O55" s="301">
        <f t="shared" si="90"/>
        <v>0</v>
      </c>
      <c r="P55" s="301">
        <f t="shared" si="90"/>
        <v>0</v>
      </c>
      <c r="Q55" s="301">
        <f t="shared" si="90"/>
        <v>0</v>
      </c>
      <c r="R55" s="301">
        <f t="shared" si="90"/>
        <v>0</v>
      </c>
      <c r="S55" s="301">
        <f t="shared" si="90"/>
        <v>0</v>
      </c>
      <c r="T55" s="301">
        <f t="shared" si="90"/>
        <v>0</v>
      </c>
      <c r="U55" s="301">
        <f t="shared" si="90"/>
        <v>0</v>
      </c>
      <c r="V55" s="301">
        <f t="shared" si="90"/>
        <v>0</v>
      </c>
      <c r="W55" s="301">
        <f t="shared" si="90"/>
        <v>0</v>
      </c>
      <c r="X55" s="301">
        <f t="shared" si="90"/>
        <v>0</v>
      </c>
      <c r="Y55" s="301">
        <f t="shared" si="90"/>
        <v>0</v>
      </c>
      <c r="Z55" s="301">
        <f t="shared" si="90"/>
        <v>0</v>
      </c>
      <c r="AA55" s="301">
        <f t="shared" si="90"/>
        <v>0</v>
      </c>
      <c r="AB55" s="301">
        <f t="shared" si="90"/>
        <v>0</v>
      </c>
      <c r="AC55" s="301">
        <f t="shared" si="90"/>
        <v>0</v>
      </c>
      <c r="AD55" s="301">
        <f t="shared" si="90"/>
        <v>0</v>
      </c>
      <c r="AE55" s="301">
        <f t="shared" si="90"/>
        <v>0</v>
      </c>
      <c r="AF55" s="301">
        <f t="shared" si="90"/>
        <v>0</v>
      </c>
      <c r="AG55" s="301">
        <f t="shared" si="90"/>
        <v>0</v>
      </c>
      <c r="AH55" s="301">
        <f t="shared" si="90"/>
        <v>0</v>
      </c>
      <c r="AI55" s="301">
        <f t="shared" si="90"/>
        <v>0</v>
      </c>
      <c r="AJ55" s="301">
        <f t="shared" si="90"/>
        <v>0</v>
      </c>
      <c r="AK55" s="301">
        <f t="shared" si="90"/>
        <v>0</v>
      </c>
      <c r="AL55" s="301">
        <f t="shared" si="90"/>
        <v>0</v>
      </c>
      <c r="AM55" s="301">
        <f t="shared" si="90"/>
        <v>0</v>
      </c>
      <c r="AN55" s="301">
        <f t="shared" si="90"/>
        <v>0</v>
      </c>
      <c r="AO55" s="301">
        <f t="shared" si="90"/>
        <v>0</v>
      </c>
      <c r="AP55" s="301">
        <f t="shared" si="90"/>
        <v>0</v>
      </c>
      <c r="AQ55" s="301">
        <f t="shared" si="90"/>
        <v>0</v>
      </c>
      <c r="AR55" s="301">
        <f t="shared" si="90"/>
        <v>0</v>
      </c>
      <c r="AS55" s="301">
        <f t="shared" si="90"/>
        <v>0</v>
      </c>
      <c r="AT55" s="301">
        <f t="shared" si="90"/>
        <v>0</v>
      </c>
      <c r="AU55" s="301">
        <f t="shared" si="90"/>
        <v>0</v>
      </c>
      <c r="AV55" s="301">
        <f t="shared" si="90"/>
        <v>0</v>
      </c>
      <c r="AW55" s="301">
        <f t="shared" si="90"/>
        <v>0</v>
      </c>
    </row>
    <row r="56" spans="1:49">
      <c r="B56" s="151" t="s">
        <v>333</v>
      </c>
      <c r="C56" s="301"/>
      <c r="D56" s="278">
        <f t="shared" ref="D56:I56" si="91">D24</f>
        <v>4.2500000000000003E-2</v>
      </c>
      <c r="E56" s="278">
        <f t="shared" si="91"/>
        <v>4.2500000000000003E-2</v>
      </c>
      <c r="F56" s="278">
        <f t="shared" si="91"/>
        <v>4.2500000000000003E-2</v>
      </c>
      <c r="G56" s="278">
        <f t="shared" si="91"/>
        <v>4.4699999999999997E-2</v>
      </c>
      <c r="H56" s="278">
        <f t="shared" si="91"/>
        <v>4.4699999999999997E-2</v>
      </c>
      <c r="I56" s="278">
        <f t="shared" si="91"/>
        <v>4.4699999999999997E-2</v>
      </c>
      <c r="J56" s="278">
        <f t="shared" ref="J56:AW56" si="92">J24</f>
        <v>4.6899999999999997E-2</v>
      </c>
      <c r="K56" s="278">
        <f t="shared" si="92"/>
        <v>4.6899999999999997E-2</v>
      </c>
      <c r="L56" s="278">
        <f t="shared" si="92"/>
        <v>4.6899999999999997E-2</v>
      </c>
      <c r="M56" s="278">
        <f t="shared" si="92"/>
        <v>4.9599999999999998E-2</v>
      </c>
      <c r="N56" s="278">
        <f t="shared" si="92"/>
        <v>4.9599999999999998E-2</v>
      </c>
      <c r="O56" s="278">
        <f t="shared" si="92"/>
        <v>4.9599999999999998E-2</v>
      </c>
      <c r="P56" s="278">
        <f t="shared" si="92"/>
        <v>4.9599999999999998E-2</v>
      </c>
      <c r="Q56" s="278">
        <f t="shared" si="92"/>
        <v>4.9599999999999998E-2</v>
      </c>
      <c r="R56" s="278">
        <f t="shared" si="92"/>
        <v>4.9599999999999998E-2</v>
      </c>
      <c r="S56" s="278">
        <f t="shared" si="92"/>
        <v>4.9599999999999998E-2</v>
      </c>
      <c r="T56" s="278">
        <f t="shared" si="92"/>
        <v>4.9599999999999998E-2</v>
      </c>
      <c r="U56" s="278">
        <f t="shared" si="92"/>
        <v>4.9599999999999998E-2</v>
      </c>
      <c r="V56" s="278">
        <f t="shared" si="92"/>
        <v>4.9599999999999998E-2</v>
      </c>
      <c r="W56" s="278">
        <f t="shared" si="92"/>
        <v>4.9599999999999998E-2</v>
      </c>
      <c r="X56" s="278">
        <f t="shared" si="92"/>
        <v>4.9599999999999998E-2</v>
      </c>
      <c r="Y56" s="278">
        <f t="shared" si="92"/>
        <v>4.9599999999999998E-2</v>
      </c>
      <c r="Z56" s="278">
        <f t="shared" si="92"/>
        <v>4.9599999999999998E-2</v>
      </c>
      <c r="AA56" s="278">
        <f t="shared" si="92"/>
        <v>4.9599999999999998E-2</v>
      </c>
      <c r="AB56" s="278">
        <f t="shared" si="92"/>
        <v>4.9599999999999998E-2</v>
      </c>
      <c r="AC56" s="278">
        <f t="shared" si="92"/>
        <v>4.9599999999999998E-2</v>
      </c>
      <c r="AD56" s="278">
        <f t="shared" si="92"/>
        <v>4.9599999999999998E-2</v>
      </c>
      <c r="AE56" s="278">
        <f t="shared" si="92"/>
        <v>4.9599999999999998E-2</v>
      </c>
      <c r="AF56" s="278">
        <f t="shared" si="92"/>
        <v>4.9599999999999998E-2</v>
      </c>
      <c r="AG56" s="278">
        <f t="shared" si="92"/>
        <v>4.9599999999999998E-2</v>
      </c>
      <c r="AH56" s="278">
        <f t="shared" si="92"/>
        <v>4.9599999999999998E-2</v>
      </c>
      <c r="AI56" s="278">
        <f t="shared" si="92"/>
        <v>4.9599999999999998E-2</v>
      </c>
      <c r="AJ56" s="278">
        <f t="shared" si="92"/>
        <v>4.9599999999999998E-2</v>
      </c>
      <c r="AK56" s="278">
        <f t="shared" si="92"/>
        <v>4.9599999999999998E-2</v>
      </c>
      <c r="AL56" s="278">
        <f t="shared" si="92"/>
        <v>4.9599999999999998E-2</v>
      </c>
      <c r="AM56" s="278">
        <f t="shared" si="92"/>
        <v>4.9599999999999998E-2</v>
      </c>
      <c r="AN56" s="278">
        <f t="shared" si="92"/>
        <v>4.9599999999999998E-2</v>
      </c>
      <c r="AO56" s="278">
        <f t="shared" si="92"/>
        <v>4.9599999999999998E-2</v>
      </c>
      <c r="AP56" s="278">
        <f t="shared" si="92"/>
        <v>4.9599999999999998E-2</v>
      </c>
      <c r="AQ56" s="278">
        <f t="shared" si="92"/>
        <v>4.9599999999999998E-2</v>
      </c>
      <c r="AR56" s="278">
        <f t="shared" si="92"/>
        <v>4.9599999999999998E-2</v>
      </c>
      <c r="AS56" s="278">
        <f t="shared" si="92"/>
        <v>4.9599999999999998E-2</v>
      </c>
      <c r="AT56" s="278">
        <f t="shared" si="92"/>
        <v>4.9599999999999998E-2</v>
      </c>
      <c r="AU56" s="278">
        <f t="shared" si="92"/>
        <v>4.9599999999999998E-2</v>
      </c>
      <c r="AV56" s="278">
        <f t="shared" si="92"/>
        <v>4.9599999999999998E-2</v>
      </c>
      <c r="AW56" s="278">
        <f t="shared" si="92"/>
        <v>4.9599999999999998E-2</v>
      </c>
    </row>
    <row r="57" spans="1:49">
      <c r="A57" s="151" t="s">
        <v>334</v>
      </c>
      <c r="C57" s="301"/>
    </row>
    <row r="58" spans="1:49">
      <c r="A58" s="151">
        <v>456338</v>
      </c>
      <c r="B58" s="151" t="s">
        <v>371</v>
      </c>
      <c r="C58" s="309"/>
      <c r="D58" s="302">
        <f>'Deferral Calc'!D65</f>
        <v>-577780.56678618619</v>
      </c>
      <c r="E58" s="302">
        <f>'Deferral Calc'!E65</f>
        <v>-417892.39325033699</v>
      </c>
      <c r="F58" s="302">
        <f>'Deferral Calc'!F65</f>
        <v>-177792.53345093745</v>
      </c>
      <c r="G58" s="302">
        <f>'Deferral Calc'!G65</f>
        <v>-519812.2</v>
      </c>
      <c r="H58" s="302">
        <f>'Deferral Calc'!H65</f>
        <v>-825696.29545613599</v>
      </c>
      <c r="I58" s="302">
        <f>'Deferral Calc'!I65</f>
        <v>-839183.83451837022</v>
      </c>
      <c r="J58" s="302">
        <f>'Deferral Calc'!J65</f>
        <v>-713228.55797224038</v>
      </c>
      <c r="K58" s="302">
        <f>'Deferral Calc'!K65</f>
        <v>-361556.99477712484</v>
      </c>
      <c r="L58" s="302">
        <f>'Deferral Calc'!L65</f>
        <v>-763256.98</v>
      </c>
      <c r="M58" s="302">
        <f>'Deferral Calc'!M65</f>
        <v>-554722.43999999994</v>
      </c>
      <c r="N58" s="302">
        <f>'Deferral Calc'!N65</f>
        <v>606903.42000000004</v>
      </c>
      <c r="O58" s="302">
        <f>'Deferral Calc'!O65</f>
        <v>-1754008.38</v>
      </c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</row>
    <row r="59" spans="1:49">
      <c r="A59" s="151">
        <v>456339</v>
      </c>
      <c r="B59" s="151" t="s">
        <v>372</v>
      </c>
      <c r="C59" s="301"/>
      <c r="D59" s="313">
        <f>'Deferral Calc'!D69</f>
        <v>66207.289999999994</v>
      </c>
      <c r="E59" s="313">
        <f>'Deferral Calc'!E69</f>
        <v>67375.64</v>
      </c>
      <c r="F59" s="313">
        <f>'Deferral Calc'!F69</f>
        <v>63806.12</v>
      </c>
      <c r="G59" s="313">
        <f>'Deferral Calc'!G69</f>
        <v>61807.1443138268</v>
      </c>
      <c r="H59" s="313">
        <f>'Deferral Calc'!H69</f>
        <v>66875.539429414814</v>
      </c>
      <c r="I59" s="313">
        <f>'Deferral Calc'!I69</f>
        <v>68567.362861936403</v>
      </c>
      <c r="J59" s="313">
        <f>'Deferral Calc'!J69</f>
        <v>78197.288413826405</v>
      </c>
      <c r="K59" s="313">
        <f>'Deferral Calc'!K69</f>
        <v>73903.894943113177</v>
      </c>
      <c r="L59" s="313">
        <f>'Deferral Calc'!L69</f>
        <v>64210.747679167587</v>
      </c>
      <c r="M59" s="313">
        <f>'Deferral Calc'!M69</f>
        <v>69824.243352925609</v>
      </c>
      <c r="N59" s="313">
        <f>'Deferral Calc'!N69</f>
        <v>89711.34521060923</v>
      </c>
      <c r="O59" s="313">
        <f>'Deferral Calc'!O69</f>
        <v>87496.585133094544</v>
      </c>
      <c r="P59" s="301">
        <f t="shared" ref="P59:AW59" si="93">P35*P36</f>
        <v>96882.891959404617</v>
      </c>
      <c r="Q59" s="301">
        <f t="shared" si="93"/>
        <v>85550.837314318967</v>
      </c>
      <c r="R59" s="301">
        <f t="shared" si="93"/>
        <v>90573.813561426592</v>
      </c>
      <c r="S59" s="301">
        <f t="shared" si="93"/>
        <v>84450.701249483041</v>
      </c>
      <c r="T59" s="301">
        <f t="shared" si="93"/>
        <v>89930.01519659748</v>
      </c>
      <c r="U59" s="301">
        <f t="shared" si="93"/>
        <v>91813.356508131954</v>
      </c>
      <c r="V59" s="301">
        <f t="shared" si="93"/>
        <v>111023.80481394788</v>
      </c>
      <c r="W59" s="301">
        <f t="shared" si="93"/>
        <v>104414.82557622001</v>
      </c>
      <c r="X59" s="301">
        <f t="shared" si="93"/>
        <v>91835.928379530043</v>
      </c>
      <c r="Y59" s="301">
        <f t="shared" si="93"/>
        <v>92608.877690300229</v>
      </c>
      <c r="Z59" s="301">
        <f t="shared" si="93"/>
        <v>616236.08509588742</v>
      </c>
      <c r="AA59" s="301">
        <f t="shared" si="93"/>
        <v>661125.71097269084</v>
      </c>
      <c r="AB59" s="301">
        <f t="shared" si="93"/>
        <v>645776.8705673134</v>
      </c>
      <c r="AC59" s="301">
        <f t="shared" si="93"/>
        <v>569316.4015877468</v>
      </c>
      <c r="AD59" s="301">
        <f t="shared" si="93"/>
        <v>605626.14889772551</v>
      </c>
      <c r="AE59" s="301">
        <f t="shared" si="93"/>
        <v>564875.47243208252</v>
      </c>
      <c r="AF59" s="301">
        <f t="shared" si="93"/>
        <v>597779.03822743217</v>
      </c>
      <c r="AG59" s="301">
        <f t="shared" si="93"/>
        <v>617161.79366521165</v>
      </c>
      <c r="AH59" s="301">
        <f t="shared" si="93"/>
        <v>735613.74922463845</v>
      </c>
      <c r="AI59" s="301">
        <f t="shared" si="93"/>
        <v>702279.80404305737</v>
      </c>
      <c r="AJ59" s="301">
        <f t="shared" si="93"/>
        <v>611813.90064627829</v>
      </c>
      <c r="AK59" s="301">
        <f t="shared" si="93"/>
        <v>624955.34570932295</v>
      </c>
      <c r="AL59" s="301">
        <f t="shared" si="93"/>
        <v>0</v>
      </c>
      <c r="AM59" s="301">
        <f t="shared" si="93"/>
        <v>0</v>
      </c>
      <c r="AN59" s="301">
        <f t="shared" si="93"/>
        <v>0</v>
      </c>
      <c r="AO59" s="301">
        <f t="shared" si="93"/>
        <v>0</v>
      </c>
      <c r="AP59" s="301">
        <f t="shared" si="93"/>
        <v>0</v>
      </c>
      <c r="AQ59" s="301">
        <f t="shared" si="93"/>
        <v>0</v>
      </c>
      <c r="AR59" s="301">
        <f t="shared" si="93"/>
        <v>0</v>
      </c>
      <c r="AS59" s="301">
        <f t="shared" si="93"/>
        <v>0</v>
      </c>
      <c r="AT59" s="301">
        <f t="shared" si="93"/>
        <v>0</v>
      </c>
      <c r="AU59" s="301">
        <f t="shared" si="93"/>
        <v>0</v>
      </c>
      <c r="AV59" s="301">
        <f t="shared" si="93"/>
        <v>0</v>
      </c>
      <c r="AW59" s="301">
        <f t="shared" si="93"/>
        <v>0</v>
      </c>
    </row>
    <row r="60" spans="1:49">
      <c r="A60" s="222" t="s">
        <v>337</v>
      </c>
      <c r="B60" s="151" t="s">
        <v>338</v>
      </c>
      <c r="C60" s="301"/>
      <c r="D60" s="303">
        <f t="shared" ref="D60" si="94">SUM(C47:C52,C54)-SUM(D47:D52,D54)-SUM(D58:D59,D63:D64)</f>
        <v>-7026.6723630587221</v>
      </c>
      <c r="E60" s="303">
        <f t="shared" ref="E60" si="95">SUM(D47:D52,D54)-SUM(E47:E52,E54)-SUM(E58:E59,E63:E64)</f>
        <v>-8578.1762558680493</v>
      </c>
      <c r="F60" s="303">
        <f t="shared" ref="F60" si="96">SUM(E47:E52,E54)-SUM(F47:F52,F54)-SUM(F58:F59,F63:F64)</f>
        <v>-9431.1149878076103</v>
      </c>
      <c r="G60" s="303">
        <f t="shared" ref="G60" si="97">SUM(F47:F52,F54)-SUM(G47:G52,G54)-SUM(G58:G59,G63:G64)</f>
        <v>-11019.778895891097</v>
      </c>
      <c r="H60" s="303">
        <f t="shared" ref="H60" si="98">SUM(G47:G52,G54)-SUM(H47:H52,H54)-SUM(H58:H59,H63:H64)</f>
        <v>-13327.165646593901</v>
      </c>
      <c r="I60" s="303">
        <f t="shared" ref="I60" si="99">SUM(H47:H52,H54)-SUM(I47:I52,I54)-SUM(I58:I59,I63:I64)</f>
        <v>-16225.386175186839</v>
      </c>
      <c r="J60" s="303">
        <f t="shared" ref="J60:AW60" si="100">SUM(I47:I52,I54)-SUM(J47:J52,J54)-SUM(J58:J59,J63:J64)</f>
        <v>-19834.235221462208</v>
      </c>
      <c r="K60" s="303">
        <f t="shared" si="100"/>
        <v>-21714.833062639693</v>
      </c>
      <c r="L60" s="303">
        <f t="shared" si="100"/>
        <v>-23727.876813445822</v>
      </c>
      <c r="M60" s="303">
        <f t="shared" si="100"/>
        <v>-27638.767696771538</v>
      </c>
      <c r="N60" s="303">
        <f>SUM(M47:M52,M54)-SUM(N47:N52,N54)-SUM(N58:N59,N63:N64)</f>
        <v>-27315.460361552774</v>
      </c>
      <c r="O60" s="303">
        <f t="shared" si="100"/>
        <v>-29432.818125671009</v>
      </c>
      <c r="P60" s="303">
        <f t="shared" si="100"/>
        <v>-32798.373506598218</v>
      </c>
      <c r="Q60" s="303">
        <f t="shared" si="100"/>
        <v>-32556.910409926539</v>
      </c>
      <c r="R60" s="303">
        <f t="shared" si="100"/>
        <v>-32327.488027811167</v>
      </c>
      <c r="S60" s="303">
        <f t="shared" si="100"/>
        <v>-32099.390981050208</v>
      </c>
      <c r="T60" s="303">
        <f t="shared" si="100"/>
        <v>-31871.681649783903</v>
      </c>
      <c r="U60" s="303">
        <f t="shared" si="100"/>
        <v>-31627.814965746249</v>
      </c>
      <c r="V60" s="303">
        <f t="shared" si="100"/>
        <v>-31339.346467538155</v>
      </c>
      <c r="W60" s="303">
        <f t="shared" si="100"/>
        <v>-31023.642596799255</v>
      </c>
      <c r="X60" s="303">
        <f t="shared" si="100"/>
        <v>-30746.288761356802</v>
      </c>
      <c r="Y60" s="303">
        <f t="shared" si="100"/>
        <v>-30492.187489025178</v>
      </c>
      <c r="Z60" s="303">
        <f t="shared" si="100"/>
        <v>-29153.275607556454</v>
      </c>
      <c r="AA60" s="303">
        <f t="shared" si="100"/>
        <v>-26633.894768192316</v>
      </c>
      <c r="AB60" s="303">
        <f t="shared" si="100"/>
        <v>-24043.049531384371</v>
      </c>
      <c r="AC60" s="303">
        <f t="shared" si="100"/>
        <v>-21631.234706993913</v>
      </c>
      <c r="AD60" s="303">
        <f t="shared" si="100"/>
        <v>-19292.429206112749</v>
      </c>
      <c r="AE60" s="303">
        <f t="shared" si="100"/>
        <v>-16953.134562749881</v>
      </c>
      <c r="AF60" s="303">
        <f t="shared" si="100"/>
        <v>-14620.388196912827</v>
      </c>
      <c r="AG60" s="303">
        <f t="shared" si="100"/>
        <v>-12169.941415548325</v>
      </c>
      <c r="AH60" s="303">
        <f t="shared" si="100"/>
        <v>-9424.5077180935768</v>
      </c>
      <c r="AI60" s="303">
        <f t="shared" si="100"/>
        <v>-6491.8156732418574</v>
      </c>
      <c r="AJ60" s="303">
        <f t="shared" si="100"/>
        <v>-3802.8548550000414</v>
      </c>
      <c r="AK60" s="303">
        <f t="shared" si="100"/>
        <v>-1262.5835459325463</v>
      </c>
      <c r="AL60" s="303">
        <f t="shared" si="100"/>
        <v>23.772156543580422</v>
      </c>
      <c r="AM60" s="303">
        <f t="shared" si="100"/>
        <v>23.870414790627365</v>
      </c>
      <c r="AN60" s="303">
        <f t="shared" si="100"/>
        <v>23.969079171761223</v>
      </c>
      <c r="AO60" s="303">
        <f t="shared" si="100"/>
        <v>24.068151365671838</v>
      </c>
      <c r="AP60" s="303">
        <f t="shared" si="100"/>
        <v>24.167633057983039</v>
      </c>
      <c r="AQ60" s="303">
        <f t="shared" si="100"/>
        <v>24.267525941289023</v>
      </c>
      <c r="AR60" s="303">
        <f t="shared" si="100"/>
        <v>24.367831715179818</v>
      </c>
      <c r="AS60" s="303">
        <f t="shared" si="100"/>
        <v>24.468552086269483</v>
      </c>
      <c r="AT60" s="303">
        <f t="shared" si="100"/>
        <v>24.569688768226115</v>
      </c>
      <c r="AU60" s="303">
        <f t="shared" si="100"/>
        <v>24.671243481800957</v>
      </c>
      <c r="AV60" s="303">
        <f t="shared" si="100"/>
        <v>24.773217954859319</v>
      </c>
      <c r="AW60" s="303">
        <f t="shared" si="100"/>
        <v>24.875613922406046</v>
      </c>
    </row>
    <row r="61" spans="1:49">
      <c r="A61" s="222" t="s">
        <v>339</v>
      </c>
      <c r="B61" s="151" t="s">
        <v>340</v>
      </c>
      <c r="C61" s="301"/>
      <c r="D61" s="303">
        <f t="shared" ref="D61:I61" si="101">SUM(D58:D59,D63:D64)*-0.21</f>
        <v>107430.3881250991</v>
      </c>
      <c r="E61" s="303">
        <f t="shared" si="101"/>
        <v>73608.518182570755</v>
      </c>
      <c r="F61" s="303">
        <f t="shared" si="101"/>
        <v>23937.146824696865</v>
      </c>
      <c r="G61" s="303">
        <f t="shared" si="101"/>
        <v>96181.061694096366</v>
      </c>
      <c r="H61" s="303">
        <f t="shared" si="101"/>
        <v>159352.35876561145</v>
      </c>
      <c r="I61" s="303">
        <f t="shared" si="101"/>
        <v>161829.45904785109</v>
      </c>
      <c r="J61" s="303">
        <f t="shared" ref="J61:AW61" si="102">SUM(J58:J59,J63:J64)*-0.21</f>
        <v>133356.56660726693</v>
      </c>
      <c r="K61" s="303">
        <f t="shared" si="102"/>
        <v>60407.150965142442</v>
      </c>
      <c r="L61" s="303">
        <f t="shared" si="102"/>
        <v>146799.70878737481</v>
      </c>
      <c r="M61" s="303">
        <f t="shared" si="102"/>
        <v>101828.6212958856</v>
      </c>
      <c r="N61" s="303">
        <f>SUM(N58:N59,N63:N64)*-0.21</f>
        <v>-146289.10069422793</v>
      </c>
      <c r="O61" s="303">
        <f t="shared" si="102"/>
        <v>349967.47692205012</v>
      </c>
      <c r="P61" s="303">
        <f t="shared" si="102"/>
        <v>-20345.40731147497</v>
      </c>
      <c r="Q61" s="303">
        <f t="shared" si="102"/>
        <v>-17965.675836006983</v>
      </c>
      <c r="R61" s="303">
        <f t="shared" si="102"/>
        <v>-19020.500847899584</v>
      </c>
      <c r="S61" s="303">
        <f t="shared" si="102"/>
        <v>-17734.647262391438</v>
      </c>
      <c r="T61" s="303">
        <f t="shared" si="102"/>
        <v>-18885.303191285471</v>
      </c>
      <c r="U61" s="303">
        <f t="shared" si="102"/>
        <v>-19280.804866707709</v>
      </c>
      <c r="V61" s="303">
        <f t="shared" si="102"/>
        <v>-23314.999010929052</v>
      </c>
      <c r="W61" s="303">
        <f t="shared" si="102"/>
        <v>-21927.113371006202</v>
      </c>
      <c r="X61" s="303">
        <f t="shared" si="102"/>
        <v>-19285.544959701307</v>
      </c>
      <c r="Y61" s="303">
        <f t="shared" si="102"/>
        <v>-19447.864314963048</v>
      </c>
      <c r="Z61" s="303">
        <f t="shared" si="102"/>
        <v>-129409.57787013636</v>
      </c>
      <c r="AA61" s="303">
        <f t="shared" si="102"/>
        <v>-138836.39930426507</v>
      </c>
      <c r="AB61" s="303">
        <f t="shared" si="102"/>
        <v>-135613.1428191358</v>
      </c>
      <c r="AC61" s="303">
        <f t="shared" si="102"/>
        <v>-119556.44433342683</v>
      </c>
      <c r="AD61" s="303">
        <f t="shared" si="102"/>
        <v>-127181.49126852235</v>
      </c>
      <c r="AE61" s="303">
        <f t="shared" si="102"/>
        <v>-118623.84921073733</v>
      </c>
      <c r="AF61" s="303">
        <f t="shared" si="102"/>
        <v>-125533.59802776075</v>
      </c>
      <c r="AG61" s="303">
        <f t="shared" si="102"/>
        <v>-129603.97666969444</v>
      </c>
      <c r="AH61" s="303">
        <f t="shared" si="102"/>
        <v>-154478.88733717406</v>
      </c>
      <c r="AI61" s="303">
        <f t="shared" si="102"/>
        <v>-147478.75884904203</v>
      </c>
      <c r="AJ61" s="303">
        <f t="shared" si="102"/>
        <v>-128480.91913571843</v>
      </c>
      <c r="AK61" s="303">
        <f t="shared" si="102"/>
        <v>-131240.62259895782</v>
      </c>
      <c r="AL61" s="303">
        <f t="shared" si="102"/>
        <v>0</v>
      </c>
      <c r="AM61" s="303">
        <f t="shared" si="102"/>
        <v>0</v>
      </c>
      <c r="AN61" s="303">
        <f t="shared" si="102"/>
        <v>0</v>
      </c>
      <c r="AO61" s="303">
        <f t="shared" si="102"/>
        <v>0</v>
      </c>
      <c r="AP61" s="303">
        <f t="shared" si="102"/>
        <v>0</v>
      </c>
      <c r="AQ61" s="303">
        <f t="shared" si="102"/>
        <v>0</v>
      </c>
      <c r="AR61" s="303">
        <f t="shared" si="102"/>
        <v>0</v>
      </c>
      <c r="AS61" s="303">
        <f t="shared" si="102"/>
        <v>0</v>
      </c>
      <c r="AT61" s="303">
        <f t="shared" si="102"/>
        <v>0</v>
      </c>
      <c r="AU61" s="303">
        <f t="shared" si="102"/>
        <v>0</v>
      </c>
      <c r="AV61" s="303">
        <f t="shared" si="102"/>
        <v>0</v>
      </c>
      <c r="AW61" s="303">
        <f t="shared" si="102"/>
        <v>0</v>
      </c>
    </row>
    <row r="62" spans="1:49">
      <c r="A62" s="222" t="s">
        <v>341</v>
      </c>
      <c r="B62" s="151" t="s">
        <v>342</v>
      </c>
      <c r="C62" s="301"/>
      <c r="D62" s="303">
        <f t="shared" ref="D62:I62" si="103">D60*-0.21</f>
        <v>1475.6011962423315</v>
      </c>
      <c r="E62" s="303">
        <f t="shared" si="103"/>
        <v>1801.4170137322903</v>
      </c>
      <c r="F62" s="303">
        <f t="shared" si="103"/>
        <v>1980.5341474395982</v>
      </c>
      <c r="G62" s="303">
        <f t="shared" si="103"/>
        <v>2314.1535681371302</v>
      </c>
      <c r="H62" s="303">
        <f t="shared" si="103"/>
        <v>2798.7047857847192</v>
      </c>
      <c r="I62" s="303">
        <f t="shared" si="103"/>
        <v>3407.3310967892362</v>
      </c>
      <c r="J62" s="303">
        <f t="shared" ref="J62:AW62" si="104">J60*-0.21</f>
        <v>4165.1893965070631</v>
      </c>
      <c r="K62" s="303">
        <f t="shared" si="104"/>
        <v>4560.1149431543354</v>
      </c>
      <c r="L62" s="303">
        <f t="shared" si="104"/>
        <v>4982.8541308236227</v>
      </c>
      <c r="M62" s="303">
        <f t="shared" si="104"/>
        <v>5804.141216322023</v>
      </c>
      <c r="N62" s="303">
        <f t="shared" si="104"/>
        <v>5736.2466759260824</v>
      </c>
      <c r="O62" s="303">
        <f t="shared" si="104"/>
        <v>6180.8918063909114</v>
      </c>
      <c r="P62" s="303">
        <f t="shared" si="104"/>
        <v>6887.6584363856255</v>
      </c>
      <c r="Q62" s="303">
        <f t="shared" si="104"/>
        <v>6836.9511860845732</v>
      </c>
      <c r="R62" s="303">
        <f t="shared" si="104"/>
        <v>6788.7724858403444</v>
      </c>
      <c r="S62" s="303">
        <f t="shared" si="104"/>
        <v>6740.8721060205435</v>
      </c>
      <c r="T62" s="303">
        <f t="shared" si="104"/>
        <v>6693.0531464546193</v>
      </c>
      <c r="U62" s="303">
        <f t="shared" si="104"/>
        <v>6641.841142806712</v>
      </c>
      <c r="V62" s="303">
        <f t="shared" si="104"/>
        <v>6581.262758183012</v>
      </c>
      <c r="W62" s="303">
        <f t="shared" si="104"/>
        <v>6514.9649453278435</v>
      </c>
      <c r="X62" s="303">
        <f t="shared" si="104"/>
        <v>6456.7206398849285</v>
      </c>
      <c r="Y62" s="303">
        <f t="shared" si="104"/>
        <v>6403.3593726952868</v>
      </c>
      <c r="Z62" s="303">
        <f t="shared" si="104"/>
        <v>6122.1878775868554</v>
      </c>
      <c r="AA62" s="303">
        <f t="shared" si="104"/>
        <v>5593.1179013203864</v>
      </c>
      <c r="AB62" s="303">
        <f t="shared" si="104"/>
        <v>5049.0404015907179</v>
      </c>
      <c r="AC62" s="303">
        <f t="shared" si="104"/>
        <v>4542.5592884687212</v>
      </c>
      <c r="AD62" s="303">
        <f t="shared" si="104"/>
        <v>4051.4101332836772</v>
      </c>
      <c r="AE62" s="303">
        <f t="shared" si="104"/>
        <v>3560.1582581774751</v>
      </c>
      <c r="AF62" s="303">
        <f t="shared" si="104"/>
        <v>3070.2815213516938</v>
      </c>
      <c r="AG62" s="303">
        <f t="shared" si="104"/>
        <v>2555.687697265148</v>
      </c>
      <c r="AH62" s="303">
        <f t="shared" si="104"/>
        <v>1979.1466207996511</v>
      </c>
      <c r="AI62" s="303">
        <f t="shared" si="104"/>
        <v>1363.28129138079</v>
      </c>
      <c r="AJ62" s="303">
        <f t="shared" si="104"/>
        <v>798.59951955000872</v>
      </c>
      <c r="AK62" s="303">
        <f t="shared" si="104"/>
        <v>265.14254464583473</v>
      </c>
      <c r="AL62" s="303">
        <f t="shared" si="104"/>
        <v>-4.9921528741518886</v>
      </c>
      <c r="AM62" s="303">
        <f t="shared" si="104"/>
        <v>-5.0127871060317464</v>
      </c>
      <c r="AN62" s="303">
        <f t="shared" si="104"/>
        <v>-5.0335066260698564</v>
      </c>
      <c r="AO62" s="303">
        <f t="shared" si="104"/>
        <v>-5.0543117867910858</v>
      </c>
      <c r="AP62" s="303">
        <f t="shared" si="104"/>
        <v>-5.0752029421764382</v>
      </c>
      <c r="AQ62" s="303">
        <f t="shared" si="104"/>
        <v>-5.0961804476706947</v>
      </c>
      <c r="AR62" s="303">
        <f t="shared" si="104"/>
        <v>-5.1172446601877617</v>
      </c>
      <c r="AS62" s="303">
        <f t="shared" si="104"/>
        <v>-5.1383959381165916</v>
      </c>
      <c r="AT62" s="303">
        <f t="shared" si="104"/>
        <v>-5.1596346413274841</v>
      </c>
      <c r="AU62" s="303">
        <f t="shared" si="104"/>
        <v>-5.1809611311782007</v>
      </c>
      <c r="AV62" s="303">
        <f t="shared" si="104"/>
        <v>-5.2023757705204572</v>
      </c>
      <c r="AW62" s="303">
        <f t="shared" si="104"/>
        <v>-5.2238789237052696</v>
      </c>
    </row>
    <row r="63" spans="1:49">
      <c r="A63" s="151">
        <v>456311</v>
      </c>
      <c r="B63" s="151" t="s">
        <v>343</v>
      </c>
      <c r="C63" s="301"/>
      <c r="D63" s="303">
        <f t="shared" ref="D63" si="105">-(SUM(D51:D52)-SUM(C51:C52))</f>
        <v>0</v>
      </c>
      <c r="E63" s="303">
        <f t="shared" ref="E63" si="106">-(SUM(E51:E52)-SUM(D51:D52))</f>
        <v>0</v>
      </c>
      <c r="F63" s="303">
        <f t="shared" ref="F63" si="107">-(SUM(F51:F52)-SUM(E51:E52))</f>
        <v>0</v>
      </c>
      <c r="G63" s="303">
        <f t="shared" ref="G63" si="108">-(SUM(G51:G52)-SUM(F51:F52))</f>
        <v>0</v>
      </c>
      <c r="H63" s="303">
        <f t="shared" ref="H63" si="109">-(SUM(H51:H52)-SUM(G51:G52))</f>
        <v>0</v>
      </c>
      <c r="I63" s="303">
        <f t="shared" ref="I63" si="110">-(SUM(I51:I52)-SUM(H51:H52))</f>
        <v>0</v>
      </c>
      <c r="J63" s="303">
        <f t="shared" ref="J63:AW63" si="111">-(SUM(J51:J52)-SUM(I51:I52))</f>
        <v>0</v>
      </c>
      <c r="K63" s="303">
        <f t="shared" si="111"/>
        <v>0</v>
      </c>
      <c r="L63" s="303">
        <f t="shared" si="111"/>
        <v>0</v>
      </c>
      <c r="M63" s="303">
        <f t="shared" si="111"/>
        <v>0</v>
      </c>
      <c r="N63" s="303">
        <f t="shared" si="111"/>
        <v>0</v>
      </c>
      <c r="O63" s="303">
        <f t="shared" si="111"/>
        <v>0</v>
      </c>
      <c r="P63" s="303">
        <f t="shared" si="111"/>
        <v>0</v>
      </c>
      <c r="Q63" s="303">
        <f t="shared" si="111"/>
        <v>0</v>
      </c>
      <c r="R63" s="303">
        <f t="shared" si="111"/>
        <v>0</v>
      </c>
      <c r="S63" s="303">
        <f t="shared" si="111"/>
        <v>0</v>
      </c>
      <c r="T63" s="303">
        <f t="shared" si="111"/>
        <v>0</v>
      </c>
      <c r="U63" s="303">
        <f t="shared" si="111"/>
        <v>0</v>
      </c>
      <c r="V63" s="303">
        <f t="shared" si="111"/>
        <v>0</v>
      </c>
      <c r="W63" s="303">
        <f t="shared" si="111"/>
        <v>0</v>
      </c>
      <c r="X63" s="303">
        <f t="shared" si="111"/>
        <v>0</v>
      </c>
      <c r="Y63" s="303">
        <f t="shared" si="111"/>
        <v>0</v>
      </c>
      <c r="Z63" s="303">
        <f t="shared" si="111"/>
        <v>0</v>
      </c>
      <c r="AA63" s="303">
        <f t="shared" si="111"/>
        <v>0</v>
      </c>
      <c r="AB63" s="303">
        <f t="shared" si="111"/>
        <v>0</v>
      </c>
      <c r="AC63" s="303">
        <f t="shared" si="111"/>
        <v>0</v>
      </c>
      <c r="AD63" s="303">
        <f t="shared" si="111"/>
        <v>0</v>
      </c>
      <c r="AE63" s="303">
        <f t="shared" si="111"/>
        <v>0</v>
      </c>
      <c r="AF63" s="303">
        <f t="shared" si="111"/>
        <v>0</v>
      </c>
      <c r="AG63" s="303">
        <f t="shared" si="111"/>
        <v>0</v>
      </c>
      <c r="AH63" s="303">
        <f t="shared" si="111"/>
        <v>0</v>
      </c>
      <c r="AI63" s="303">
        <f t="shared" si="111"/>
        <v>0</v>
      </c>
      <c r="AJ63" s="303">
        <f t="shared" si="111"/>
        <v>0</v>
      </c>
      <c r="AK63" s="303">
        <f t="shared" si="111"/>
        <v>0</v>
      </c>
      <c r="AL63" s="303">
        <f t="shared" si="111"/>
        <v>0</v>
      </c>
      <c r="AM63" s="303">
        <f t="shared" si="111"/>
        <v>0</v>
      </c>
      <c r="AN63" s="303">
        <f t="shared" si="111"/>
        <v>0</v>
      </c>
      <c r="AO63" s="303">
        <f t="shared" si="111"/>
        <v>0</v>
      </c>
      <c r="AP63" s="303">
        <f t="shared" si="111"/>
        <v>0</v>
      </c>
      <c r="AQ63" s="303">
        <f t="shared" si="111"/>
        <v>0</v>
      </c>
      <c r="AR63" s="303">
        <f t="shared" si="111"/>
        <v>0</v>
      </c>
      <c r="AS63" s="303">
        <f t="shared" si="111"/>
        <v>0</v>
      </c>
      <c r="AT63" s="303">
        <f t="shared" si="111"/>
        <v>0</v>
      </c>
      <c r="AU63" s="303">
        <f t="shared" si="111"/>
        <v>0</v>
      </c>
      <c r="AV63" s="303">
        <f t="shared" si="111"/>
        <v>0</v>
      </c>
      <c r="AW63" s="303">
        <f t="shared" si="111"/>
        <v>0</v>
      </c>
    </row>
    <row r="64" spans="1:49">
      <c r="A64" s="151">
        <v>449100</v>
      </c>
      <c r="B64" s="151" t="s">
        <v>331</v>
      </c>
      <c r="C64" s="310">
        <v>0</v>
      </c>
      <c r="D64" s="310"/>
      <c r="E64" s="310"/>
      <c r="F64" s="310"/>
      <c r="G64" s="310"/>
      <c r="H64" s="310"/>
      <c r="I64" s="310"/>
      <c r="K64" s="311"/>
      <c r="L64" s="310"/>
      <c r="N64" s="301"/>
      <c r="O64" s="310"/>
      <c r="P64" s="170"/>
      <c r="R64" s="310"/>
      <c r="U64" s="310"/>
      <c r="W64" s="311"/>
      <c r="X64" s="310"/>
      <c r="Z64" s="301"/>
      <c r="AA64" s="310"/>
      <c r="AB64" s="170"/>
      <c r="AD64" s="310"/>
      <c r="AG64" s="310"/>
      <c r="AI64" s="311"/>
      <c r="AJ64" s="310"/>
      <c r="AL64" s="301"/>
      <c r="AM64" s="310"/>
      <c r="AN64" s="170"/>
      <c r="AP64" s="310"/>
      <c r="AS64" s="310"/>
      <c r="AU64" s="311"/>
      <c r="AV64" s="310"/>
    </row>
    <row r="65" spans="3:8">
      <c r="C65" s="301"/>
      <c r="D65" s="301"/>
      <c r="E65" s="301"/>
      <c r="F65" s="301"/>
      <c r="G65" s="301"/>
      <c r="H65" s="301"/>
    </row>
    <row r="66" spans="3:8">
      <c r="C66" s="301"/>
      <c r="D66" s="301"/>
      <c r="E66" s="301"/>
      <c r="F66" s="301"/>
      <c r="G66" s="301"/>
      <c r="H66" s="301"/>
    </row>
    <row r="67" spans="3:8">
      <c r="C67" s="301"/>
      <c r="D67" s="301"/>
      <c r="E67" s="301"/>
      <c r="F67" s="301"/>
      <c r="G67" s="301"/>
      <c r="H67" s="301"/>
    </row>
  </sheetData>
  <mergeCells count="2">
    <mergeCell ref="A2:B2"/>
    <mergeCell ref="A34:B34"/>
  </mergeCells>
  <pageMargins left="0.32" right="0.32" top="0.41" bottom="0.62" header="0.3" footer="0.3"/>
  <pageSetup scale="59" fitToWidth="3" pageOrder="overThenDown" orientation="landscape" r:id="rId1"/>
  <headerFooter scaleWithDoc="0">
    <oddFooter>&amp;C&amp;F / 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S85"/>
  <sheetViews>
    <sheetView zoomScaleNormal="100" workbookViewId="0">
      <selection sqref="A1:P1"/>
    </sheetView>
  </sheetViews>
  <sheetFormatPr defaultRowHeight="14.4"/>
  <cols>
    <col min="2" max="2" width="30.6640625" customWidth="1"/>
    <col min="3" max="3" width="14.6640625" customWidth="1"/>
    <col min="4" max="4" width="15" customWidth="1"/>
    <col min="5" max="5" width="17" customWidth="1"/>
    <col min="6" max="6" width="16" customWidth="1"/>
    <col min="7" max="14" width="15" customWidth="1"/>
    <col min="15" max="15" width="14.5546875" customWidth="1"/>
    <col min="16" max="16" width="15" customWidth="1"/>
    <col min="18" max="18" width="12" bestFit="1" customWidth="1"/>
  </cols>
  <sheetData>
    <row r="1" spans="1:19" ht="15.6">
      <c r="A1" s="394" t="s">
        <v>20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9" ht="15.6">
      <c r="A2" s="394" t="s">
        <v>309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9" ht="15.6">
      <c r="A3" s="398" t="s">
        <v>225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9" ht="15.6" hidden="1">
      <c r="A4" s="59"/>
      <c r="B4" s="60"/>
      <c r="C4" s="60"/>
      <c r="D4" s="61" t="str">
        <f>TEXT(D7,"YYYYMM")</f>
        <v>201801</v>
      </c>
      <c r="E4" s="61">
        <f>D4+1</f>
        <v>201802</v>
      </c>
      <c r="F4" s="61">
        <f t="shared" ref="F4:O4" si="0">E4+1</f>
        <v>201803</v>
      </c>
      <c r="G4" s="61">
        <f t="shared" si="0"/>
        <v>201804</v>
      </c>
      <c r="H4" s="61">
        <f t="shared" si="0"/>
        <v>201805</v>
      </c>
      <c r="I4" s="61">
        <f t="shared" si="0"/>
        <v>201806</v>
      </c>
      <c r="J4" s="61">
        <f t="shared" si="0"/>
        <v>201807</v>
      </c>
      <c r="K4" s="61">
        <f t="shared" si="0"/>
        <v>201808</v>
      </c>
      <c r="L4" s="61">
        <f t="shared" si="0"/>
        <v>201809</v>
      </c>
      <c r="M4" s="61">
        <f t="shared" si="0"/>
        <v>201810</v>
      </c>
      <c r="N4" s="61">
        <f t="shared" si="0"/>
        <v>201811</v>
      </c>
      <c r="O4" s="61">
        <f t="shared" si="0"/>
        <v>201812</v>
      </c>
      <c r="P4" s="20"/>
    </row>
    <row r="5" spans="1:19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0"/>
    </row>
    <row r="6" spans="1:19">
      <c r="A6" s="20"/>
      <c r="B6" s="20"/>
      <c r="C6" s="20"/>
      <c r="D6" s="100"/>
      <c r="E6" s="20"/>
      <c r="F6" s="20"/>
      <c r="G6" s="20"/>
      <c r="H6" s="259"/>
      <c r="I6" s="20"/>
      <c r="J6" s="20"/>
      <c r="K6" s="20"/>
      <c r="L6" s="20"/>
      <c r="M6" s="20"/>
      <c r="N6" s="20"/>
      <c r="O6" s="20"/>
      <c r="P6" s="20"/>
    </row>
    <row r="7" spans="1:19">
      <c r="A7" s="64" t="s">
        <v>17</v>
      </c>
      <c r="B7" s="65"/>
      <c r="C7" s="66" t="s">
        <v>16</v>
      </c>
      <c r="D7" s="101">
        <v>43101</v>
      </c>
      <c r="E7" s="67">
        <f>EDATE(D7,1)</f>
        <v>43132</v>
      </c>
      <c r="F7" s="67">
        <f t="shared" ref="F7:O7" si="1">EDATE(E7,1)</f>
        <v>43160</v>
      </c>
      <c r="G7" s="67">
        <f t="shared" si="1"/>
        <v>43191</v>
      </c>
      <c r="H7" s="260">
        <f t="shared" si="1"/>
        <v>43221</v>
      </c>
      <c r="I7" s="67">
        <f t="shared" si="1"/>
        <v>43252</v>
      </c>
      <c r="J7" s="67">
        <f t="shared" si="1"/>
        <v>43282</v>
      </c>
      <c r="K7" s="67">
        <f t="shared" si="1"/>
        <v>43313</v>
      </c>
      <c r="L7" s="67">
        <f t="shared" si="1"/>
        <v>43344</v>
      </c>
      <c r="M7" s="67">
        <f t="shared" si="1"/>
        <v>43374</v>
      </c>
      <c r="N7" s="67">
        <f t="shared" si="1"/>
        <v>43405</v>
      </c>
      <c r="O7" s="67">
        <f t="shared" si="1"/>
        <v>43435</v>
      </c>
      <c r="P7" s="67" t="s">
        <v>15</v>
      </c>
    </row>
    <row r="8" spans="1:19">
      <c r="A8" s="21"/>
      <c r="B8" s="21" t="s">
        <v>14</v>
      </c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261" t="s">
        <v>8</v>
      </c>
      <c r="I8" s="21" t="s">
        <v>7</v>
      </c>
      <c r="J8" s="21" t="s">
        <v>6</v>
      </c>
      <c r="K8" s="21" t="s">
        <v>5</v>
      </c>
      <c r="L8" s="21" t="s">
        <v>4</v>
      </c>
      <c r="M8" s="21" t="s">
        <v>3</v>
      </c>
      <c r="N8" s="21" t="s">
        <v>2</v>
      </c>
      <c r="O8" s="21" t="s">
        <v>1</v>
      </c>
      <c r="P8" s="21" t="s">
        <v>0</v>
      </c>
    </row>
    <row r="9" spans="1:19" hidden="1">
      <c r="A9" s="68" t="s">
        <v>104</v>
      </c>
      <c r="B9" s="21"/>
      <c r="C9" s="21"/>
      <c r="D9" s="21"/>
      <c r="E9" s="21"/>
      <c r="F9" s="21"/>
      <c r="G9" s="21"/>
      <c r="H9" s="261"/>
      <c r="I9" s="21"/>
      <c r="J9" s="21"/>
      <c r="K9" s="21"/>
      <c r="L9" s="21"/>
      <c r="M9" s="21"/>
      <c r="N9" s="21"/>
      <c r="O9" s="21"/>
      <c r="P9" s="21"/>
    </row>
    <row r="10" spans="1:19" hidden="1">
      <c r="A10" s="58"/>
      <c r="B10" s="69" t="s">
        <v>105</v>
      </c>
      <c r="C10" s="58" t="s">
        <v>106</v>
      </c>
      <c r="D10" s="70"/>
      <c r="E10" s="70"/>
      <c r="F10" s="70"/>
      <c r="G10" s="70"/>
      <c r="H10" s="262"/>
      <c r="I10" s="70"/>
      <c r="J10" s="70"/>
      <c r="K10" s="70"/>
      <c r="L10" s="70"/>
      <c r="M10" s="70"/>
      <c r="N10" s="70"/>
      <c r="O10" s="70"/>
      <c r="P10" s="71"/>
    </row>
    <row r="11" spans="1:19" hidden="1">
      <c r="A11" s="21"/>
      <c r="B11" s="21"/>
      <c r="C11" s="21"/>
      <c r="D11" s="21"/>
      <c r="E11" s="21"/>
      <c r="F11" s="21"/>
      <c r="G11" s="21"/>
      <c r="H11" s="261"/>
      <c r="I11" s="21"/>
      <c r="J11" s="21"/>
      <c r="K11" s="21"/>
      <c r="L11" s="21"/>
      <c r="M11" s="21"/>
      <c r="N11" s="21"/>
      <c r="O11" s="21"/>
      <c r="P11" s="21"/>
    </row>
    <row r="12" spans="1:19">
      <c r="A12" s="21"/>
      <c r="B12" s="72" t="s">
        <v>107</v>
      </c>
      <c r="C12" s="21"/>
      <c r="D12" s="21"/>
      <c r="E12" s="21"/>
      <c r="F12" s="21"/>
      <c r="G12" s="21"/>
      <c r="H12" s="261"/>
      <c r="I12" s="21"/>
      <c r="J12" s="21"/>
      <c r="K12" s="21"/>
      <c r="L12" s="21"/>
      <c r="M12" s="21"/>
      <c r="N12" s="21"/>
      <c r="O12" s="21"/>
      <c r="P12" s="20"/>
    </row>
    <row r="13" spans="1:19" ht="15" customHeight="1">
      <c r="A13" s="21">
        <v>1</v>
      </c>
      <c r="B13" s="20" t="s">
        <v>108</v>
      </c>
      <c r="C13" s="21" t="s">
        <v>109</v>
      </c>
      <c r="D13" s="147">
        <f>'Jan Base Rate Revenue'!$C$19</f>
        <v>215198</v>
      </c>
      <c r="E13" s="147">
        <f>'Feb Base Rate Revenue'!$C$19</f>
        <v>214197</v>
      </c>
      <c r="F13" s="147">
        <f>'Mar Base Rate Revenue'!C19</f>
        <v>216045</v>
      </c>
      <c r="G13" s="147">
        <f>'Apr Base Rate Revenue'!C19</f>
        <v>214971</v>
      </c>
      <c r="H13" s="263">
        <f>'May Base Rate Revenue'!C19</f>
        <v>215099</v>
      </c>
      <c r="I13" s="147">
        <f>'June Base Rate Revenue'!C19</f>
        <v>214829</v>
      </c>
      <c r="J13" s="147">
        <f>'July Base Rate Revenue'!C19</f>
        <v>215408</v>
      </c>
      <c r="K13" s="147">
        <f>'August Base Rate Revenue'!$C19</f>
        <v>215648</v>
      </c>
      <c r="L13" s="147">
        <f>'September Base Rate Revenue'!$C19</f>
        <v>214122</v>
      </c>
      <c r="M13" s="147">
        <f>'October Base Rate Revenue'!$C19</f>
        <v>218388</v>
      </c>
      <c r="N13" s="147">
        <f>'November Base Rate Revenue'!$C19</f>
        <v>216943</v>
      </c>
      <c r="O13" s="147">
        <f>'December Base Rate Revenue'!$C19</f>
        <v>217126</v>
      </c>
      <c r="P13" s="96">
        <f>SUM(D13:O13)</f>
        <v>2587974</v>
      </c>
    </row>
    <row r="14" spans="1:19" ht="26.4">
      <c r="A14" s="73">
        <f>A13+1</f>
        <v>2</v>
      </c>
      <c r="B14" s="143" t="s">
        <v>110</v>
      </c>
      <c r="C14" s="143" t="s">
        <v>171</v>
      </c>
      <c r="D14" s="144">
        <f>'UE-150204 Decoupling Base'!V23</f>
        <v>88.322763278236906</v>
      </c>
      <c r="E14" s="144">
        <f>'UE-150204 Decoupling Base'!W23</f>
        <v>72.16516565702095</v>
      </c>
      <c r="F14" s="144">
        <f>'UE-150204 Decoupling Base'!X23</f>
        <v>70.972141606104245</v>
      </c>
      <c r="G14" s="144">
        <f>'UE-150204 Decoupling Base'!Y23</f>
        <v>53.464415602104843</v>
      </c>
      <c r="H14" s="264">
        <f>'Attachment 4, Page 3'!H24</f>
        <v>45.892124419392054</v>
      </c>
      <c r="I14" s="144">
        <f>'Attachment 4, Page 3'!I24</f>
        <v>42.548958852653399</v>
      </c>
      <c r="J14" s="144">
        <f>'Attachment 4, Page 3'!J24</f>
        <v>56.439626965764539</v>
      </c>
      <c r="K14" s="144">
        <f>'Attachment 4, Page 3'!K24</f>
        <v>50.945678742657662</v>
      </c>
      <c r="L14" s="144">
        <f>'Attachment 4, Page 3'!L24</f>
        <v>48.236457551145826</v>
      </c>
      <c r="M14" s="144">
        <f>'Attachment 4, Page 3'!M24</f>
        <v>47.127141167587858</v>
      </c>
      <c r="N14" s="144">
        <f>'Attachment 4, Page 3'!N24</f>
        <v>63.977202165489828</v>
      </c>
      <c r="O14" s="144">
        <f>'Attachment 4, Page 3'!O24</f>
        <v>78.404457665319498</v>
      </c>
      <c r="P14" s="74">
        <f>SUM(D14:O14)</f>
        <v>718.49613367347763</v>
      </c>
    </row>
    <row r="15" spans="1:19">
      <c r="A15" s="21">
        <f>A14+1</f>
        <v>3</v>
      </c>
      <c r="B15" s="20" t="s">
        <v>60</v>
      </c>
      <c r="C15" s="21" t="str">
        <f>"("&amp;A13&amp;") x ("&amp;A14&amp;")"</f>
        <v>(1) x (2)</v>
      </c>
      <c r="D15" s="75">
        <f>D13*D14</f>
        <v>19006882.011950027</v>
      </c>
      <c r="E15" s="75">
        <f>E13*E14</f>
        <v>15457561.988236917</v>
      </c>
      <c r="F15" s="75">
        <f>F13*F14</f>
        <v>15333176.333290791</v>
      </c>
      <c r="G15" s="75">
        <f t="shared" ref="G15:O15" si="2">G13*G14</f>
        <v>11493298.886400079</v>
      </c>
      <c r="H15" s="265">
        <f t="shared" si="2"/>
        <v>9871350.0704868119</v>
      </c>
      <c r="I15" s="75">
        <f t="shared" si="2"/>
        <v>9140750.2813566774</v>
      </c>
      <c r="J15" s="75">
        <f t="shared" si="2"/>
        <v>12157547.165441409</v>
      </c>
      <c r="K15" s="75">
        <f t="shared" si="2"/>
        <v>10986333.729496639</v>
      </c>
      <c r="L15" s="75">
        <f t="shared" si="2"/>
        <v>10328486.763766447</v>
      </c>
      <c r="M15" s="75">
        <f t="shared" si="2"/>
        <v>10292002.105307177</v>
      </c>
      <c r="N15" s="75">
        <f t="shared" si="2"/>
        <v>13879406.16938786</v>
      </c>
      <c r="O15" s="75">
        <f t="shared" si="2"/>
        <v>17023646.275040161</v>
      </c>
      <c r="P15" s="76">
        <f>SUM(D15:O15)</f>
        <v>154970441.78016099</v>
      </c>
      <c r="S15" s="303"/>
    </row>
    <row r="16" spans="1:19">
      <c r="A16" s="21"/>
      <c r="B16" s="20"/>
      <c r="C16" s="21"/>
      <c r="D16" s="39"/>
      <c r="E16" s="39"/>
      <c r="F16" s="39"/>
      <c r="G16" s="39"/>
      <c r="H16" s="266"/>
      <c r="I16" s="39"/>
      <c r="J16" s="39"/>
      <c r="K16" s="39"/>
      <c r="L16" s="39"/>
      <c r="M16" s="39"/>
      <c r="N16" s="39"/>
      <c r="O16" s="39"/>
      <c r="P16" s="20"/>
    </row>
    <row r="17" spans="1:16">
      <c r="A17" s="21">
        <v>4</v>
      </c>
      <c r="B17" s="20" t="s">
        <v>111</v>
      </c>
      <c r="C17" s="21" t="s">
        <v>109</v>
      </c>
      <c r="D17" s="148">
        <f>'Jan Base Rate Revenue'!$I$39</f>
        <v>25009939.587409999</v>
      </c>
      <c r="E17" s="148">
        <f>'Feb Base Rate Revenue'!$I$39</f>
        <v>19040388.028110001</v>
      </c>
      <c r="F17" s="148">
        <f>'Mar Base Rate Revenue'!I39</f>
        <v>20324942.72913</v>
      </c>
      <c r="G17" s="148">
        <f>'Apr Base Rate Revenue'!I39</f>
        <v>15377362.623589998</v>
      </c>
      <c r="H17" s="267">
        <f>'May Base Rate Revenue'!I39</f>
        <v>13472661.706909999</v>
      </c>
      <c r="I17" s="148">
        <f>'June Base Rate Revenue'!I39</f>
        <v>13244401.199929999</v>
      </c>
      <c r="J17" s="148">
        <f>'July Base Rate Revenue'!I39</f>
        <v>16644684.485580001</v>
      </c>
      <c r="K17" s="148">
        <f>'August Base Rate Revenue'!$I39</f>
        <v>18480178.1239</v>
      </c>
      <c r="L17" s="148">
        <f>'September Base Rate Revenue'!$I39</f>
        <v>13055161.18022</v>
      </c>
      <c r="M17" s="148">
        <f>'October Base Rate Revenue'!$I39</f>
        <v>14485470.039310001</v>
      </c>
      <c r="N17" s="148">
        <f>'November Base Rate Revenue'!$I39</f>
        <v>19035133.403039999</v>
      </c>
      <c r="O17" s="148">
        <f>'December Base Rate Revenue'!$I39</f>
        <v>23674422.079640001</v>
      </c>
      <c r="P17" s="97">
        <f>SUM(D17:O17)</f>
        <v>211844745.18676999</v>
      </c>
    </row>
    <row r="18" spans="1:16">
      <c r="A18" s="21">
        <v>5</v>
      </c>
      <c r="B18" s="20" t="s">
        <v>112</v>
      </c>
      <c r="C18" s="21" t="s">
        <v>109</v>
      </c>
      <c r="D18" s="148">
        <f>'Jan Base Rate Revenue'!$C$39</f>
        <v>1864092.5</v>
      </c>
      <c r="E18" s="148">
        <f>'Feb Base Rate Revenue'!$C$39</f>
        <v>1853017</v>
      </c>
      <c r="F18" s="148">
        <f>'Mar Base Rate Revenue'!C39</f>
        <v>1875006.5</v>
      </c>
      <c r="G18" s="148">
        <f>'Apr Base Rate Revenue'!C39</f>
        <v>1866672</v>
      </c>
      <c r="H18" s="267">
        <f>'May Base Rate Revenue'!C39</f>
        <v>1989944</v>
      </c>
      <c r="I18" s="148">
        <f>'June Base Rate Revenue'!C39</f>
        <v>1999769.5</v>
      </c>
      <c r="J18" s="148">
        <f>'July Base Rate Revenue'!C39</f>
        <v>2002580</v>
      </c>
      <c r="K18" s="148">
        <f>'August Base Rate Revenue'!$C39</f>
        <v>2009449</v>
      </c>
      <c r="L18" s="148">
        <f>'September Base Rate Revenue'!$C39</f>
        <v>1975533.5</v>
      </c>
      <c r="M18" s="148">
        <f>'October Base Rate Revenue'!$C39</f>
        <v>2016999</v>
      </c>
      <c r="N18" s="148">
        <f>'November Base Rate Revenue'!$C39</f>
        <v>1992500.5</v>
      </c>
      <c r="O18" s="148">
        <f>'December Base Rate Revenue'!$C39</f>
        <v>1993214.5</v>
      </c>
      <c r="P18" s="97">
        <f>SUM(D18:O18)</f>
        <v>23438778</v>
      </c>
    </row>
    <row r="19" spans="1:16">
      <c r="A19" s="21">
        <v>6</v>
      </c>
      <c r="B19" s="77" t="s">
        <v>212</v>
      </c>
      <c r="C19" s="21" t="s">
        <v>109</v>
      </c>
      <c r="D19" s="149">
        <f>'Jan Base Rate Revenue'!$I$19</f>
        <v>273974209.06200004</v>
      </c>
      <c r="E19" s="149">
        <f>'Feb Base Rate Revenue'!$I$19</f>
        <v>216157402.58499998</v>
      </c>
      <c r="F19" s="149">
        <f>'Mar Base Rate Revenue'!I19</f>
        <v>230597488.20699999</v>
      </c>
      <c r="G19" s="149">
        <f>'Apr Base Rate Revenue'!I19</f>
        <v>174488139.29800999</v>
      </c>
      <c r="H19" s="268">
        <f>'May Base Rate Revenue'!I19</f>
        <v>147804376.68922001</v>
      </c>
      <c r="I19" s="149">
        <f>'June Base Rate Revenue'!I19</f>
        <v>143108257.59101999</v>
      </c>
      <c r="J19" s="149">
        <f>'July Base Rate Revenue'!I19</f>
        <v>185234474.63099</v>
      </c>
      <c r="K19" s="149">
        <f>'August Base Rate Revenue'!$I19</f>
        <v>202225614.92300999</v>
      </c>
      <c r="L19" s="149">
        <f>'September Base Rate Revenue'!$I19</f>
        <v>139338821.60800001</v>
      </c>
      <c r="M19" s="149">
        <f>'October Base Rate Revenue'!$I19</f>
        <v>160184148.058</v>
      </c>
      <c r="N19" s="149">
        <f>'November Base Rate Revenue'!$I19</f>
        <v>213560314.46800002</v>
      </c>
      <c r="O19" s="149">
        <f>'December Base Rate Revenue'!$I19</f>
        <v>258445038.04300001</v>
      </c>
      <c r="P19" s="98">
        <f>SUM(D19:O19)</f>
        <v>2345118285.16325</v>
      </c>
    </row>
    <row r="20" spans="1:16" ht="27">
      <c r="A20" s="21">
        <v>7</v>
      </c>
      <c r="B20" s="84" t="s">
        <v>113</v>
      </c>
      <c r="C20" s="145" t="s">
        <v>151</v>
      </c>
      <c r="D20" s="146">
        <f>'UE-150204 Decoupling Base'!$E$14</f>
        <v>1.6410000000000001E-2</v>
      </c>
      <c r="E20" s="146">
        <f>'UE-150204 Decoupling Base'!$E$14</f>
        <v>1.6410000000000001E-2</v>
      </c>
      <c r="F20" s="146">
        <f>'UE-150204 Decoupling Base'!$E$14</f>
        <v>1.6410000000000001E-2</v>
      </c>
      <c r="G20" s="146">
        <f>'UE-150204 Decoupling Base'!$E$14</f>
        <v>1.6410000000000001E-2</v>
      </c>
      <c r="H20" s="269">
        <f>'Attachment 4, Page 1'!$E$27</f>
        <v>1.9E-2</v>
      </c>
      <c r="I20" s="146">
        <f>'Attachment 4, Page 1'!$E$27</f>
        <v>1.9E-2</v>
      </c>
      <c r="J20" s="146">
        <f>'Attachment 4, Page 1'!$E$27</f>
        <v>1.9E-2</v>
      </c>
      <c r="K20" s="146">
        <f>'Attachment 4, Page 1'!$E$27</f>
        <v>1.9E-2</v>
      </c>
      <c r="L20" s="146">
        <f>'Attachment 4, Page 1'!$E$27</f>
        <v>1.9E-2</v>
      </c>
      <c r="M20" s="146">
        <f>'Attachment 4, Page 1'!$E$27</f>
        <v>1.9E-2</v>
      </c>
      <c r="N20" s="146">
        <f>'Attachment 4, Page 1'!$E$27</f>
        <v>1.9E-2</v>
      </c>
      <c r="O20" s="146">
        <f>'Attachment 4, Page 1'!$E$27</f>
        <v>1.9E-2</v>
      </c>
      <c r="P20" s="78"/>
    </row>
    <row r="21" spans="1:16">
      <c r="A21" s="21">
        <v>8</v>
      </c>
      <c r="B21" s="20" t="s">
        <v>114</v>
      </c>
      <c r="C21" s="21" t="str">
        <f>"("&amp;A19&amp;") x ("&amp;A20&amp;")"</f>
        <v>(6) x (7)</v>
      </c>
      <c r="D21" s="75">
        <f>D19*D20</f>
        <v>4495916.770707421</v>
      </c>
      <c r="E21" s="75">
        <f>E19*E20</f>
        <v>3547142.9764198498</v>
      </c>
      <c r="F21" s="75">
        <f t="shared" ref="F21:O21" si="3">F19*F20</f>
        <v>3784104.7814768702</v>
      </c>
      <c r="G21" s="75">
        <f t="shared" si="3"/>
        <v>2863350.3658803441</v>
      </c>
      <c r="H21" s="265">
        <f t="shared" si="3"/>
        <v>2808283.1570951804</v>
      </c>
      <c r="I21" s="75">
        <f t="shared" si="3"/>
        <v>2719056.8942293795</v>
      </c>
      <c r="J21" s="75">
        <f t="shared" si="3"/>
        <v>3519455.0179888099</v>
      </c>
      <c r="K21" s="75">
        <f t="shared" si="3"/>
        <v>3842286.6835371898</v>
      </c>
      <c r="L21" s="75">
        <f t="shared" si="3"/>
        <v>2647437.6105520003</v>
      </c>
      <c r="M21" s="75">
        <f>M19*M20</f>
        <v>3043498.8131019999</v>
      </c>
      <c r="N21" s="75">
        <f t="shared" si="3"/>
        <v>4057645.9748920002</v>
      </c>
      <c r="O21" s="75">
        <f t="shared" si="3"/>
        <v>4910455.722817</v>
      </c>
      <c r="P21" s="76">
        <f>SUM(D21:O21)</f>
        <v>42238634.768698037</v>
      </c>
    </row>
    <row r="22" spans="1:16">
      <c r="A22" s="21">
        <v>9</v>
      </c>
      <c r="B22" s="20" t="s">
        <v>115</v>
      </c>
      <c r="C22" s="21" t="str">
        <f>"("&amp;A17&amp;") - ("&amp;A18&amp;") -("&amp;A21&amp;")"</f>
        <v>(4) - (5) -(8)</v>
      </c>
      <c r="D22" s="75">
        <f>D17-D18-D21</f>
        <v>18649930.316702578</v>
      </c>
      <c r="E22" s="75">
        <f>E17-E18-E21</f>
        <v>13640228.051690152</v>
      </c>
      <c r="F22" s="75">
        <f t="shared" ref="F22:O22" si="4">F17-F18-F21</f>
        <v>14665831.44765313</v>
      </c>
      <c r="G22" s="75">
        <f t="shared" si="4"/>
        <v>10647340.257709654</v>
      </c>
      <c r="H22" s="265">
        <f t="shared" si="4"/>
        <v>8674434.5498148184</v>
      </c>
      <c r="I22" s="75">
        <f t="shared" si="4"/>
        <v>8525574.8057006188</v>
      </c>
      <c r="J22" s="75">
        <f t="shared" si="4"/>
        <v>11122649.467591191</v>
      </c>
      <c r="K22" s="75">
        <f t="shared" si="4"/>
        <v>12628442.440362811</v>
      </c>
      <c r="L22" s="75">
        <f t="shared" si="4"/>
        <v>8432190.0696680006</v>
      </c>
      <c r="M22" s="75">
        <f t="shared" si="4"/>
        <v>9424972.2262080014</v>
      </c>
      <c r="N22" s="75">
        <f t="shared" si="4"/>
        <v>12984986.928148</v>
      </c>
      <c r="O22" s="75">
        <f t="shared" si="4"/>
        <v>16770751.856823001</v>
      </c>
      <c r="P22" s="76">
        <f>SUM(D22:O22)</f>
        <v>146167332.41807196</v>
      </c>
    </row>
    <row r="23" spans="1:16">
      <c r="A23" s="21"/>
      <c r="B23" s="79" t="s">
        <v>116</v>
      </c>
      <c r="C23" s="21"/>
      <c r="D23" s="74">
        <f>D22/D13</f>
        <v>86.664050394067687</v>
      </c>
      <c r="E23" s="74">
        <f>E22/E13</f>
        <v>63.680761409777688</v>
      </c>
      <c r="F23" s="74">
        <f t="shared" ref="F23:O23" si="5">F22/F13</f>
        <v>67.883225474568405</v>
      </c>
      <c r="G23" s="74">
        <f t="shared" si="5"/>
        <v>49.529193508471629</v>
      </c>
      <c r="H23" s="270">
        <f t="shared" si="5"/>
        <v>40.327637738040707</v>
      </c>
      <c r="I23" s="74">
        <f t="shared" si="5"/>
        <v>39.685400042362154</v>
      </c>
      <c r="J23" s="74">
        <f t="shared" si="5"/>
        <v>51.63526641346278</v>
      </c>
      <c r="K23" s="74">
        <f t="shared" si="5"/>
        <v>58.560443131226869</v>
      </c>
      <c r="L23" s="74">
        <f t="shared" si="5"/>
        <v>39.380306879573332</v>
      </c>
      <c r="M23" s="74">
        <f t="shared" si="5"/>
        <v>43.157005999450526</v>
      </c>
      <c r="N23" s="74">
        <f t="shared" si="5"/>
        <v>59.854371554500489</v>
      </c>
      <c r="O23" s="74">
        <f t="shared" si="5"/>
        <v>77.239721897990108</v>
      </c>
      <c r="P23" s="74">
        <f>P22/P13*12</f>
        <v>677.75332712649492</v>
      </c>
    </row>
    <row r="24" spans="1:16">
      <c r="A24" s="21">
        <v>10</v>
      </c>
      <c r="B24" s="20" t="s">
        <v>117</v>
      </c>
      <c r="C24" s="21" t="str">
        <f>"("&amp;A$15&amp;") - ("&amp;A22&amp;")"</f>
        <v>(3) - (9)</v>
      </c>
      <c r="D24" s="80">
        <f>IF(D10="",D15-D22,-D10)</f>
        <v>356951.69524744898</v>
      </c>
      <c r="E24" s="80">
        <f>IF(E10="",E15-E22,-E10)</f>
        <v>1817333.9365467653</v>
      </c>
      <c r="F24" s="80">
        <f t="shared" ref="F24:O24" si="6">IF(F10="",F15-F22,-F10)</f>
        <v>667344.88563766144</v>
      </c>
      <c r="G24" s="80">
        <f t="shared" si="6"/>
        <v>845958.62869042531</v>
      </c>
      <c r="H24" s="271">
        <f t="shared" si="6"/>
        <v>1196915.5206719935</v>
      </c>
      <c r="I24" s="80">
        <f t="shared" si="6"/>
        <v>615175.47565605864</v>
      </c>
      <c r="J24" s="80">
        <f t="shared" si="6"/>
        <v>1034897.697850218</v>
      </c>
      <c r="K24" s="80">
        <f t="shared" si="6"/>
        <v>-1642108.7108661719</v>
      </c>
      <c r="L24" s="80">
        <f t="shared" si="6"/>
        <v>1896296.6940984465</v>
      </c>
      <c r="M24" s="80">
        <f t="shared" si="6"/>
        <v>867029.87909917533</v>
      </c>
      <c r="N24" s="80">
        <f t="shared" si="6"/>
        <v>894419.24123986065</v>
      </c>
      <c r="O24" s="80">
        <f t="shared" si="6"/>
        <v>252894.41821715981</v>
      </c>
      <c r="P24" s="76">
        <f>SUM(D24:O24)</f>
        <v>8803109.3620890416</v>
      </c>
    </row>
    <row r="25" spans="1:16">
      <c r="A25" s="21">
        <v>11</v>
      </c>
      <c r="B25" s="20" t="s">
        <v>118</v>
      </c>
      <c r="C25" s="81" t="s">
        <v>119</v>
      </c>
      <c r="D25" s="80">
        <f>IF(D10="",D24*-'UE-150204 Decoupling Base'!$BE$18,0)</f>
        <v>-16376.943777952958</v>
      </c>
      <c r="E25" s="80">
        <f>IF(E10="",E24*-'UE-150204 Decoupling Base'!$BE$18,0)</f>
        <v>-83379.281008765582</v>
      </c>
      <c r="F25" s="80">
        <f>IF(F10="",F24*-'UE-150204 Decoupling Base'!$BE$18,0)</f>
        <v>-30617.783353055904</v>
      </c>
      <c r="G25" s="80">
        <f>IF(G10="",G24*-'UE-150204 Decoupling Base'!$BE$18,0)</f>
        <v>-38812.581884316707</v>
      </c>
      <c r="H25" s="271">
        <f>IF(H10="",H24*-'Attachment 4, Page 4'!$E$20,0)</f>
        <v>-55868.425758406636</v>
      </c>
      <c r="I25" s="80">
        <f t="shared" ref="I25:O25" si="7">IF(I10="",I24*-0.04588,0)</f>
        <v>-28224.25082309997</v>
      </c>
      <c r="J25" s="80">
        <f t="shared" si="7"/>
        <v>-47481.106377368</v>
      </c>
      <c r="K25" s="80">
        <f t="shared" si="7"/>
        <v>75339.947654539967</v>
      </c>
      <c r="L25" s="80">
        <f t="shared" si="7"/>
        <v>-87002.092325236721</v>
      </c>
      <c r="M25" s="80">
        <f t="shared" si="7"/>
        <v>-39779.330853070162</v>
      </c>
      <c r="N25" s="80">
        <f t="shared" si="7"/>
        <v>-41035.954788084804</v>
      </c>
      <c r="O25" s="80">
        <f t="shared" si="7"/>
        <v>-11602.795907803291</v>
      </c>
      <c r="P25" s="76">
        <f>SUM(D25:O25)</f>
        <v>-404840.59920262068</v>
      </c>
    </row>
    <row r="26" spans="1:16">
      <c r="A26" s="21"/>
      <c r="B26" s="20"/>
      <c r="C26" s="21" t="s">
        <v>120</v>
      </c>
      <c r="D26" s="82">
        <v>4.2500000000000003E-2</v>
      </c>
      <c r="E26" s="82">
        <f>D26</f>
        <v>4.2500000000000003E-2</v>
      </c>
      <c r="F26" s="82">
        <f>E26</f>
        <v>4.2500000000000003E-2</v>
      </c>
      <c r="G26" s="82">
        <v>4.4699999999999997E-2</v>
      </c>
      <c r="H26" s="272">
        <v>4.4699999999999997E-2</v>
      </c>
      <c r="I26" s="290">
        <v>4.4699999999999997E-2</v>
      </c>
      <c r="J26" s="290">
        <v>4.6899999999999997E-2</v>
      </c>
      <c r="K26" s="290">
        <v>4.6899999999999997E-2</v>
      </c>
      <c r="L26" s="290">
        <v>4.6899999999999997E-2</v>
      </c>
      <c r="M26" s="290">
        <v>4.9599999999999998E-2</v>
      </c>
      <c r="N26" s="290">
        <v>4.9599999999999998E-2</v>
      </c>
      <c r="O26" s="290">
        <v>4.9599999999999998E-2</v>
      </c>
      <c r="P26" s="76"/>
    </row>
    <row r="27" spans="1:16">
      <c r="A27" s="21">
        <v>12</v>
      </c>
      <c r="B27" s="20" t="s">
        <v>121</v>
      </c>
      <c r="C27" s="21" t="s">
        <v>122</v>
      </c>
      <c r="D27" s="83">
        <f>(D24+D25)/2*D26/12</f>
        <v>603.10112239389923</v>
      </c>
      <c r="E27" s="83">
        <f>(D29+(E24+E25)/2)*E26/12</f>
        <v>4278.8829304448182</v>
      </c>
      <c r="F27" s="83">
        <f t="shared" ref="F27:O27" si="8">(E29+(F24+F25)/2)*F26/12</f>
        <v>8492.1195869676721</v>
      </c>
      <c r="G27" s="83">
        <f t="shared" si="8"/>
        <v>11652.558545347732</v>
      </c>
      <c r="H27" s="273">
        <f t="shared" si="8"/>
        <v>15324.474052382087</v>
      </c>
      <c r="I27" s="83">
        <f t="shared" si="8"/>
        <v>18599.954588755154</v>
      </c>
      <c r="J27" s="83">
        <f t="shared" si="8"/>
        <v>22664.660525575866</v>
      </c>
      <c r="K27" s="83">
        <f t="shared" si="8"/>
        <v>21621.090871523793</v>
      </c>
      <c r="L27" s="83">
        <f t="shared" si="8"/>
        <v>22179.529211202414</v>
      </c>
      <c r="M27" s="83">
        <f t="shared" si="8"/>
        <v>28996.924465938897</v>
      </c>
      <c r="N27" s="83">
        <f t="shared" si="8"/>
        <v>32590.088345440396</v>
      </c>
      <c r="O27" s="83">
        <f t="shared" si="8"/>
        <v>34987.122188707886</v>
      </c>
      <c r="P27" s="76">
        <f>SUM(D27:O27)</f>
        <v>221990.5064346806</v>
      </c>
    </row>
    <row r="28" spans="1:16" ht="15" thickBot="1">
      <c r="A28" s="21"/>
      <c r="B28" s="85" t="s">
        <v>123</v>
      </c>
      <c r="C28" s="21"/>
      <c r="D28" s="86">
        <f>D24+D25+D27</f>
        <v>341177.85259188991</v>
      </c>
      <c r="E28" s="86">
        <f>E24+E25+E27</f>
        <v>1738233.5384684445</v>
      </c>
      <c r="F28" s="86">
        <f t="shared" ref="F28:O28" si="9">F24+F25+F27</f>
        <v>645219.22187157313</v>
      </c>
      <c r="G28" s="86">
        <f t="shared" si="9"/>
        <v>818798.60535145632</v>
      </c>
      <c r="H28" s="274">
        <f t="shared" si="9"/>
        <v>1156371.5689659691</v>
      </c>
      <c r="I28" s="86">
        <f t="shared" si="9"/>
        <v>605551.17942171381</v>
      </c>
      <c r="J28" s="86">
        <f t="shared" si="9"/>
        <v>1010081.2519984259</v>
      </c>
      <c r="K28" s="86">
        <f t="shared" si="9"/>
        <v>-1545147.6723401081</v>
      </c>
      <c r="L28" s="86">
        <f t="shared" si="9"/>
        <v>1831474.1309844123</v>
      </c>
      <c r="M28" s="86">
        <f t="shared" si="9"/>
        <v>856247.47271204414</v>
      </c>
      <c r="N28" s="86">
        <f t="shared" si="9"/>
        <v>885973.37479721615</v>
      </c>
      <c r="O28" s="86">
        <f t="shared" si="9"/>
        <v>276278.74449806439</v>
      </c>
      <c r="P28" s="87">
        <f>SUM(D28:O28)</f>
        <v>8620259.2693211008</v>
      </c>
    </row>
    <row r="29" spans="1:16" ht="27.6" thickBot="1">
      <c r="A29" s="21">
        <v>13</v>
      </c>
      <c r="B29" s="92" t="s">
        <v>129</v>
      </c>
      <c r="C29" s="21" t="str">
        <f>"Σ(("&amp;A$24&amp;") ~ ("&amp;A27&amp;"))"</f>
        <v>Σ((10) ~ (12))</v>
      </c>
      <c r="D29" s="75">
        <f>D24+D25+D27</f>
        <v>341177.85259188991</v>
      </c>
      <c r="E29" s="75">
        <f>D29+E24+E25+E27</f>
        <v>2079411.3910603344</v>
      </c>
      <c r="F29" s="75">
        <f t="shared" ref="F29:N29" si="10">E29+F24+F25+F27</f>
        <v>2724630.6129319081</v>
      </c>
      <c r="G29" s="75">
        <f t="shared" si="10"/>
        <v>3543429.2182833645</v>
      </c>
      <c r="H29" s="265">
        <f t="shared" si="10"/>
        <v>4699800.7872493332</v>
      </c>
      <c r="I29" s="75">
        <f t="shared" si="10"/>
        <v>5305351.9666710468</v>
      </c>
      <c r="J29" s="75">
        <f t="shared" si="10"/>
        <v>6315433.2186694732</v>
      </c>
      <c r="K29" s="75">
        <f t="shared" si="10"/>
        <v>4770285.5463293651</v>
      </c>
      <c r="L29" s="75">
        <f t="shared" si="10"/>
        <v>6601759.6773137776</v>
      </c>
      <c r="M29" s="75">
        <f t="shared" si="10"/>
        <v>7458007.1500258213</v>
      </c>
      <c r="N29" s="75">
        <f t="shared" si="10"/>
        <v>8343980.524823037</v>
      </c>
      <c r="O29" s="88">
        <f>N29+O24+O25+O27</f>
        <v>8620259.2693211008</v>
      </c>
      <c r="P29" s="76"/>
    </row>
    <row r="30" spans="1:16">
      <c r="A30" s="21"/>
      <c r="B30" s="85"/>
      <c r="C30" s="21"/>
      <c r="D30" s="39"/>
      <c r="E30" s="39"/>
      <c r="F30" s="39"/>
      <c r="G30" s="39"/>
      <c r="H30" s="266"/>
      <c r="I30" s="39"/>
      <c r="J30" s="39"/>
      <c r="K30" s="39"/>
      <c r="L30" s="39"/>
      <c r="M30" s="39"/>
      <c r="N30" s="39"/>
      <c r="O30" s="39"/>
    </row>
    <row r="31" spans="1:16" hidden="1">
      <c r="A31" s="68" t="s">
        <v>124</v>
      </c>
      <c r="B31" s="20"/>
      <c r="C31" s="21"/>
      <c r="D31" s="39"/>
      <c r="E31" s="39"/>
      <c r="F31" s="39"/>
      <c r="G31" s="39"/>
      <c r="H31" s="266"/>
      <c r="I31" s="39"/>
      <c r="J31" s="39"/>
      <c r="K31" s="39"/>
      <c r="L31" s="39"/>
      <c r="M31" s="39"/>
      <c r="N31" s="39"/>
      <c r="O31" s="39"/>
      <c r="P31" s="89"/>
    </row>
    <row r="32" spans="1:16" ht="9" hidden="1" customHeight="1">
      <c r="A32" s="58"/>
      <c r="B32" s="69" t="s">
        <v>125</v>
      </c>
      <c r="C32" s="58" t="s">
        <v>126</v>
      </c>
      <c r="D32" s="70"/>
      <c r="E32" s="70"/>
      <c r="F32" s="70"/>
      <c r="G32" s="70"/>
      <c r="H32" s="262"/>
      <c r="I32" s="70"/>
      <c r="J32" s="70"/>
      <c r="K32" s="70"/>
      <c r="L32" s="70"/>
      <c r="M32" s="70"/>
      <c r="N32" s="70"/>
      <c r="O32" s="70"/>
      <c r="P32" s="58"/>
    </row>
    <row r="33" spans="1:16" hidden="1">
      <c r="A33" s="21"/>
      <c r="B33" s="20"/>
      <c r="C33" s="21"/>
      <c r="D33" s="75"/>
      <c r="E33" s="75"/>
      <c r="F33" s="75"/>
      <c r="G33" s="75"/>
      <c r="H33" s="275"/>
      <c r="I33" s="75"/>
      <c r="J33" s="75"/>
      <c r="K33" s="75"/>
      <c r="L33" s="75"/>
      <c r="M33" s="75"/>
      <c r="N33" s="75"/>
      <c r="O33" s="75"/>
      <c r="P33" s="76"/>
    </row>
    <row r="34" spans="1:16">
      <c r="A34" s="21"/>
      <c r="B34" s="72" t="s">
        <v>57</v>
      </c>
      <c r="C34" s="21"/>
      <c r="D34" s="75"/>
      <c r="E34" s="75"/>
      <c r="F34" s="75"/>
      <c r="G34" s="75"/>
      <c r="H34" s="265"/>
      <c r="I34" s="75"/>
      <c r="J34" s="75"/>
      <c r="K34" s="75"/>
      <c r="L34" s="75"/>
      <c r="M34" s="75"/>
      <c r="N34" s="75"/>
      <c r="O34" s="75"/>
      <c r="P34" s="76"/>
    </row>
    <row r="35" spans="1:16" ht="15" customHeight="1">
      <c r="A35" s="21">
        <v>14</v>
      </c>
      <c r="B35" s="20" t="s">
        <v>108</v>
      </c>
      <c r="C35" s="21" t="s">
        <v>109</v>
      </c>
      <c r="D35" s="147">
        <f>'Jan Base Rate Revenue'!$C$21+'Jan Base Rate Revenue'!$B$87</f>
        <v>36869</v>
      </c>
      <c r="E35" s="147">
        <f>'Feb Base Rate Revenue'!$C$21+'Feb Base Rate Revenue'!$B$87</f>
        <v>36446</v>
      </c>
      <c r="F35" s="147">
        <f>'Mar Base Rate Revenue'!$C$21+'Mar Base Rate Revenue'!$B$87</f>
        <v>36553</v>
      </c>
      <c r="G35" s="147">
        <f>'Apr Base Rate Revenue'!$C$21+'Apr Base Rate Revenue'!$B$87</f>
        <v>36256</v>
      </c>
      <c r="H35" s="263">
        <f>'May Base Rate Revenue'!$C$21+'May Base Rate Revenue'!$B$84</f>
        <v>36545</v>
      </c>
      <c r="I35" s="147">
        <f>'June Base Rate Revenue'!$C$21+'June Base Rate Revenue'!$B$84</f>
        <v>36487</v>
      </c>
      <c r="J35" s="147">
        <f>'July Base Rate Revenue'!$C$21+'July Base Rate Revenue'!$B$84</f>
        <v>36645</v>
      </c>
      <c r="K35" s="147">
        <f>'August Base Rate Revenue'!$C$21+'August Base Rate Revenue'!$B$84</f>
        <v>36730</v>
      </c>
      <c r="L35" s="147">
        <f>'September Base Rate Revenue'!$C$21+'September Base Rate Revenue'!$B$84</f>
        <v>35719</v>
      </c>
      <c r="M35" s="147">
        <f>'October Base Rate Revenue'!$C$21+'October Base Rate Revenue'!$B$84</f>
        <v>37529</v>
      </c>
      <c r="N35" s="147">
        <f>'November Base Rate Revenue'!$C$21+'November Base Rate Revenue'!$B$85</f>
        <v>36614</v>
      </c>
      <c r="O35" s="147">
        <f>'December Base Rate Revenue'!$C$21+'December Base Rate Revenue'!$B$85</f>
        <v>36652</v>
      </c>
      <c r="P35" s="96">
        <f>SUM(D35:O35)</f>
        <v>439045</v>
      </c>
    </row>
    <row r="36" spans="1:16" ht="26.4">
      <c r="A36" s="73">
        <f>A35+1</f>
        <v>15</v>
      </c>
      <c r="B36" s="143" t="s">
        <v>110</v>
      </c>
      <c r="C36" s="143" t="s">
        <v>170</v>
      </c>
      <c r="D36" s="144">
        <f>'UE-150204 Decoupling Base'!V27</f>
        <v>362.51153702538215</v>
      </c>
      <c r="E36" s="144">
        <f>'UE-150204 Decoupling Base'!W27</f>
        <v>368.64634553355734</v>
      </c>
      <c r="F36" s="144">
        <f>'UE-150204 Decoupling Base'!X27</f>
        <v>345.3608332677303</v>
      </c>
      <c r="G36" s="144">
        <f>'UE-150204 Decoupling Base'!Y27</f>
        <v>343.55068665310012</v>
      </c>
      <c r="H36" s="264">
        <f>'Attachment 4, Page 3'!H28</f>
        <v>363.90367865128621</v>
      </c>
      <c r="I36" s="144">
        <f>'Attachment 4, Page 3'!I28</f>
        <v>372.7602018515484</v>
      </c>
      <c r="J36" s="144">
        <f>'Attachment 4, Page 3'!J28</f>
        <v>410.55493937029155</v>
      </c>
      <c r="K36" s="144">
        <f>'Attachment 4, Page 3'!K28</f>
        <v>386.60243468113521</v>
      </c>
      <c r="L36" s="144">
        <f>'Attachment 4, Page 3'!L28</f>
        <v>363.2493677121696</v>
      </c>
      <c r="M36" s="144">
        <f>'Attachment 4, Page 3'!M28</f>
        <v>367.48144990181908</v>
      </c>
      <c r="N36" s="144">
        <f>'Attachment 4, Page 3'!N28</f>
        <v>326.95588874638707</v>
      </c>
      <c r="O36" s="144">
        <f>'Attachment 4, Page 3'!O28</f>
        <v>388.87614359251808</v>
      </c>
      <c r="P36" s="74">
        <f>SUM(D36:O36)</f>
        <v>4400.4535069869253</v>
      </c>
    </row>
    <row r="37" spans="1:16">
      <c r="A37" s="21">
        <f>A36+1</f>
        <v>16</v>
      </c>
      <c r="B37" s="20" t="s">
        <v>60</v>
      </c>
      <c r="C37" s="21" t="str">
        <f>"("&amp;A35&amp;") x ("&amp;A36&amp;")"</f>
        <v>(14) x (15)</v>
      </c>
      <c r="D37" s="75">
        <f>D35*D36</f>
        <v>13365437.858588815</v>
      </c>
      <c r="E37" s="75">
        <f t="shared" ref="E37:O37" si="11">E35*E36</f>
        <v>13435684.70931603</v>
      </c>
      <c r="F37" s="75">
        <f t="shared" si="11"/>
        <v>12623974.538435346</v>
      </c>
      <c r="G37" s="75">
        <f t="shared" si="11"/>
        <v>12455773.695294797</v>
      </c>
      <c r="H37" s="265">
        <f t="shared" si="11"/>
        <v>13298859.936311254</v>
      </c>
      <c r="I37" s="75">
        <f t="shared" si="11"/>
        <v>13600901.484957447</v>
      </c>
      <c r="J37" s="75">
        <f t="shared" si="11"/>
        <v>15044785.753224334</v>
      </c>
      <c r="K37" s="75">
        <f t="shared" si="11"/>
        <v>14199907.425838096</v>
      </c>
      <c r="L37" s="75">
        <f t="shared" si="11"/>
        <v>12974904.165310986</v>
      </c>
      <c r="M37" s="75">
        <f t="shared" si="11"/>
        <v>13791211.333365368</v>
      </c>
      <c r="N37" s="75">
        <f t="shared" si="11"/>
        <v>11971162.910560217</v>
      </c>
      <c r="O37" s="75">
        <f t="shared" si="11"/>
        <v>14253088.414952973</v>
      </c>
      <c r="P37" s="76">
        <f>SUM(D37:O37)</f>
        <v>161015692.22615567</v>
      </c>
    </row>
    <row r="38" spans="1:16">
      <c r="A38" s="21"/>
      <c r="B38" s="20"/>
      <c r="C38" s="21"/>
      <c r="D38" s="39"/>
      <c r="E38" s="39"/>
      <c r="F38" s="39"/>
      <c r="G38" s="39"/>
      <c r="H38" s="266"/>
      <c r="I38" s="75"/>
      <c r="J38" s="39"/>
      <c r="K38" s="39"/>
      <c r="L38" s="39"/>
      <c r="M38" s="39"/>
      <c r="N38" s="39"/>
      <c r="O38" s="39"/>
      <c r="P38" s="20"/>
    </row>
    <row r="39" spans="1:16">
      <c r="A39" s="21">
        <v>17</v>
      </c>
      <c r="B39" s="20" t="s">
        <v>111</v>
      </c>
      <c r="C39" s="21" t="s">
        <v>109</v>
      </c>
      <c r="D39" s="148">
        <f>'Jan Base Rate Revenue'!$I$41+'Jan Base Rate Revenue'!$D$87</f>
        <v>17231332.135527994</v>
      </c>
      <c r="E39" s="148">
        <f>'Feb Base Rate Revenue'!$I$41+'Feb Base Rate Revenue'!$D$87</f>
        <v>17495590.564329997</v>
      </c>
      <c r="F39" s="148">
        <f>'Mar Base Rate Revenue'!$I$41+'Mar Base Rate Revenue'!$D$87</f>
        <v>16790327.355908003</v>
      </c>
      <c r="G39" s="148">
        <f>'Apr Base Rate Revenue'!$I$41+'Apr Base Rate Revenue'!$D$87</f>
        <v>16164293.03472</v>
      </c>
      <c r="H39" s="267">
        <f>'May Base Rate Revenue'!$I$41+'May Base Rate Revenue'!$D$84</f>
        <v>17424968.895579997</v>
      </c>
      <c r="I39" s="148">
        <f>'June Base Rate Revenue'!$I$41+'June Base Rate Revenue'!$D$84</f>
        <v>17807498.183899999</v>
      </c>
      <c r="J39" s="148">
        <f>'July Base Rate Revenue'!$I$41+'July Base Rate Revenue'!$D$84</f>
        <v>19859671.218349997</v>
      </c>
      <c r="K39" s="148">
        <f>'August Base Rate Revenue'!$I$41+'August Base Rate Revenue'!$D$84</f>
        <v>19182145.731759999</v>
      </c>
      <c r="L39" s="148">
        <f>'September Base Rate Revenue'!$I$41+'September Base Rate Revenue'!$D$84</f>
        <v>17009242.60385</v>
      </c>
      <c r="M39" s="148">
        <f>'October Base Rate Revenue'!$I$41+'October Base Rate Revenue'!$D$84</f>
        <v>18403642.661449999</v>
      </c>
      <c r="N39" s="148">
        <f>'November Base Rate Revenue'!$I$41+'November Base Rate Revenue'!$D$85</f>
        <v>17593112.825040001</v>
      </c>
      <c r="O39" s="148">
        <f>'December Base Rate Revenue'!$I$41+'December Base Rate Revenue'!$D$85</f>
        <v>17332612.114179999</v>
      </c>
      <c r="P39" s="97">
        <f>SUM(D39:O39)</f>
        <v>212294437.32459602</v>
      </c>
    </row>
    <row r="40" spans="1:16">
      <c r="A40" s="21">
        <f>A39+1</f>
        <v>18</v>
      </c>
      <c r="B40" s="20" t="s">
        <v>112</v>
      </c>
      <c r="C40" s="21" t="s">
        <v>109</v>
      </c>
      <c r="D40" s="148">
        <f>'Jan Base Rate Revenue'!$C$41+'Jan Base Rate Revenue'!$E$87</f>
        <v>1599353.29</v>
      </c>
      <c r="E40" s="148">
        <f>'Feb Base Rate Revenue'!$C$41+'Feb Base Rate Revenue'!$E$87</f>
        <v>1583614.6400000001</v>
      </c>
      <c r="F40" s="148">
        <f>'Mar Base Rate Revenue'!$C$41+'Mar Base Rate Revenue'!$E$87</f>
        <v>1592066.47</v>
      </c>
      <c r="G40" s="148">
        <f>'Apr Base Rate Revenue'!$C$41+'Apr Base Rate Revenue'!$E$87</f>
        <v>1579037.1199999999</v>
      </c>
      <c r="H40" s="267">
        <f>'May Base Rate Revenue'!$C$41+'May Base Rate Revenue'!$E$84</f>
        <v>1651131.66</v>
      </c>
      <c r="I40" s="148">
        <f>'June Base Rate Revenue'!$C$41+'June Base Rate Revenue'!$E$84</f>
        <v>1653528.8900000001</v>
      </c>
      <c r="J40" s="148">
        <f>'July Base Rate Revenue'!$C$41+'July Base Rate Revenue'!$E$84</f>
        <v>1651212.74</v>
      </c>
      <c r="K40" s="148">
        <f>'August Base Rate Revenue'!$C$41+'August Base Rate Revenue'!$E$84</f>
        <v>1662967.92</v>
      </c>
      <c r="L40" s="148">
        <f>'September Base Rate Revenue'!$C$41+'September Base Rate Revenue'!$E$84</f>
        <v>1619989.31</v>
      </c>
      <c r="M40" s="148">
        <f>'October Base Rate Revenue'!$C$41+'October Base Rate Revenue'!$E$84</f>
        <v>1698059.09</v>
      </c>
      <c r="N40" s="148">
        <f>'November Base Rate Revenue'!$C$41+'November Base Rate Revenue'!$E$85</f>
        <v>1643976.4699999997</v>
      </c>
      <c r="O40" s="148">
        <f>'December Base Rate Revenue'!$C$41+'December Base Rate Revenue'!$E$85</f>
        <v>1657604.51</v>
      </c>
      <c r="P40" s="97">
        <f>SUM(D40:O40)</f>
        <v>19592542.110000003</v>
      </c>
    </row>
    <row r="41" spans="1:16">
      <c r="A41" s="21">
        <f>A40+1</f>
        <v>19</v>
      </c>
      <c r="B41" s="77" t="s">
        <v>212</v>
      </c>
      <c r="C41" s="21" t="s">
        <v>109</v>
      </c>
      <c r="D41" s="149">
        <f>'Jan Base Rate Revenue'!$I$21+'Jan Base Rate Revenue'!$C$87</f>
        <v>175021622.33399999</v>
      </c>
      <c r="E41" s="149">
        <f>'Feb Base Rate Revenue'!$I$21+'Feb Base Rate Revenue'!$C$87</f>
        <v>177591618.72100002</v>
      </c>
      <c r="F41" s="149">
        <f>'Mar Base Rate Revenue'!$I$21+'Mar Base Rate Revenue'!$C$87</f>
        <v>168228412.38800001</v>
      </c>
      <c r="G41" s="149">
        <f>'Apr Base Rate Revenue'!$I$21+'Apr Base Rate Revenue'!$C$87</f>
        <v>162967105.72499999</v>
      </c>
      <c r="H41" s="268">
        <f>'May Base Rate Revenue'!$I$21+'May Base Rate Revenue'!$C$84</f>
        <v>175847456.97705001</v>
      </c>
      <c r="I41" s="149">
        <f>'June Base Rate Revenue'!$I$21+'June Base Rate Revenue'!$C$84</f>
        <v>180663410.56000003</v>
      </c>
      <c r="J41" s="149">
        <f>'July Base Rate Revenue'!$I$21+'July Base Rate Revenue'!$C$84</f>
        <v>205852512.12300003</v>
      </c>
      <c r="K41" s="149">
        <f>'August Base Rate Revenue'!$I$21+'August Base Rate Revenue'!$C$84</f>
        <v>194642804.248</v>
      </c>
      <c r="L41" s="149">
        <f>'September Base Rate Revenue'!$I$21+'September Base Rate Revenue'!$C$84</f>
        <v>169174117.23899999</v>
      </c>
      <c r="M41" s="149">
        <f>'October Base Rate Revenue'!$I$21+'October Base Rate Revenue'!$C$84</f>
        <v>183987851.15400001</v>
      </c>
      <c r="N41" s="149">
        <f>'November Base Rate Revenue'!$I$21+'November Base Rate Revenue'!$C$85</f>
        <v>175888754.928</v>
      </c>
      <c r="O41" s="149">
        <f>'December Base Rate Revenue'!$I$21+'December Base Rate Revenue'!$C$85</f>
        <v>171593218.984</v>
      </c>
      <c r="P41" s="98">
        <f>SUM(D41:O41)</f>
        <v>2141458885.3810501</v>
      </c>
    </row>
    <row r="42" spans="1:16" ht="27">
      <c r="A42" s="21">
        <f>A41+1</f>
        <v>20</v>
      </c>
      <c r="B42" s="84" t="s">
        <v>113</v>
      </c>
      <c r="C42" s="145" t="s">
        <v>151</v>
      </c>
      <c r="D42" s="146">
        <f>'UE-150204 Decoupling Base'!$E$14</f>
        <v>1.6410000000000001E-2</v>
      </c>
      <c r="E42" s="146">
        <f>'UE-150204 Decoupling Base'!$E$14</f>
        <v>1.6410000000000001E-2</v>
      </c>
      <c r="F42" s="146">
        <f>'UE-150204 Decoupling Base'!$E$14</f>
        <v>1.6410000000000001E-2</v>
      </c>
      <c r="G42" s="146">
        <f>'UE-150204 Decoupling Base'!$E$14</f>
        <v>1.6410000000000001E-2</v>
      </c>
      <c r="H42" s="269">
        <f>'Attachment 4, Page 1'!$E$27</f>
        <v>1.9E-2</v>
      </c>
      <c r="I42" s="146">
        <f>'Attachment 4, Page 1'!$E$27</f>
        <v>1.9E-2</v>
      </c>
      <c r="J42" s="146">
        <f>'Attachment 4, Page 1'!$E$27</f>
        <v>1.9E-2</v>
      </c>
      <c r="K42" s="146">
        <f>'Attachment 4, Page 1'!$E$27</f>
        <v>1.9E-2</v>
      </c>
      <c r="L42" s="146">
        <f>'Attachment 4, Page 1'!$E$27</f>
        <v>1.9E-2</v>
      </c>
      <c r="M42" s="146">
        <f>'Attachment 4, Page 1'!$E$27</f>
        <v>1.9E-2</v>
      </c>
      <c r="N42" s="146">
        <f>'Attachment 4, Page 1'!$E$27</f>
        <v>1.9E-2</v>
      </c>
      <c r="O42" s="146">
        <f>'Attachment 4, Page 1'!$E$27</f>
        <v>1.9E-2</v>
      </c>
      <c r="P42" s="78"/>
    </row>
    <row r="43" spans="1:16">
      <c r="A43" s="21">
        <f>A42+1</f>
        <v>21</v>
      </c>
      <c r="B43" s="20" t="s">
        <v>114</v>
      </c>
      <c r="C43" s="21" t="str">
        <f>"("&amp;A41&amp;") x ("&amp;A42&amp;")"</f>
        <v>(19) x (20)</v>
      </c>
      <c r="D43" s="75">
        <f>D41*D42</f>
        <v>2872104.8225009399</v>
      </c>
      <c r="E43" s="75">
        <f t="shared" ref="E43:O43" si="12">E41*E42</f>
        <v>2914278.4632116104</v>
      </c>
      <c r="F43" s="75">
        <f t="shared" si="12"/>
        <v>2760628.2472870802</v>
      </c>
      <c r="G43" s="75">
        <f t="shared" si="12"/>
        <v>2674290.20494725</v>
      </c>
      <c r="H43" s="265">
        <f t="shared" si="12"/>
        <v>3341101.6825639498</v>
      </c>
      <c r="I43" s="75">
        <f t="shared" si="12"/>
        <v>3432604.8006400005</v>
      </c>
      <c r="J43" s="75">
        <f t="shared" si="12"/>
        <v>3911197.7303370005</v>
      </c>
      <c r="K43" s="75">
        <f t="shared" si="12"/>
        <v>3698213.2807119996</v>
      </c>
      <c r="L43" s="75">
        <f t="shared" si="12"/>
        <v>3214308.2275409997</v>
      </c>
      <c r="M43" s="75">
        <f t="shared" si="12"/>
        <v>3495769.1719260002</v>
      </c>
      <c r="N43" s="75">
        <f t="shared" si="12"/>
        <v>3341886.343632</v>
      </c>
      <c r="O43" s="75">
        <f t="shared" si="12"/>
        <v>3260271.1606959999</v>
      </c>
      <c r="P43" s="76">
        <f>SUM(D43:O43)</f>
        <v>38916654.135994829</v>
      </c>
    </row>
    <row r="44" spans="1:16">
      <c r="A44" s="21">
        <f>A43+1</f>
        <v>22</v>
      </c>
      <c r="B44" s="20" t="s">
        <v>115</v>
      </c>
      <c r="C44" s="21" t="str">
        <f>"("&amp;A39&amp;") - ("&amp;A40&amp;") -("&amp;A43&amp;")"</f>
        <v>(17) - (18) -(21)</v>
      </c>
      <c r="D44" s="75">
        <f>D39-D40-D43</f>
        <v>12759874.023027055</v>
      </c>
      <c r="E44" s="75">
        <f t="shared" ref="E44:O44" si="13">E39-E40-E43</f>
        <v>12997697.461118385</v>
      </c>
      <c r="F44" s="75">
        <f t="shared" si="13"/>
        <v>12437632.638620922</v>
      </c>
      <c r="G44" s="75">
        <f t="shared" si="13"/>
        <v>11910965.709772751</v>
      </c>
      <c r="H44" s="265">
        <f t="shared" si="13"/>
        <v>12432735.553016048</v>
      </c>
      <c r="I44" s="75">
        <f t="shared" si="13"/>
        <v>12721364.493259998</v>
      </c>
      <c r="J44" s="75">
        <f t="shared" si="13"/>
        <v>14297260.748012997</v>
      </c>
      <c r="K44" s="75">
        <f t="shared" si="13"/>
        <v>13820964.531048002</v>
      </c>
      <c r="L44" s="75">
        <f t="shared" si="13"/>
        <v>12174945.066308999</v>
      </c>
      <c r="M44" s="75">
        <f t="shared" si="13"/>
        <v>13209814.399524</v>
      </c>
      <c r="N44" s="75">
        <f t="shared" si="13"/>
        <v>12607250.011408003</v>
      </c>
      <c r="O44" s="75">
        <f t="shared" si="13"/>
        <v>12414736.443483999</v>
      </c>
      <c r="P44" s="76">
        <f>SUM(D44:O44)</f>
        <v>153785241.07860118</v>
      </c>
    </row>
    <row r="45" spans="1:16">
      <c r="A45" s="21"/>
      <c r="B45" s="21" t="s">
        <v>127</v>
      </c>
      <c r="C45" s="21"/>
      <c r="D45" s="74">
        <f>D44/D35</f>
        <v>346.08679440795942</v>
      </c>
      <c r="E45" s="74">
        <f t="shared" ref="E45:O45" si="14">E44/E35</f>
        <v>356.62891568672518</v>
      </c>
      <c r="F45" s="74">
        <f t="shared" si="14"/>
        <v>340.26297810360086</v>
      </c>
      <c r="G45" s="74">
        <f t="shared" si="14"/>
        <v>328.52398802329964</v>
      </c>
      <c r="H45" s="270">
        <f t="shared" si="14"/>
        <v>340.20346293654529</v>
      </c>
      <c r="I45" s="74">
        <f t="shared" si="14"/>
        <v>348.65471245265434</v>
      </c>
      <c r="J45" s="74">
        <f t="shared" si="14"/>
        <v>390.15583976021276</v>
      </c>
      <c r="K45" s="74">
        <f t="shared" si="14"/>
        <v>376.28544870808611</v>
      </c>
      <c r="L45" s="74">
        <f t="shared" si="14"/>
        <v>340.85346919871773</v>
      </c>
      <c r="M45" s="74">
        <f t="shared" si="14"/>
        <v>351.98951209795092</v>
      </c>
      <c r="N45" s="74">
        <f t="shared" si="14"/>
        <v>344.32867240421706</v>
      </c>
      <c r="O45" s="74">
        <f t="shared" si="14"/>
        <v>338.71920886947504</v>
      </c>
      <c r="P45" s="74">
        <f>P44/P35*12</f>
        <v>4203.2659361642072</v>
      </c>
    </row>
    <row r="46" spans="1:16">
      <c r="A46" s="21">
        <v>23</v>
      </c>
      <c r="B46" s="20" t="s">
        <v>117</v>
      </c>
      <c r="C46" s="21" t="str">
        <f>"("&amp;A$37&amp;") - ("&amp;A44&amp;")"</f>
        <v>(16) - (22)</v>
      </c>
      <c r="D46" s="80">
        <f>IF(D32="",D37-D44,-D32)</f>
        <v>605563.83556175977</v>
      </c>
      <c r="E46" s="80">
        <f>IF(E32="",E37-E44,-E32)</f>
        <v>437987.24819764495</v>
      </c>
      <c r="F46" s="80">
        <f t="shared" ref="F46:O46" si="15">IF(F32="",F37-F44,-F32)</f>
        <v>186341.89981442317</v>
      </c>
      <c r="G46" s="80">
        <f t="shared" si="15"/>
        <v>544807.98552204669</v>
      </c>
      <c r="H46" s="271">
        <f t="shared" si="15"/>
        <v>866124.38329520635</v>
      </c>
      <c r="I46" s="80">
        <f t="shared" si="15"/>
        <v>879536.99169744924</v>
      </c>
      <c r="J46" s="80">
        <f t="shared" si="15"/>
        <v>747525.00521133654</v>
      </c>
      <c r="K46" s="80">
        <f t="shared" si="15"/>
        <v>378942.89479009435</v>
      </c>
      <c r="L46" s="80">
        <f t="shared" si="15"/>
        <v>799959.09900198691</v>
      </c>
      <c r="M46" s="80">
        <f t="shared" si="15"/>
        <v>581396.93384136818</v>
      </c>
      <c r="N46" s="80">
        <f t="shared" si="15"/>
        <v>-636087.10084778629</v>
      </c>
      <c r="O46" s="80">
        <f t="shared" si="15"/>
        <v>1838351.9714689739</v>
      </c>
      <c r="P46" s="76">
        <f>SUM(D46:O46)</f>
        <v>7230451.1475545038</v>
      </c>
    </row>
    <row r="47" spans="1:16">
      <c r="A47" s="21">
        <v>24</v>
      </c>
      <c r="B47" s="20" t="s">
        <v>118</v>
      </c>
      <c r="C47" s="81" t="s">
        <v>119</v>
      </c>
      <c r="D47" s="80">
        <f>IF(D32="",D46*-'UE-150204 Decoupling Base'!$BE$18,0)</f>
        <v>-27783.268775573535</v>
      </c>
      <c r="E47" s="80">
        <f>IF(E32="",E46*-'UE-150204 Decoupling Base'!$BE$18,0)</f>
        <v>-20094.854947307947</v>
      </c>
      <c r="F47" s="80">
        <f>IF(F32="",F46*-'UE-150204 Decoupling Base'!$BE$18,0)</f>
        <v>-8549.3663634857348</v>
      </c>
      <c r="G47" s="80">
        <f>IF(G32="",G46*-'UE-150204 Decoupling Base'!$BE$18,0)</f>
        <v>-24995.790375751501</v>
      </c>
      <c r="H47" s="271">
        <f>IF(H32="",H46*-'Attachment 4, Page 4'!$E$20,0)</f>
        <v>-40428.087839070344</v>
      </c>
      <c r="I47" s="80">
        <f t="shared" ref="I47:O47" si="16">IF(I32="",I46*-0.04588,0)</f>
        <v>-40353.157179078968</v>
      </c>
      <c r="J47" s="80">
        <f t="shared" si="16"/>
        <v>-34296.447239096116</v>
      </c>
      <c r="K47" s="80">
        <f t="shared" si="16"/>
        <v>-17385.900012969527</v>
      </c>
      <c r="L47" s="80">
        <f t="shared" si="16"/>
        <v>-36702.123462211159</v>
      </c>
      <c r="M47" s="80">
        <f t="shared" si="16"/>
        <v>-26674.491324641971</v>
      </c>
      <c r="N47" s="80">
        <f t="shared" si="16"/>
        <v>29183.676186896435</v>
      </c>
      <c r="O47" s="80">
        <f t="shared" si="16"/>
        <v>-84343.588450996511</v>
      </c>
      <c r="P47" s="76">
        <f>SUM(D47:O47)</f>
        <v>-332423.39978328691</v>
      </c>
    </row>
    <row r="48" spans="1:16">
      <c r="A48" s="21"/>
      <c r="B48" s="20"/>
      <c r="C48" s="21" t="s">
        <v>120</v>
      </c>
      <c r="D48" s="82">
        <f>D26</f>
        <v>4.2500000000000003E-2</v>
      </c>
      <c r="E48" s="82">
        <f t="shared" ref="E48:O48" si="17">E26</f>
        <v>4.2500000000000003E-2</v>
      </c>
      <c r="F48" s="82">
        <f t="shared" si="17"/>
        <v>4.2500000000000003E-2</v>
      </c>
      <c r="G48" s="82">
        <f t="shared" si="17"/>
        <v>4.4699999999999997E-2</v>
      </c>
      <c r="H48" s="272">
        <f>H26</f>
        <v>4.4699999999999997E-2</v>
      </c>
      <c r="I48" s="82">
        <f t="shared" si="17"/>
        <v>4.4699999999999997E-2</v>
      </c>
      <c r="J48" s="82">
        <f t="shared" si="17"/>
        <v>4.6899999999999997E-2</v>
      </c>
      <c r="K48" s="82">
        <f t="shared" si="17"/>
        <v>4.6899999999999997E-2</v>
      </c>
      <c r="L48" s="82">
        <f t="shared" si="17"/>
        <v>4.6899999999999997E-2</v>
      </c>
      <c r="M48" s="82">
        <f t="shared" si="17"/>
        <v>4.9599999999999998E-2</v>
      </c>
      <c r="N48" s="82">
        <f t="shared" si="17"/>
        <v>4.9599999999999998E-2</v>
      </c>
      <c r="O48" s="82">
        <f t="shared" si="17"/>
        <v>4.9599999999999998E-2</v>
      </c>
      <c r="P48" s="76"/>
    </row>
    <row r="49" spans="1:16">
      <c r="A49" s="21">
        <v>25</v>
      </c>
      <c r="B49" s="20" t="s">
        <v>121</v>
      </c>
      <c r="C49" s="21" t="s">
        <v>122</v>
      </c>
      <c r="D49" s="83">
        <f>(D46+D47)/2*D48/12</f>
        <v>1023.1530870172047</v>
      </c>
      <c r="E49" s="83">
        <f>(D51+(E46+E47)/2)*E48/12</f>
        <v>2789.947620931734</v>
      </c>
      <c r="F49" s="83">
        <f t="shared" ref="F49:O49" si="18">(E51+(F46+F47)/2)*F48/12</f>
        <v>3854.6874097893747</v>
      </c>
      <c r="G49" s="83">
        <f t="shared" si="18"/>
        <v>5367.8716874393403</v>
      </c>
      <c r="H49" s="273">
        <f t="shared" si="18"/>
        <v>7893.8765732220791</v>
      </c>
      <c r="I49" s="83">
        <f t="shared" si="18"/>
        <v>11024.120505534849</v>
      </c>
      <c r="J49" s="83">
        <f t="shared" si="18"/>
        <v>14643.453157086087</v>
      </c>
      <c r="K49" s="83">
        <f t="shared" si="18"/>
        <v>16800.994754172749</v>
      </c>
      <c r="L49" s="83">
        <f t="shared" si="18"/>
        <v>19064.732608997918</v>
      </c>
      <c r="M49" s="83">
        <f t="shared" si="18"/>
        <v>22964.900876314485</v>
      </c>
      <c r="N49" s="83">
        <f t="shared" si="18"/>
        <v>22951.981770171988</v>
      </c>
      <c r="O49" s="83">
        <f t="shared" si="18"/>
        <v>25417.533542093344</v>
      </c>
      <c r="P49" s="76">
        <f>SUM(D49:O49)</f>
        <v>153797.25359277116</v>
      </c>
    </row>
    <row r="50" spans="1:16" ht="15" thickBot="1">
      <c r="A50" s="21"/>
      <c r="B50" s="85" t="s">
        <v>128</v>
      </c>
      <c r="C50" s="21"/>
      <c r="D50" s="86">
        <f>D46+D47+D49</f>
        <v>578803.71987320343</v>
      </c>
      <c r="E50" s="86">
        <f>E46+E47+E49</f>
        <v>420682.34087126871</v>
      </c>
      <c r="F50" s="86">
        <f t="shared" ref="F50:P50" si="19">F46+F47+F49</f>
        <v>181647.22086072684</v>
      </c>
      <c r="G50" s="86">
        <f t="shared" si="19"/>
        <v>525180.06683373451</v>
      </c>
      <c r="H50" s="274">
        <f t="shared" si="19"/>
        <v>833590.1720293581</v>
      </c>
      <c r="I50" s="86">
        <f t="shared" si="19"/>
        <v>850207.95502390503</v>
      </c>
      <c r="J50" s="86">
        <f t="shared" si="19"/>
        <v>727872.01112932642</v>
      </c>
      <c r="K50" s="86">
        <f t="shared" si="19"/>
        <v>378357.98953129759</v>
      </c>
      <c r="L50" s="86">
        <f t="shared" si="19"/>
        <v>782321.70814877376</v>
      </c>
      <c r="M50" s="86">
        <f t="shared" si="19"/>
        <v>577687.3433930407</v>
      </c>
      <c r="N50" s="86">
        <f t="shared" si="19"/>
        <v>-583951.44289071788</v>
      </c>
      <c r="O50" s="86">
        <f t="shared" si="19"/>
        <v>1779425.9165600708</v>
      </c>
      <c r="P50" s="86">
        <f t="shared" si="19"/>
        <v>7051825.001363988</v>
      </c>
    </row>
    <row r="51" spans="1:16" ht="27.6" thickBot="1">
      <c r="A51" s="21">
        <v>26</v>
      </c>
      <c r="B51" s="92" t="s">
        <v>129</v>
      </c>
      <c r="C51" s="21" t="str">
        <f>"Σ(("&amp;A$46&amp;") ~ ("&amp;A49&amp;"))"</f>
        <v>Σ((23) ~ (25))</v>
      </c>
      <c r="D51" s="75">
        <f>D46+D47+D49</f>
        <v>578803.71987320343</v>
      </c>
      <c r="E51" s="75">
        <f>D51+E46+E47+E49</f>
        <v>999486.0607444722</v>
      </c>
      <c r="F51" s="75">
        <f t="shared" ref="F51:N51" si="20">E51+F46+F47+F49</f>
        <v>1181133.281605199</v>
      </c>
      <c r="G51" s="75">
        <f t="shared" si="20"/>
        <v>1706313.3484389335</v>
      </c>
      <c r="H51" s="265">
        <f t="shared" si="20"/>
        <v>2539903.5204682918</v>
      </c>
      <c r="I51" s="75">
        <f t="shared" si="20"/>
        <v>3390111.4754921971</v>
      </c>
      <c r="J51" s="75">
        <f t="shared" si="20"/>
        <v>4117983.4866215233</v>
      </c>
      <c r="K51" s="75">
        <f t="shared" si="20"/>
        <v>4496341.4761528205</v>
      </c>
      <c r="L51" s="75">
        <f t="shared" si="20"/>
        <v>5278663.1843015943</v>
      </c>
      <c r="M51" s="75">
        <f t="shared" si="20"/>
        <v>5856350.5276946351</v>
      </c>
      <c r="N51" s="75">
        <f t="shared" si="20"/>
        <v>5272399.0848039174</v>
      </c>
      <c r="O51" s="88">
        <f>N51+O46+O47+O49</f>
        <v>7051825.001363988</v>
      </c>
      <c r="P51" s="76"/>
    </row>
    <row r="52" spans="1:16" ht="15" thickBot="1">
      <c r="A52" s="21"/>
      <c r="B52" s="20"/>
      <c r="C52" s="21"/>
      <c r="D52" s="75"/>
      <c r="E52" s="75"/>
      <c r="F52" s="75"/>
      <c r="G52" s="75"/>
      <c r="H52" s="265"/>
      <c r="I52" s="75"/>
      <c r="J52" s="75"/>
      <c r="K52" s="75"/>
      <c r="L52" s="75"/>
      <c r="M52" s="75"/>
      <c r="N52" s="75"/>
      <c r="O52" s="90"/>
    </row>
    <row r="53" spans="1:16" ht="28.95" customHeight="1" thickBot="1">
      <c r="A53" s="72">
        <v>27</v>
      </c>
      <c r="B53" s="93" t="s">
        <v>130</v>
      </c>
      <c r="C53" s="72" t="str">
        <f>"("&amp;A$29&amp;") + ("&amp;A51&amp;")"</f>
        <v>(13) + (26)</v>
      </c>
      <c r="D53" s="76">
        <f t="shared" ref="D53:O53" si="21">D29+D51</f>
        <v>919981.57246509334</v>
      </c>
      <c r="E53" s="76">
        <f t="shared" si="21"/>
        <v>3078897.4518048065</v>
      </c>
      <c r="F53" s="76">
        <f t="shared" si="21"/>
        <v>3905763.8945371071</v>
      </c>
      <c r="G53" s="76">
        <f t="shared" si="21"/>
        <v>5249742.566722298</v>
      </c>
      <c r="H53" s="276">
        <f t="shared" si="21"/>
        <v>7239704.3077176251</v>
      </c>
      <c r="I53" s="76">
        <f t="shared" si="21"/>
        <v>8695463.4421632439</v>
      </c>
      <c r="J53" s="76">
        <f t="shared" si="21"/>
        <v>10433416.705290996</v>
      </c>
      <c r="K53" s="76">
        <f t="shared" si="21"/>
        <v>9266627.0224821866</v>
      </c>
      <c r="L53" s="76">
        <f t="shared" si="21"/>
        <v>11880422.861615371</v>
      </c>
      <c r="M53" s="76">
        <f t="shared" si="21"/>
        <v>13314357.677720457</v>
      </c>
      <c r="N53" s="76">
        <f t="shared" si="21"/>
        <v>13616379.609626954</v>
      </c>
      <c r="O53" s="91">
        <f t="shared" si="21"/>
        <v>15672084.270685088</v>
      </c>
      <c r="P53" s="85"/>
    </row>
    <row r="54" spans="1:16">
      <c r="A54" s="20"/>
      <c r="B54" s="20"/>
      <c r="C54" s="20"/>
      <c r="D54" s="20"/>
      <c r="E54" s="20"/>
      <c r="F54" s="20"/>
      <c r="G54" s="20"/>
      <c r="H54" s="259"/>
      <c r="I54" s="20"/>
      <c r="J54" s="20"/>
      <c r="K54" s="20"/>
      <c r="L54" s="20"/>
      <c r="M54" s="20"/>
      <c r="N54" s="20"/>
      <c r="O54" s="20"/>
      <c r="P54" s="20"/>
    </row>
    <row r="55" spans="1:16" ht="70.95" customHeight="1">
      <c r="B55" s="99" t="s">
        <v>139</v>
      </c>
      <c r="C55" s="94" t="s">
        <v>362</v>
      </c>
      <c r="D55" s="234">
        <f t="shared" ref="D55:E55" si="22">D7</f>
        <v>43101</v>
      </c>
      <c r="E55" s="234">
        <f t="shared" si="22"/>
        <v>43132</v>
      </c>
      <c r="F55" s="234">
        <f>F7</f>
        <v>43160</v>
      </c>
      <c r="G55" s="234">
        <f>G7</f>
        <v>43191</v>
      </c>
      <c r="H55" s="284">
        <f>H7</f>
        <v>43221</v>
      </c>
      <c r="I55" s="234">
        <f t="shared" ref="I55:N55" si="23">I7</f>
        <v>43252</v>
      </c>
      <c r="J55" s="284">
        <f t="shared" si="23"/>
        <v>43282</v>
      </c>
      <c r="K55" s="234">
        <f t="shared" si="23"/>
        <v>43313</v>
      </c>
      <c r="L55" s="284">
        <f t="shared" si="23"/>
        <v>43344</v>
      </c>
      <c r="M55" s="234">
        <f t="shared" si="23"/>
        <v>43374</v>
      </c>
      <c r="N55" s="284">
        <f t="shared" si="23"/>
        <v>43405</v>
      </c>
      <c r="O55" s="234">
        <f>O7</f>
        <v>43435</v>
      </c>
    </row>
    <row r="56" spans="1:16">
      <c r="B56" s="84"/>
      <c r="H56" s="285"/>
    </row>
    <row r="57" spans="1:16">
      <c r="A57" s="84" t="s">
        <v>142</v>
      </c>
      <c r="B57" s="84" t="s">
        <v>210</v>
      </c>
      <c r="D57" s="150">
        <f t="shared" ref="D57:K57" si="24">-D24-D25</f>
        <v>-340574.751469496</v>
      </c>
      <c r="E57" s="150">
        <f t="shared" si="24"/>
        <v>-1733954.6555379997</v>
      </c>
      <c r="F57" s="150">
        <f t="shared" si="24"/>
        <v>-636727.1022846055</v>
      </c>
      <c r="G57" s="150">
        <f>ROUND(-G24-G25,2)</f>
        <v>-807146.05</v>
      </c>
      <c r="H57" s="286">
        <f t="shared" si="24"/>
        <v>-1141047.094913587</v>
      </c>
      <c r="I57" s="150">
        <f t="shared" si="24"/>
        <v>-586951.22483295866</v>
      </c>
      <c r="J57" s="150">
        <f t="shared" si="24"/>
        <v>-987416.59147285006</v>
      </c>
      <c r="K57" s="150">
        <f t="shared" si="24"/>
        <v>1566768.7632116319</v>
      </c>
      <c r="L57" s="150">
        <f>ROUND(-L24-L25,2)</f>
        <v>-1809294.6</v>
      </c>
      <c r="M57" s="150">
        <f t="shared" ref="M57:O57" si="25">ROUND(-M24-M25,2)</f>
        <v>-827250.55</v>
      </c>
      <c r="N57" s="150">
        <f t="shared" si="25"/>
        <v>-853383.29</v>
      </c>
      <c r="O57" s="150">
        <f t="shared" si="25"/>
        <v>-241291.62</v>
      </c>
      <c r="P57" s="150"/>
    </row>
    <row r="58" spans="1:16">
      <c r="A58" s="84" t="s">
        <v>142</v>
      </c>
      <c r="B58" s="84" t="s">
        <v>365</v>
      </c>
      <c r="D58" s="150">
        <f t="shared" ref="D58:K58" si="26">IF(D27&lt;0,-D27,0)</f>
        <v>0</v>
      </c>
      <c r="E58" s="150">
        <f t="shared" si="26"/>
        <v>0</v>
      </c>
      <c r="F58" s="150">
        <f t="shared" si="26"/>
        <v>0</v>
      </c>
      <c r="G58" s="150">
        <f>ROUND(IF(G27&lt;0,-G27,0),2)</f>
        <v>0</v>
      </c>
      <c r="H58" s="286">
        <f t="shared" si="26"/>
        <v>0</v>
      </c>
      <c r="I58" s="150">
        <f t="shared" si="26"/>
        <v>0</v>
      </c>
      <c r="J58" s="150">
        <f t="shared" si="26"/>
        <v>0</v>
      </c>
      <c r="K58" s="150">
        <f t="shared" si="26"/>
        <v>0</v>
      </c>
      <c r="L58" s="150">
        <f>ROUND(IF(L27&lt;0,-L27,0),2)</f>
        <v>0</v>
      </c>
      <c r="M58" s="150">
        <f t="shared" ref="M58:O58" si="27">ROUND(IF(M27&lt;0,-M27,0),2)</f>
        <v>0</v>
      </c>
      <c r="N58" s="150">
        <f t="shared" si="27"/>
        <v>0</v>
      </c>
      <c r="O58" s="150">
        <f t="shared" si="27"/>
        <v>0</v>
      </c>
      <c r="P58" s="150"/>
    </row>
    <row r="59" spans="1:16">
      <c r="A59" s="84" t="s">
        <v>142</v>
      </c>
      <c r="B59" s="84" t="s">
        <v>366</v>
      </c>
      <c r="D59" s="150">
        <f t="shared" ref="D59:K59" si="28">IF(D27&gt;0,-D27,0)</f>
        <v>-603.10112239389923</v>
      </c>
      <c r="E59" s="150">
        <f t="shared" si="28"/>
        <v>-4278.8829304448182</v>
      </c>
      <c r="F59" s="150">
        <f t="shared" si="28"/>
        <v>-8492.1195869676721</v>
      </c>
      <c r="G59" s="150">
        <f>ROUND(IF(G27&gt;0,-G27,0),2)</f>
        <v>-11652.56</v>
      </c>
      <c r="H59" s="286">
        <f t="shared" si="28"/>
        <v>-15324.474052382087</v>
      </c>
      <c r="I59" s="150">
        <f t="shared" si="28"/>
        <v>-18599.954588755154</v>
      </c>
      <c r="J59" s="150">
        <f t="shared" si="28"/>
        <v>-22664.660525575866</v>
      </c>
      <c r="K59" s="150">
        <f t="shared" si="28"/>
        <v>-21621.090871523793</v>
      </c>
      <c r="L59" s="150">
        <f>ROUND(IF(L27&gt;0,-L27,0),2)</f>
        <v>-22179.53</v>
      </c>
      <c r="M59" s="150">
        <f t="shared" ref="M59:O59" si="29">ROUND(IF(M27&gt;0,-M27,0),2)</f>
        <v>-28996.92</v>
      </c>
      <c r="N59" s="150">
        <f t="shared" si="29"/>
        <v>-32590.09</v>
      </c>
      <c r="O59" s="150">
        <f t="shared" si="29"/>
        <v>-34987.120000000003</v>
      </c>
      <c r="P59" s="150"/>
    </row>
    <row r="60" spans="1:16" ht="15" thickBot="1">
      <c r="A60" s="84" t="s">
        <v>142</v>
      </c>
      <c r="B60" s="84" t="s">
        <v>140</v>
      </c>
      <c r="D60" s="150">
        <f t="shared" ref="D60:F60" si="30">-SUM(D57:D59)</f>
        <v>341177.85259188991</v>
      </c>
      <c r="E60" s="150">
        <f t="shared" si="30"/>
        <v>1738233.5384684445</v>
      </c>
      <c r="F60" s="150">
        <f t="shared" si="30"/>
        <v>645219.22187157313</v>
      </c>
      <c r="G60" s="150">
        <f>-SUM(G57:G59)</f>
        <v>818798.6100000001</v>
      </c>
      <c r="H60" s="150">
        <f t="shared" ref="H60:O60" si="31">-SUM(H57:H59)</f>
        <v>1156371.5689659691</v>
      </c>
      <c r="I60" s="150">
        <f t="shared" si="31"/>
        <v>605551.17942171381</v>
      </c>
      <c r="J60" s="150">
        <f t="shared" si="31"/>
        <v>1010081.2519984259</v>
      </c>
      <c r="K60" s="150">
        <f t="shared" si="31"/>
        <v>-1545147.6723401081</v>
      </c>
      <c r="L60" s="150">
        <f t="shared" si="31"/>
        <v>1831474.1300000001</v>
      </c>
      <c r="M60" s="150">
        <f t="shared" si="31"/>
        <v>856247.47000000009</v>
      </c>
      <c r="N60" s="150">
        <f t="shared" si="31"/>
        <v>885973.38</v>
      </c>
      <c r="O60" s="150">
        <f t="shared" si="31"/>
        <v>276278.74</v>
      </c>
      <c r="P60" s="150"/>
    </row>
    <row r="61" spans="1:16" s="151" customFormat="1">
      <c r="A61" s="84" t="s">
        <v>142</v>
      </c>
      <c r="B61" s="226" t="s">
        <v>259</v>
      </c>
      <c r="C61" s="229"/>
      <c r="D61" s="150">
        <f t="shared" ref="D61:F61" si="32">-D62-D63</f>
        <v>1162250.77</v>
      </c>
      <c r="E61" s="150">
        <f t="shared" si="32"/>
        <v>916951.19</v>
      </c>
      <c r="F61" s="150">
        <f t="shared" si="32"/>
        <v>978281.24</v>
      </c>
      <c r="G61" s="150">
        <f>-G62-G63</f>
        <v>740255.3719426567</v>
      </c>
      <c r="H61" s="286">
        <f>-H62-H63</f>
        <v>627047.86129303998</v>
      </c>
      <c r="I61" s="286">
        <f t="shared" ref="I61:O61" si="33">-I62-I63</f>
        <v>607128.45038274571</v>
      </c>
      <c r="J61" s="286">
        <f t="shared" si="33"/>
        <v>785864.3964810787</v>
      </c>
      <c r="K61" s="286">
        <f t="shared" si="33"/>
        <v>857921.78690196818</v>
      </c>
      <c r="L61" s="286">
        <f t="shared" si="33"/>
        <v>591138.76653037919</v>
      </c>
      <c r="M61" s="286">
        <f t="shared" si="33"/>
        <v>679574.22845479345</v>
      </c>
      <c r="N61" s="286">
        <f t="shared" si="33"/>
        <v>-120323.53077317961</v>
      </c>
      <c r="O61" s="286">
        <f t="shared" si="33"/>
        <v>-280725.70929970534</v>
      </c>
      <c r="P61" s="150"/>
    </row>
    <row r="62" spans="1:16" s="151" customFormat="1">
      <c r="A62" s="84" t="s">
        <v>142</v>
      </c>
      <c r="B62" s="227" t="s">
        <v>260</v>
      </c>
      <c r="C62" s="230"/>
      <c r="D62" s="316">
        <v>-1162250.77</v>
      </c>
      <c r="E62" s="316">
        <v>-916951.19</v>
      </c>
      <c r="F62" s="316">
        <v>-978281.24</v>
      </c>
      <c r="G62" s="150">
        <f>-'Apr Base Rate Revenue'!$X$15</f>
        <v>-740255.3719426567</v>
      </c>
      <c r="H62" s="286">
        <f>-'May Base Rate Revenue'!$X$15</f>
        <v>-627047.86129303998</v>
      </c>
      <c r="I62" s="286">
        <f>-'June Base Rate Revenue'!$X$15</f>
        <v>-607128.45038274571</v>
      </c>
      <c r="J62" s="286">
        <f>-'July Base Rate Revenue'!$X$15</f>
        <v>-785864.3964810787</v>
      </c>
      <c r="K62" s="286">
        <f>-'August Base Rate Revenue'!$X$15</f>
        <v>-857921.78690196818</v>
      </c>
      <c r="L62" s="286">
        <f>-'September Base Rate Revenue'!$X$15</f>
        <v>-591138.76653037919</v>
      </c>
      <c r="M62" s="286">
        <f>-'October Base Rate Revenue'!$X$36</f>
        <v>-679574.22845479345</v>
      </c>
      <c r="N62" s="286">
        <v>0</v>
      </c>
      <c r="O62" s="286">
        <f>-'December Base Rate Revenue'!$X$15</f>
        <v>0</v>
      </c>
      <c r="P62" s="150"/>
    </row>
    <row r="63" spans="1:16" s="151" customFormat="1" ht="15" thickBot="1">
      <c r="A63" s="84" t="s">
        <v>142</v>
      </c>
      <c r="B63" s="228" t="s">
        <v>261</v>
      </c>
      <c r="C63" s="231"/>
      <c r="D63" s="150">
        <v>0</v>
      </c>
      <c r="E63" s="150">
        <v>0</v>
      </c>
      <c r="F63" s="150">
        <v>0</v>
      </c>
      <c r="G63" s="150">
        <v>0</v>
      </c>
      <c r="H63" s="286">
        <v>0</v>
      </c>
      <c r="I63" s="286">
        <v>0</v>
      </c>
      <c r="J63" s="286">
        <v>0</v>
      </c>
      <c r="K63" s="286">
        <v>0</v>
      </c>
      <c r="L63" s="286">
        <v>0</v>
      </c>
      <c r="M63" s="150">
        <v>0</v>
      </c>
      <c r="N63" s="150">
        <f>-'November Base Rate Revenue'!$X$36</f>
        <v>120323.53077317961</v>
      </c>
      <c r="O63" s="150">
        <f>-'December Base Rate Revenue'!$X$36</f>
        <v>280725.70929970534</v>
      </c>
      <c r="P63" s="150"/>
    </row>
    <row r="64" spans="1:16">
      <c r="A64" s="84"/>
      <c r="B64" s="84"/>
      <c r="D64" s="150"/>
      <c r="E64" s="150"/>
      <c r="F64" s="150"/>
      <c r="G64" s="150"/>
      <c r="H64" s="286"/>
      <c r="I64" s="150"/>
      <c r="J64" s="150"/>
      <c r="K64" s="150"/>
      <c r="L64" s="150"/>
      <c r="M64" s="150"/>
      <c r="N64" s="150"/>
      <c r="O64" s="150"/>
      <c r="P64" s="150"/>
    </row>
    <row r="65" spans="1:16">
      <c r="A65" s="84" t="s">
        <v>142</v>
      </c>
      <c r="B65" s="84" t="s">
        <v>211</v>
      </c>
      <c r="D65" s="150">
        <f t="shared" ref="D65:K65" si="34">-D46-D47</f>
        <v>-577780.56678618619</v>
      </c>
      <c r="E65" s="150">
        <f t="shared" si="34"/>
        <v>-417892.39325033699</v>
      </c>
      <c r="F65" s="150">
        <f t="shared" si="34"/>
        <v>-177792.53345093745</v>
      </c>
      <c r="G65" s="150">
        <f>ROUND(-G46-G47,2)</f>
        <v>-519812.2</v>
      </c>
      <c r="H65" s="286">
        <f t="shared" si="34"/>
        <v>-825696.29545613599</v>
      </c>
      <c r="I65" s="150">
        <f t="shared" si="34"/>
        <v>-839183.83451837022</v>
      </c>
      <c r="J65" s="150">
        <f t="shared" si="34"/>
        <v>-713228.55797224038</v>
      </c>
      <c r="K65" s="150">
        <f t="shared" si="34"/>
        <v>-361556.99477712484</v>
      </c>
      <c r="L65" s="150">
        <f>ROUND(-L46-L47,2)</f>
        <v>-763256.98</v>
      </c>
      <c r="M65" s="150">
        <f t="shared" ref="M65:O65" si="35">ROUND(-M46-M47,2)</f>
        <v>-554722.43999999994</v>
      </c>
      <c r="N65" s="150">
        <f t="shared" si="35"/>
        <v>606903.42000000004</v>
      </c>
      <c r="O65" s="150">
        <f t="shared" si="35"/>
        <v>-1754008.38</v>
      </c>
      <c r="P65" s="150"/>
    </row>
    <row r="66" spans="1:16">
      <c r="A66" s="84" t="s">
        <v>142</v>
      </c>
      <c r="B66" s="84" t="s">
        <v>365</v>
      </c>
      <c r="D66" s="150">
        <f t="shared" ref="D66:K66" si="36">IF(D49&lt;0,-D49,0)</f>
        <v>0</v>
      </c>
      <c r="E66" s="150">
        <f t="shared" si="36"/>
        <v>0</v>
      </c>
      <c r="F66" s="150">
        <f t="shared" si="36"/>
        <v>0</v>
      </c>
      <c r="G66" s="150">
        <f>ROUND(IF(G49&lt;0,-G49,0),2)</f>
        <v>0</v>
      </c>
      <c r="H66" s="286">
        <f t="shared" si="36"/>
        <v>0</v>
      </c>
      <c r="I66" s="150">
        <f t="shared" si="36"/>
        <v>0</v>
      </c>
      <c r="J66" s="150">
        <f t="shared" si="36"/>
        <v>0</v>
      </c>
      <c r="K66" s="150">
        <f t="shared" si="36"/>
        <v>0</v>
      </c>
      <c r="L66" s="150">
        <f>ROUND(IF(L49&lt;0,-L49,0),2)</f>
        <v>0</v>
      </c>
      <c r="M66" s="150">
        <f t="shared" ref="M66:O66" si="37">ROUND(IF(M49&lt;0,-M49,0),2)</f>
        <v>0</v>
      </c>
      <c r="N66" s="150">
        <f t="shared" si="37"/>
        <v>0</v>
      </c>
      <c r="O66" s="150">
        <f t="shared" si="37"/>
        <v>0</v>
      </c>
      <c r="P66" s="150"/>
    </row>
    <row r="67" spans="1:16">
      <c r="A67" s="84" t="s">
        <v>142</v>
      </c>
      <c r="B67" s="84" t="s">
        <v>366</v>
      </c>
      <c r="D67" s="150">
        <f t="shared" ref="D67:K67" si="38">IF(D49&gt;0,-D49,0)</f>
        <v>-1023.1530870172047</v>
      </c>
      <c r="E67" s="150">
        <f t="shared" si="38"/>
        <v>-2789.947620931734</v>
      </c>
      <c r="F67" s="150">
        <f t="shared" si="38"/>
        <v>-3854.6874097893747</v>
      </c>
      <c r="G67" s="150">
        <f>ROUND(IF(G49&gt;0,-G49,0),2)</f>
        <v>-5367.87</v>
      </c>
      <c r="H67" s="286">
        <f t="shared" si="38"/>
        <v>-7893.8765732220791</v>
      </c>
      <c r="I67" s="150">
        <f t="shared" si="38"/>
        <v>-11024.120505534849</v>
      </c>
      <c r="J67" s="150">
        <f t="shared" si="38"/>
        <v>-14643.453157086087</v>
      </c>
      <c r="K67" s="150">
        <f t="shared" si="38"/>
        <v>-16800.994754172749</v>
      </c>
      <c r="L67" s="150">
        <f>ROUND(IF(L49&gt;0,-L49,0),2)</f>
        <v>-19064.73</v>
      </c>
      <c r="M67" s="150">
        <f t="shared" ref="M67:O67" si="39">ROUND(IF(M49&gt;0,-M49,0),2)</f>
        <v>-22964.9</v>
      </c>
      <c r="N67" s="150">
        <f t="shared" si="39"/>
        <v>-22951.98</v>
      </c>
      <c r="O67" s="150">
        <f t="shared" si="39"/>
        <v>-25417.53</v>
      </c>
      <c r="P67" s="150"/>
    </row>
    <row r="68" spans="1:16" ht="15" thickBot="1">
      <c r="A68" s="84" t="s">
        <v>142</v>
      </c>
      <c r="B68" s="84" t="s">
        <v>141</v>
      </c>
      <c r="D68" s="150">
        <f t="shared" ref="D68:F68" si="40">-SUM(D65:D67)</f>
        <v>578803.71987320343</v>
      </c>
      <c r="E68" s="150">
        <f t="shared" si="40"/>
        <v>420682.34087126871</v>
      </c>
      <c r="F68" s="150">
        <f t="shared" si="40"/>
        <v>181647.22086072684</v>
      </c>
      <c r="G68" s="150">
        <f>-SUM(G65:G67)</f>
        <v>525180.07000000007</v>
      </c>
      <c r="H68" s="150">
        <f t="shared" ref="H68:I68" si="41">-SUM(H65:H67)</f>
        <v>833590.1720293581</v>
      </c>
      <c r="I68" s="150">
        <f t="shared" si="41"/>
        <v>850207.95502390503</v>
      </c>
      <c r="J68" s="150">
        <f t="shared" ref="J68" si="42">-SUM(J65:J67)</f>
        <v>727872.01112932642</v>
      </c>
      <c r="K68" s="150">
        <f t="shared" ref="K68" si="43">-SUM(K65:K67)</f>
        <v>378357.98953129759</v>
      </c>
      <c r="L68" s="150">
        <f t="shared" ref="L68" si="44">-SUM(L65:L67)</f>
        <v>782321.71</v>
      </c>
      <c r="M68" s="150">
        <f t="shared" ref="M68" si="45">-SUM(M65:M67)</f>
        <v>577687.34</v>
      </c>
      <c r="N68" s="150">
        <f t="shared" ref="N68" si="46">-SUM(N65:N67)</f>
        <v>-583951.44000000006</v>
      </c>
      <c r="O68" s="150">
        <f t="shared" ref="O68" si="47">-SUM(O65:O67)</f>
        <v>1779425.91</v>
      </c>
      <c r="P68" s="150"/>
    </row>
    <row r="69" spans="1:16">
      <c r="A69" s="84" t="s">
        <v>142</v>
      </c>
      <c r="B69" s="226" t="s">
        <v>262</v>
      </c>
      <c r="C69" s="229"/>
      <c r="D69" s="150">
        <f>-D70-D71</f>
        <v>66207.289999999994</v>
      </c>
      <c r="E69" s="150">
        <f t="shared" ref="E69:F69" si="48">-E70-E71</f>
        <v>67375.64</v>
      </c>
      <c r="F69" s="150">
        <f t="shared" si="48"/>
        <v>63806.12</v>
      </c>
      <c r="G69" s="150">
        <f>-G70-G71</f>
        <v>61807.1443138268</v>
      </c>
      <c r="H69" s="286">
        <f>-H70-H71</f>
        <v>66875.539429414814</v>
      </c>
      <c r="I69" s="286">
        <f t="shared" ref="I69:O69" si="49">-I70-I71</f>
        <v>68567.362861936403</v>
      </c>
      <c r="J69" s="286">
        <f t="shared" si="49"/>
        <v>78197.288413826405</v>
      </c>
      <c r="K69" s="286">
        <f t="shared" si="49"/>
        <v>73903.894943113177</v>
      </c>
      <c r="L69" s="286">
        <f t="shared" si="49"/>
        <v>64210.747679167587</v>
      </c>
      <c r="M69" s="286">
        <f t="shared" si="49"/>
        <v>69824.243352925609</v>
      </c>
      <c r="N69" s="286">
        <f t="shared" si="49"/>
        <v>89711.34521060923</v>
      </c>
      <c r="O69" s="286">
        <f t="shared" si="49"/>
        <v>87496.585133094544</v>
      </c>
    </row>
    <row r="70" spans="1:16">
      <c r="A70" s="84" t="s">
        <v>142</v>
      </c>
      <c r="B70" s="227" t="s">
        <v>263</v>
      </c>
      <c r="C70" s="232"/>
      <c r="D70" s="316">
        <v>-66207.289999999994</v>
      </c>
      <c r="E70" s="316">
        <v>-67375.64</v>
      </c>
      <c r="F70" s="316">
        <v>-63806.12</v>
      </c>
      <c r="G70" s="150">
        <f>-'Apr Base Rate Revenue'!$X$16</f>
        <v>-61807.1443138268</v>
      </c>
      <c r="H70" s="286">
        <f>-'May Base Rate Revenue'!$X$16</f>
        <v>-66875.539429414814</v>
      </c>
      <c r="I70" s="286">
        <f>-'June Base Rate Revenue'!$X$16</f>
        <v>-68567.362861936403</v>
      </c>
      <c r="J70" s="286">
        <f>-'July Base Rate Revenue'!$X$16</f>
        <v>-78197.288413826405</v>
      </c>
      <c r="K70" s="286">
        <f>-'August Base Rate Revenue'!$X$16</f>
        <v>-73903.894943113177</v>
      </c>
      <c r="L70" s="286">
        <f>-'September Base Rate Revenue'!$X$16</f>
        <v>-64210.747679167587</v>
      </c>
      <c r="M70" s="286">
        <f>-'October Base Rate Revenue'!$X$37</f>
        <v>-69824.243352925609</v>
      </c>
      <c r="N70" s="286">
        <f>-'November Base Rate Revenue'!$X$37</f>
        <v>-89711.34521060923</v>
      </c>
      <c r="O70" s="286">
        <f>-'December Base Rate Revenue'!$X$37</f>
        <v>-87496.585133094544</v>
      </c>
    </row>
    <row r="71" spans="1:16" ht="15" thickBot="1">
      <c r="A71" s="84" t="s">
        <v>142</v>
      </c>
      <c r="B71" s="228" t="s">
        <v>264</v>
      </c>
      <c r="C71" s="233"/>
      <c r="D71" s="150">
        <v>0</v>
      </c>
      <c r="E71" s="150">
        <v>0</v>
      </c>
      <c r="F71" s="150">
        <v>0</v>
      </c>
      <c r="G71" s="150">
        <v>0</v>
      </c>
      <c r="H71" s="286">
        <v>0</v>
      </c>
      <c r="I71" s="286">
        <v>0</v>
      </c>
      <c r="J71" s="286">
        <v>0</v>
      </c>
      <c r="K71" s="286">
        <v>0</v>
      </c>
      <c r="L71" s="286">
        <v>0</v>
      </c>
    </row>
    <row r="72" spans="1:16">
      <c r="A72" s="170"/>
      <c r="B72" s="84"/>
      <c r="C72" s="170"/>
      <c r="D72" s="184"/>
      <c r="E72" s="170"/>
      <c r="H72" s="285"/>
    </row>
    <row r="73" spans="1:16">
      <c r="A73" s="84" t="s">
        <v>142</v>
      </c>
      <c r="B73" s="84" t="s">
        <v>348</v>
      </c>
      <c r="C73" s="150"/>
      <c r="D73" s="150">
        <f>-D74-D75</f>
        <v>0</v>
      </c>
      <c r="E73" s="150">
        <f t="shared" ref="E73:O73" si="50">-E74-E75</f>
        <v>0</v>
      </c>
      <c r="F73" s="150">
        <f t="shared" si="50"/>
        <v>0</v>
      </c>
      <c r="G73" s="150">
        <f t="shared" si="50"/>
        <v>0</v>
      </c>
      <c r="H73" s="150">
        <f t="shared" si="50"/>
        <v>0</v>
      </c>
      <c r="I73" s="150">
        <f t="shared" si="50"/>
        <v>0</v>
      </c>
      <c r="J73" s="150">
        <f t="shared" si="50"/>
        <v>0</v>
      </c>
      <c r="K73" s="150">
        <f t="shared" si="50"/>
        <v>0</v>
      </c>
      <c r="L73" s="150">
        <f t="shared" si="50"/>
        <v>0</v>
      </c>
      <c r="M73" s="150">
        <f t="shared" si="50"/>
        <v>545266.37</v>
      </c>
      <c r="N73" s="150">
        <f t="shared" si="50"/>
        <v>665692.86</v>
      </c>
      <c r="O73" s="150">
        <f t="shared" si="50"/>
        <v>185925.14558323054</v>
      </c>
    </row>
    <row r="74" spans="1:16">
      <c r="A74" s="84" t="s">
        <v>142</v>
      </c>
      <c r="B74" s="84" t="s">
        <v>349</v>
      </c>
      <c r="C74" s="150"/>
      <c r="D74" s="150">
        <f>D85</f>
        <v>0</v>
      </c>
      <c r="E74" s="150">
        <f t="shared" ref="E74:O74" si="51">E85</f>
        <v>0</v>
      </c>
      <c r="F74" s="150">
        <f t="shared" si="51"/>
        <v>0</v>
      </c>
      <c r="G74" s="150">
        <f t="shared" si="51"/>
        <v>0</v>
      </c>
      <c r="H74" s="150">
        <f t="shared" si="51"/>
        <v>0</v>
      </c>
      <c r="I74" s="150">
        <f t="shared" si="51"/>
        <v>0</v>
      </c>
      <c r="J74" s="150">
        <f t="shared" si="51"/>
        <v>0</v>
      </c>
      <c r="K74" s="150">
        <f t="shared" si="51"/>
        <v>0</v>
      </c>
      <c r="L74" s="150">
        <f t="shared" si="51"/>
        <v>0</v>
      </c>
      <c r="M74" s="150">
        <f t="shared" si="51"/>
        <v>-545266.37</v>
      </c>
      <c r="N74" s="150">
        <f t="shared" si="51"/>
        <v>-665692.86</v>
      </c>
      <c r="O74" s="150">
        <f t="shared" si="51"/>
        <v>-185925.14558323054</v>
      </c>
    </row>
    <row r="75" spans="1:16">
      <c r="A75" s="84" t="s">
        <v>142</v>
      </c>
      <c r="B75" s="84" t="s">
        <v>350</v>
      </c>
      <c r="C75" s="318"/>
      <c r="D75" s="318">
        <f>D81</f>
        <v>0</v>
      </c>
      <c r="E75" s="318">
        <f t="shared" ref="E75:O75" si="52">E81</f>
        <v>0</v>
      </c>
      <c r="F75" s="318">
        <f t="shared" si="52"/>
        <v>0</v>
      </c>
      <c r="G75" s="318">
        <f t="shared" si="52"/>
        <v>0</v>
      </c>
      <c r="H75" s="318">
        <f t="shared" si="52"/>
        <v>0</v>
      </c>
      <c r="I75" s="318">
        <f t="shared" si="52"/>
        <v>0</v>
      </c>
      <c r="J75" s="318">
        <f t="shared" si="52"/>
        <v>0</v>
      </c>
      <c r="K75" s="318">
        <f t="shared" si="52"/>
        <v>0</v>
      </c>
      <c r="L75" s="318">
        <f t="shared" si="52"/>
        <v>0</v>
      </c>
      <c r="M75" s="318">
        <f t="shared" si="52"/>
        <v>0</v>
      </c>
      <c r="N75" s="318">
        <f t="shared" si="52"/>
        <v>0</v>
      </c>
      <c r="O75" s="318">
        <f t="shared" si="52"/>
        <v>0</v>
      </c>
    </row>
    <row r="76" spans="1:16" ht="15" thickBot="1">
      <c r="B76" s="319"/>
      <c r="C76" s="320"/>
      <c r="D76" s="320" t="str">
        <f t="shared" ref="D76:O76" si="53">IF(SUM(D73:D75)=0,"",SUM(D73:D75))</f>
        <v/>
      </c>
      <c r="E76" s="320" t="str">
        <f t="shared" si="53"/>
        <v/>
      </c>
      <c r="F76" s="320" t="str">
        <f t="shared" si="53"/>
        <v/>
      </c>
      <c r="G76" s="320" t="str">
        <f t="shared" si="53"/>
        <v/>
      </c>
      <c r="H76" s="320" t="str">
        <f t="shared" si="53"/>
        <v/>
      </c>
      <c r="I76" s="320" t="str">
        <f t="shared" si="53"/>
        <v/>
      </c>
      <c r="J76" s="320" t="str">
        <f t="shared" si="53"/>
        <v/>
      </c>
      <c r="K76" s="320" t="str">
        <f t="shared" si="53"/>
        <v/>
      </c>
      <c r="L76" s="320" t="str">
        <f t="shared" si="53"/>
        <v/>
      </c>
      <c r="M76" s="320" t="str">
        <f t="shared" si="53"/>
        <v/>
      </c>
      <c r="N76" s="320" t="str">
        <f t="shared" si="53"/>
        <v/>
      </c>
      <c r="O76" s="320" t="str">
        <f t="shared" si="53"/>
        <v/>
      </c>
    </row>
    <row r="77" spans="1:16">
      <c r="B77" s="285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</row>
    <row r="78" spans="1:16">
      <c r="A78" s="84" t="s">
        <v>142</v>
      </c>
      <c r="B78" s="322" t="s">
        <v>351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</row>
    <row r="79" spans="1:16">
      <c r="A79" s="84" t="s">
        <v>142</v>
      </c>
      <c r="B79" s="170" t="s">
        <v>355</v>
      </c>
      <c r="C79" s="323"/>
      <c r="D79" s="323">
        <f>'EDWA 3% test'!D20+'EDWA 3% test'!D52</f>
        <v>0</v>
      </c>
      <c r="E79" s="323">
        <f>'EDWA 3% test'!E20+'EDWA 3% test'!E52</f>
        <v>0</v>
      </c>
      <c r="F79" s="323">
        <f>'EDWA 3% test'!F20+'EDWA 3% test'!F52</f>
        <v>0</v>
      </c>
      <c r="G79" s="323">
        <f>'EDWA 3% test'!G20+'EDWA 3% test'!G52</f>
        <v>0</v>
      </c>
      <c r="H79" s="323">
        <f>'EDWA 3% test'!H20+'EDWA 3% test'!H52</f>
        <v>0</v>
      </c>
      <c r="I79" s="323">
        <f>'EDWA 3% test'!I20+'EDWA 3% test'!I52</f>
        <v>0</v>
      </c>
      <c r="J79" s="323">
        <f>'EDWA 3% test'!J20+'EDWA 3% test'!J52</f>
        <v>0</v>
      </c>
      <c r="K79" s="323">
        <f>'EDWA 3% test'!K20+'EDWA 3% test'!K52</f>
        <v>0</v>
      </c>
      <c r="L79" s="323">
        <f>'EDWA 3% test'!L20+'EDWA 3% test'!L52</f>
        <v>0</v>
      </c>
      <c r="M79" s="323">
        <f>'EDWA 3% test'!M20+'EDWA 3% test'!M52</f>
        <v>0</v>
      </c>
      <c r="N79" s="323">
        <f>'EDWA 3% test'!N20+'EDWA 3% test'!N52</f>
        <v>0</v>
      </c>
      <c r="O79" s="323">
        <f>'EDWA 3% test'!O20+'EDWA 3% test'!O52</f>
        <v>0</v>
      </c>
    </row>
    <row r="80" spans="1:16">
      <c r="A80" s="84" t="s">
        <v>142</v>
      </c>
      <c r="B80" s="170" t="s">
        <v>352</v>
      </c>
      <c r="C80" s="324"/>
      <c r="D80" s="324">
        <f>'EDWA 3% test'!C20+'EDWA 3% test'!C52</f>
        <v>0</v>
      </c>
      <c r="E80" s="324">
        <f>'EDWA 3% test'!D20+'EDWA 3% test'!D52</f>
        <v>0</v>
      </c>
      <c r="F80" s="324">
        <f>'EDWA 3% test'!E20+'EDWA 3% test'!E52</f>
        <v>0</v>
      </c>
      <c r="G80" s="324">
        <f>'EDWA 3% test'!F20+'EDWA 3% test'!F52</f>
        <v>0</v>
      </c>
      <c r="H80" s="324">
        <f>'EDWA 3% test'!G20+'EDWA 3% test'!G52</f>
        <v>0</v>
      </c>
      <c r="I80" s="324">
        <f>'EDWA 3% test'!H20+'EDWA 3% test'!H52</f>
        <v>0</v>
      </c>
      <c r="J80" s="324">
        <f>'EDWA 3% test'!I20+'EDWA 3% test'!I52</f>
        <v>0</v>
      </c>
      <c r="K80" s="324">
        <f>'EDWA 3% test'!J20+'EDWA 3% test'!J52</f>
        <v>0</v>
      </c>
      <c r="L80" s="324">
        <f>'EDWA 3% test'!K20+'EDWA 3% test'!K52</f>
        <v>0</v>
      </c>
      <c r="M80" s="324">
        <f>'EDWA 3% test'!L20+'EDWA 3% test'!L52</f>
        <v>0</v>
      </c>
      <c r="N80" s="324">
        <f>'EDWA 3% test'!M20+'EDWA 3% test'!M52</f>
        <v>0</v>
      </c>
      <c r="O80" s="324">
        <f>'EDWA 3% test'!N20+'EDWA 3% test'!N52</f>
        <v>0</v>
      </c>
    </row>
    <row r="81" spans="1:15">
      <c r="A81" s="84" t="s">
        <v>142</v>
      </c>
      <c r="B81" s="151" t="s">
        <v>356</v>
      </c>
      <c r="C81" s="150"/>
      <c r="D81" s="150">
        <f>D79-D80</f>
        <v>0</v>
      </c>
      <c r="E81" s="150">
        <f t="shared" ref="E81:O81" si="54">E79-E80</f>
        <v>0</v>
      </c>
      <c r="F81" s="150">
        <f t="shared" si="54"/>
        <v>0</v>
      </c>
      <c r="G81" s="150">
        <f t="shared" si="54"/>
        <v>0</v>
      </c>
      <c r="H81" s="150">
        <f t="shared" si="54"/>
        <v>0</v>
      </c>
      <c r="I81" s="150">
        <f t="shared" si="54"/>
        <v>0</v>
      </c>
      <c r="J81" s="150">
        <f t="shared" si="54"/>
        <v>0</v>
      </c>
      <c r="K81" s="150">
        <f t="shared" si="54"/>
        <v>0</v>
      </c>
      <c r="L81" s="150">
        <f t="shared" si="54"/>
        <v>0</v>
      </c>
      <c r="M81" s="150">
        <f t="shared" si="54"/>
        <v>0</v>
      </c>
      <c r="N81" s="150">
        <f t="shared" si="54"/>
        <v>0</v>
      </c>
      <c r="O81" s="150">
        <f t="shared" si="54"/>
        <v>0</v>
      </c>
    </row>
    <row r="82" spans="1:15">
      <c r="A82" s="84" t="s">
        <v>142</v>
      </c>
      <c r="B82" s="322" t="s">
        <v>353</v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</row>
    <row r="83" spans="1:15">
      <c r="A83" s="84" t="s">
        <v>142</v>
      </c>
      <c r="B83" s="170" t="s">
        <v>357</v>
      </c>
      <c r="C83" s="323"/>
      <c r="D83" s="323">
        <v>0</v>
      </c>
      <c r="E83" s="323">
        <v>0</v>
      </c>
      <c r="F83" s="323">
        <v>0</v>
      </c>
      <c r="G83" s="323">
        <v>0</v>
      </c>
      <c r="H83" s="323">
        <v>0</v>
      </c>
      <c r="I83" s="323">
        <v>0</v>
      </c>
      <c r="J83" s="323">
        <v>0</v>
      </c>
      <c r="K83" s="323">
        <v>0</v>
      </c>
      <c r="L83" s="323">
        <v>0</v>
      </c>
      <c r="M83" s="323">
        <v>-545266.37</v>
      </c>
      <c r="N83" s="323">
        <v>-1210959.23</v>
      </c>
      <c r="O83" s="323">
        <f>'EDWA 3% test'!$O$19+'EDWA 3% test'!$O$51</f>
        <v>-1396884.3755832305</v>
      </c>
    </row>
    <row r="84" spans="1:15">
      <c r="A84" s="84" t="s">
        <v>142</v>
      </c>
      <c r="B84" s="170" t="s">
        <v>354</v>
      </c>
      <c r="C84" s="185"/>
      <c r="D84" s="185">
        <v>0</v>
      </c>
      <c r="E84" s="185">
        <f>D83</f>
        <v>0</v>
      </c>
      <c r="F84" s="185">
        <f t="shared" ref="F84:O84" si="55">E83</f>
        <v>0</v>
      </c>
      <c r="G84" s="185">
        <f t="shared" si="55"/>
        <v>0</v>
      </c>
      <c r="H84" s="185">
        <f t="shared" si="55"/>
        <v>0</v>
      </c>
      <c r="I84" s="185">
        <f t="shared" si="55"/>
        <v>0</v>
      </c>
      <c r="J84" s="185">
        <f t="shared" si="55"/>
        <v>0</v>
      </c>
      <c r="K84" s="185">
        <f t="shared" si="55"/>
        <v>0</v>
      </c>
      <c r="L84" s="185">
        <f t="shared" si="55"/>
        <v>0</v>
      </c>
      <c r="M84" s="185">
        <f t="shared" si="55"/>
        <v>0</v>
      </c>
      <c r="N84" s="185">
        <f t="shared" si="55"/>
        <v>-545266.37</v>
      </c>
      <c r="O84" s="185">
        <f t="shared" si="55"/>
        <v>-1210959.23</v>
      </c>
    </row>
    <row r="85" spans="1:15">
      <c r="A85" s="84" t="s">
        <v>142</v>
      </c>
      <c r="B85" s="151" t="s">
        <v>356</v>
      </c>
      <c r="C85" s="150"/>
      <c r="D85" s="150">
        <f>D83-D84</f>
        <v>0</v>
      </c>
      <c r="E85" s="150">
        <f t="shared" ref="E85:O85" si="56">E83-E84</f>
        <v>0</v>
      </c>
      <c r="F85" s="150">
        <f t="shared" si="56"/>
        <v>0</v>
      </c>
      <c r="G85" s="150">
        <f t="shared" si="56"/>
        <v>0</v>
      </c>
      <c r="H85" s="150">
        <f t="shared" si="56"/>
        <v>0</v>
      </c>
      <c r="I85" s="150">
        <f t="shared" si="56"/>
        <v>0</v>
      </c>
      <c r="J85" s="150">
        <f t="shared" si="56"/>
        <v>0</v>
      </c>
      <c r="K85" s="150">
        <f t="shared" si="56"/>
        <v>0</v>
      </c>
      <c r="L85" s="150">
        <f t="shared" si="56"/>
        <v>0</v>
      </c>
      <c r="M85" s="150">
        <f t="shared" si="56"/>
        <v>-545266.37</v>
      </c>
      <c r="N85" s="150">
        <f t="shared" si="56"/>
        <v>-665692.86</v>
      </c>
      <c r="O85" s="150">
        <f t="shared" si="56"/>
        <v>-185925.14558323054</v>
      </c>
    </row>
  </sheetData>
  <mergeCells count="3">
    <mergeCell ref="A1:P1"/>
    <mergeCell ref="A2:P2"/>
    <mergeCell ref="A3:P3"/>
  </mergeCells>
  <printOptions horizontalCentered="1"/>
  <pageMargins left="0.17" right="0.16" top="0.42" bottom="0.46" header="0.3" footer="0.3"/>
  <pageSetup scale="90" orientation="portrait" r:id="rId1"/>
  <headerFooter>
    <oddFooter>&amp;L&amp;F / &amp;A</oddFooter>
  </headerFooter>
  <rowBreaks count="1" manualBreakCount="1">
    <brk id="54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SignificantOrder xmlns="dc463f71-b30c-4ab2-9473-d307f9d35888">false</SignificantOrder>
    <Date1 xmlns="dc463f71-b30c-4ab2-9473-d307f9d35888">2021-08-10T07:00:00+00:00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152253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231E04-F425-49A2-9E04-6AB735EB2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2DF4D3-CF26-4DDF-8766-8BFF6BDDDB4C}"/>
</file>

<file path=customXml/itemProps3.xml><?xml version="1.0" encoding="utf-8"?>
<ds:datastoreItem xmlns:ds="http://schemas.openxmlformats.org/officeDocument/2006/customXml" ds:itemID="{BBC33FEB-1D9F-4F8E-B176-B37948C3EFCA}"/>
</file>

<file path=customXml/itemProps4.xml><?xml version="1.0" encoding="utf-8"?>
<ds:datastoreItem xmlns:ds="http://schemas.openxmlformats.org/officeDocument/2006/customXml" ds:itemID="{1C155AC4-DE3E-478D-93E0-15F570B1117D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UE-150204 Decoupling Base</vt:lpstr>
      <vt:lpstr>TY Normalized Usage by Month</vt:lpstr>
      <vt:lpstr>Attachment 4, Page 1</vt:lpstr>
      <vt:lpstr>Attachment 4, Page 2</vt:lpstr>
      <vt:lpstr>Attachment 4, Page 3</vt:lpstr>
      <vt:lpstr>Attachment 4, Page 4</vt:lpstr>
      <vt:lpstr>EDWA 3% test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2019-01-03T22:26:29Z</cp:lastPrinted>
  <dcterms:created xsi:type="dcterms:W3CDTF">2013-02-28T17:31:50Z</dcterms:created>
  <dcterms:modified xsi:type="dcterms:W3CDTF">2021-02-12T23:56:12Z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