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EGULATN\PA&amp;D\Decoupling Mechanism\Washington\3 Year Decoupling Evaluation\Earnings Test\Other IOUs\Decoupling Mechanisms\"/>
    </mc:Choice>
  </mc:AlternateContent>
  <xr:revisionPtr revIDLastSave="0" documentId="8_{D46E3E8F-7160-4C77-99B2-42D8E7A6AD1F}" xr6:coauthVersionLast="45" xr6:coauthVersionMax="45" xr10:uidLastSave="{00000000-0000-0000-0000-000000000000}"/>
  <bookViews>
    <workbookView xWindow="-108" yWindow="-108" windowWidth="19416" windowHeight="10416" firstSheet="6" activeTab="2" xr2:uid="{00000000-000D-0000-FFFF-FFFF00000000}"/>
  </bookViews>
  <sheets>
    <sheet name="UE-150204 Decoupling Base" sheetId="38" r:id="rId1"/>
    <sheet name="TY Normalized Usage by Month" sheetId="20" r:id="rId2"/>
    <sheet name="Attachment 4, Page 1" sheetId="15" r:id="rId3"/>
    <sheet name="Attachment 4, Page 2" sheetId="16" r:id="rId4"/>
    <sheet name="Attachment 4, Page 3" sheetId="18" r:id="rId5"/>
    <sheet name="Acerno_Cache_XXXXX" sheetId="36" state="veryHidden" r:id="rId6"/>
    <sheet name="Attachment 4, Page 4" sheetId="23" r:id="rId7"/>
    <sheet name="EDWA 3% test" sheetId="41" r:id="rId8"/>
    <sheet name="Deferral Calc" sheetId="24" r:id="rId9"/>
    <sheet name="December Base Rate Revenue" sheetId="37" r:id="rId10"/>
    <sheet name="November Base Rate Revenue" sheetId="35" r:id="rId11"/>
    <sheet name="October Base Rate Revenue" sheetId="34" r:id="rId12"/>
    <sheet name="September Base Rate Revenue" sheetId="33" r:id="rId13"/>
    <sheet name="August Base Rate Revenue" sheetId="32" r:id="rId14"/>
    <sheet name="July Base Rate Revenue" sheetId="31" r:id="rId15"/>
    <sheet name="June Base Rate Revenue" sheetId="30" r:id="rId16"/>
    <sheet name="May Base Rate Revenue" sheetId="29" r:id="rId17"/>
    <sheet name="Apr Base Rate Revenue" sheetId="28" r:id="rId18"/>
    <sheet name="Mar Base Rate Revenue" sheetId="27" r:id="rId19"/>
    <sheet name="Feb Base Rate Revenue" sheetId="26" r:id="rId20"/>
    <sheet name="Jan Base Rate Revenue" sheetId="25" r:id="rId21"/>
  </sheets>
  <externalReferences>
    <externalReference r:id="rId22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localSheetId="8" hidden="1">#REF!</definedName>
    <definedName name="__123Graph_D" localSheetId="19" hidden="1">#REF!</definedName>
    <definedName name="__123Graph_D" hidden="1">#REF!</definedName>
    <definedName name="__123Graph_ECURRENT" localSheetId="8" hidden="1">[1]ConsolidatingPL!#REF!</definedName>
    <definedName name="__123Graph_ECURRENT" localSheetId="19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Key1" localSheetId="8" hidden="1">#REF!</definedName>
    <definedName name="_Key1" localSheetId="19" hidden="1">#REF!</definedName>
    <definedName name="_Key1" hidden="1">#REF!</definedName>
    <definedName name="_Key2" localSheetId="8" hidden="1">#REF!</definedName>
    <definedName name="_Key2" localSheetId="19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localSheetId="8" hidden="1">#REF!</definedName>
    <definedName name="_Sort" localSheetId="19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Ex0017DGUEDPCFJUPUZOOLJCS2B" localSheetId="8" hidden="1">#REF!</definedName>
    <definedName name="BEx0017DGUEDPCFJUPUZOOLJCS2B" localSheetId="19" hidden="1">#REF!</definedName>
    <definedName name="BEx0017DGUEDPCFJUPUZOOLJCS2B" hidden="1">#REF!</definedName>
    <definedName name="BEx001CNWHJ5RULCSFM36ZCGJ1UH" localSheetId="8" hidden="1">#REF!</definedName>
    <definedName name="BEx001CNWHJ5RULCSFM36ZCGJ1UH" localSheetId="19" hidden="1">#REF!</definedName>
    <definedName name="BEx001CNWHJ5RULCSFM36ZCGJ1UH" hidden="1">#REF!</definedName>
    <definedName name="BEx004791UAJIJSN57OT7YBLNP82" localSheetId="8" hidden="1">#REF!</definedName>
    <definedName name="BEx004791UAJIJSN57OT7YBLNP82" localSheetId="19" hidden="1">#REF!</definedName>
    <definedName name="BEx004791UAJIJSN57OT7YBLNP82" hidden="1">#REF!</definedName>
    <definedName name="BEx008P2NVFDLBHL7IZ5WTMVOQ1F" localSheetId="8" hidden="1">#REF!</definedName>
    <definedName name="BEx008P2NVFDLBHL7IZ5WTMVOQ1F" localSheetId="19" hidden="1">#REF!</definedName>
    <definedName name="BEx008P2NVFDLBHL7IZ5WTMVOQ1F" hidden="1">#REF!</definedName>
    <definedName name="BEx009G00IN0JUIAQ4WE9NHTMQE2" localSheetId="8" hidden="1">#REF!</definedName>
    <definedName name="BEx009G00IN0JUIAQ4WE9NHTMQE2" localSheetId="19" hidden="1">#REF!</definedName>
    <definedName name="BEx009G00IN0JUIAQ4WE9NHTMQE2" hidden="1">#REF!</definedName>
    <definedName name="BEx00DXTY2JDVGWQKV8H7FG4SV30" localSheetId="8" hidden="1">#REF!</definedName>
    <definedName name="BEx00DXTY2JDVGWQKV8H7FG4SV30" localSheetId="19" hidden="1">#REF!</definedName>
    <definedName name="BEx00DXTY2JDVGWQKV8H7FG4SV30" hidden="1">#REF!</definedName>
    <definedName name="BEx00GHLTYRH5N2S6P78YW1CD30N" localSheetId="8" hidden="1">#REF!</definedName>
    <definedName name="BEx00GHLTYRH5N2S6P78YW1CD30N" localSheetId="19" hidden="1">#REF!</definedName>
    <definedName name="BEx00GHLTYRH5N2S6P78YW1CD30N" hidden="1">#REF!</definedName>
    <definedName name="BEx00JC31DY11L45SEU4B10BIN6W" localSheetId="8" hidden="1">#REF!</definedName>
    <definedName name="BEx00JC31DY11L45SEU4B10BIN6W" localSheetId="19" hidden="1">#REF!</definedName>
    <definedName name="BEx00JC31DY11L45SEU4B10BIN6W" hidden="1">#REF!</definedName>
    <definedName name="BEx00KZHZBHP3TDV1YMX4B19B95O" localSheetId="8" hidden="1">#REF!</definedName>
    <definedName name="BEx00KZHZBHP3TDV1YMX4B19B95O" localSheetId="19" hidden="1">#REF!</definedName>
    <definedName name="BEx00KZHZBHP3TDV1YMX4B19B95O" hidden="1">#REF!</definedName>
    <definedName name="BEx00P11V7HA4MS6XYY3P4BPVXML" localSheetId="8" hidden="1">#REF!</definedName>
    <definedName name="BEx00P11V7HA4MS6XYY3P4BPVXML" localSheetId="19" hidden="1">#REF!</definedName>
    <definedName name="BEx00P11V7HA4MS6XYY3P4BPVXML" hidden="1">#REF!</definedName>
    <definedName name="BEx00PBV7V99V7M3LDYUTF31MUFJ" localSheetId="8" hidden="1">#REF!</definedName>
    <definedName name="BEx00PBV7V99V7M3LDYUTF31MUFJ" localSheetId="19" hidden="1">#REF!</definedName>
    <definedName name="BEx00PBV7V99V7M3LDYUTF31MUFJ" hidden="1">#REF!</definedName>
    <definedName name="BEx00SMIQJ55EVB7T24CORX0JWQO" localSheetId="8" hidden="1">#REF!</definedName>
    <definedName name="BEx00SMIQJ55EVB7T24CORX0JWQO" localSheetId="19" hidden="1">#REF!</definedName>
    <definedName name="BEx00SMIQJ55EVB7T24CORX0JWQO" hidden="1">#REF!</definedName>
    <definedName name="BEx010V7DB7O7Z9NHSX27HZK4H76" localSheetId="8" hidden="1">#REF!</definedName>
    <definedName name="BEx010V7DB7O7Z9NHSX27HZK4H76" localSheetId="19" hidden="1">#REF!</definedName>
    <definedName name="BEx010V7DB7O7Z9NHSX27HZK4H76" hidden="1">#REF!</definedName>
    <definedName name="BEx012IKS6YVHG9KTG2FAKRSMYLU" localSheetId="8" hidden="1">#REF!</definedName>
    <definedName name="BEx012IKS6YVHG9KTG2FAKRSMYLU" localSheetId="19" hidden="1">#REF!</definedName>
    <definedName name="BEx012IKS6YVHG9KTG2FAKRSMYLU" hidden="1">#REF!</definedName>
    <definedName name="BEx01HY6E3GJ66ABU5ABN26V6Q13" localSheetId="8" hidden="1">#REF!</definedName>
    <definedName name="BEx01HY6E3GJ66ABU5ABN26V6Q13" localSheetId="19" hidden="1">#REF!</definedName>
    <definedName name="BEx01HY6E3GJ66ABU5ABN26V6Q13" hidden="1">#REF!</definedName>
    <definedName name="BEx01PW5YQKEGAR8JDDI5OARYXDF" localSheetId="8" hidden="1">#REF!</definedName>
    <definedName name="BEx01PW5YQKEGAR8JDDI5OARYXDF" localSheetId="19" hidden="1">#REF!</definedName>
    <definedName name="BEx01PW5YQKEGAR8JDDI5OARYXDF" hidden="1">#REF!</definedName>
    <definedName name="BEx01QCB2ERCAYYOFDP3OQRWUU60" localSheetId="8" hidden="1">#REF!</definedName>
    <definedName name="BEx01QCB2ERCAYYOFDP3OQRWUU60" localSheetId="19" hidden="1">#REF!</definedName>
    <definedName name="BEx01QCB2ERCAYYOFDP3OQRWUU60" hidden="1">#REF!</definedName>
    <definedName name="BEx01U37NQSMTGJRU8EGTJORBJ6H" localSheetId="8" hidden="1">#REF!</definedName>
    <definedName name="BEx01U37NQSMTGJRU8EGTJORBJ6H" localSheetId="19" hidden="1">#REF!</definedName>
    <definedName name="BEx01U37NQSMTGJRU8EGTJORBJ6H" hidden="1">#REF!</definedName>
    <definedName name="BEx01XJ94SHJ1YQ7ORPW0RQGKI2H" localSheetId="8" hidden="1">#REF!</definedName>
    <definedName name="BEx01XJ94SHJ1YQ7ORPW0RQGKI2H" localSheetId="19" hidden="1">#REF!</definedName>
    <definedName name="BEx01XJ94SHJ1YQ7ORPW0RQGKI2H" hidden="1">#REF!</definedName>
    <definedName name="BEx028BOZCS2MQO9MODVS6F7NCA3" localSheetId="8" hidden="1">#REF!</definedName>
    <definedName name="BEx028BOZCS2MQO9MODVS6F7NCA3" localSheetId="19" hidden="1">#REF!</definedName>
    <definedName name="BEx028BOZCS2MQO9MODVS6F7NCA3" hidden="1">#REF!</definedName>
    <definedName name="BEx02DPUYNH76938V8GVORY8LRY1" localSheetId="8" hidden="1">#REF!</definedName>
    <definedName name="BEx02DPUYNH76938V8GVORY8LRY1" localSheetId="19" hidden="1">#REF!</definedName>
    <definedName name="BEx02DPUYNH76938V8GVORY8LRY1" hidden="1">#REF!</definedName>
    <definedName name="BEx02PEP6DY4K1JGB0HHS3B6QOGZ" localSheetId="8" hidden="1">#REF!</definedName>
    <definedName name="BEx02PEP6DY4K1JGB0HHS3B6QOGZ" localSheetId="19" hidden="1">#REF!</definedName>
    <definedName name="BEx02PEP6DY4K1JGB0HHS3B6QOGZ" hidden="1">#REF!</definedName>
    <definedName name="BEx02Q08R9G839Q4RFGG9026C7PX" localSheetId="8" hidden="1">#REF!</definedName>
    <definedName name="BEx02Q08R9G839Q4RFGG9026C7PX" localSheetId="19" hidden="1">#REF!</definedName>
    <definedName name="BEx02Q08R9G839Q4RFGG9026C7PX" hidden="1">#REF!</definedName>
    <definedName name="BEx02SEL3Z1QWGAHXDPUA9WLTTPS" localSheetId="8" hidden="1">#REF!</definedName>
    <definedName name="BEx02SEL3Z1QWGAHXDPUA9WLTTPS" localSheetId="19" hidden="1">#REF!</definedName>
    <definedName name="BEx02SEL3Z1QWGAHXDPUA9WLTTPS" hidden="1">#REF!</definedName>
    <definedName name="BEx02Y3KJZH5BGDM9QEZ1PVVI114" localSheetId="8" hidden="1">#REF!</definedName>
    <definedName name="BEx02Y3KJZH5BGDM9QEZ1PVVI114" localSheetId="19" hidden="1">#REF!</definedName>
    <definedName name="BEx02Y3KJZH5BGDM9QEZ1PVVI114" hidden="1">#REF!</definedName>
    <definedName name="BEx0313GRLLASDTVPW5DHTXHE74M" localSheetId="8" hidden="1">#REF!</definedName>
    <definedName name="BEx0313GRLLASDTVPW5DHTXHE74M" localSheetId="19" hidden="1">#REF!</definedName>
    <definedName name="BEx0313GRLLASDTVPW5DHTXHE74M" hidden="1">#REF!</definedName>
    <definedName name="BEx1F0SOZ3H5XUHXD7O01TCR8T6J" localSheetId="8" hidden="1">#REF!</definedName>
    <definedName name="BEx1F0SOZ3H5XUHXD7O01TCR8T6J" localSheetId="19" hidden="1">#REF!</definedName>
    <definedName name="BEx1F0SOZ3H5XUHXD7O01TCR8T6J" hidden="1">#REF!</definedName>
    <definedName name="BEx1F9HL824UCNCVZ2U62J4KZCX8" localSheetId="8" hidden="1">#REF!</definedName>
    <definedName name="BEx1F9HL824UCNCVZ2U62J4KZCX8" localSheetId="19" hidden="1">#REF!</definedName>
    <definedName name="BEx1F9HL824UCNCVZ2U62J4KZCX8" hidden="1">#REF!</definedName>
    <definedName name="BEx1FEVSJKTI1Q1Z874QZVFSJSVA" localSheetId="8" hidden="1">#REF!</definedName>
    <definedName name="BEx1FEVSJKTI1Q1Z874QZVFSJSVA" localSheetId="19" hidden="1">#REF!</definedName>
    <definedName name="BEx1FEVSJKTI1Q1Z874QZVFSJSVA" hidden="1">#REF!</definedName>
    <definedName name="BEx1FGDRUHHLI1GBHELT4PK0LY4V" localSheetId="8" hidden="1">#REF!</definedName>
    <definedName name="BEx1FGDRUHHLI1GBHELT4PK0LY4V" localSheetId="19" hidden="1">#REF!</definedName>
    <definedName name="BEx1FGDRUHHLI1GBHELT4PK0LY4V" hidden="1">#REF!</definedName>
    <definedName name="BEx1FJZ7GKO99IYTP6GGGF7EUL3Z" localSheetId="8" hidden="1">#REF!</definedName>
    <definedName name="BEx1FJZ7GKO99IYTP6GGGF7EUL3Z" localSheetId="19" hidden="1">#REF!</definedName>
    <definedName name="BEx1FJZ7GKO99IYTP6GGGF7EUL3Z" hidden="1">#REF!</definedName>
    <definedName name="BEx1FPDH0YKYQXDHUTFIQLIF34J8" localSheetId="8" hidden="1">#REF!</definedName>
    <definedName name="BEx1FPDH0YKYQXDHUTFIQLIF34J8" localSheetId="19" hidden="1">#REF!</definedName>
    <definedName name="BEx1FPDH0YKYQXDHUTFIQLIF34J8" hidden="1">#REF!</definedName>
    <definedName name="BEx1FQ9SZAGL2HEKRB046EOQDWOX" localSheetId="8" hidden="1">#REF!</definedName>
    <definedName name="BEx1FQ9SZAGL2HEKRB046EOQDWOX" localSheetId="19" hidden="1">#REF!</definedName>
    <definedName name="BEx1FQ9SZAGL2HEKRB046EOQDWOX" hidden="1">#REF!</definedName>
    <definedName name="BEx1FZV2CM77TBH1R6YYV9P06KA2" localSheetId="8" hidden="1">#REF!</definedName>
    <definedName name="BEx1FZV2CM77TBH1R6YYV9P06KA2" localSheetId="19" hidden="1">#REF!</definedName>
    <definedName name="BEx1FZV2CM77TBH1R6YYV9P06KA2" hidden="1">#REF!</definedName>
    <definedName name="BEx1G59AY8195JTUM6P18VXUFJ3E" localSheetId="8" hidden="1">#REF!</definedName>
    <definedName name="BEx1G59AY8195JTUM6P18VXUFJ3E" localSheetId="19" hidden="1">#REF!</definedName>
    <definedName name="BEx1G59AY8195JTUM6P18VXUFJ3E" hidden="1">#REF!</definedName>
    <definedName name="BEx1GKUDMCV60BOZT0SENCT0MD8L" localSheetId="8" hidden="1">#REF!</definedName>
    <definedName name="BEx1GKUDMCV60BOZT0SENCT0MD8L" localSheetId="19" hidden="1">#REF!</definedName>
    <definedName name="BEx1GKUDMCV60BOZT0SENCT0MD8L" hidden="1">#REF!</definedName>
    <definedName name="BEx1GUVQ5L0JCX3E4SROI4WBYVTO" localSheetId="8" hidden="1">#REF!</definedName>
    <definedName name="BEx1GUVQ5L0JCX3E4SROI4WBYVTO" localSheetId="19" hidden="1">#REF!</definedName>
    <definedName name="BEx1GUVQ5L0JCX3E4SROI4WBYVTO" hidden="1">#REF!</definedName>
    <definedName name="BEx1GVMRHFXUP6XYYY9NR12PV5TF" localSheetId="8" hidden="1">#REF!</definedName>
    <definedName name="BEx1GVMRHFXUP6XYYY9NR12PV5TF" localSheetId="19" hidden="1">#REF!</definedName>
    <definedName name="BEx1GVMRHFXUP6XYYY9NR12PV5TF" hidden="1">#REF!</definedName>
    <definedName name="BEx1H6KIT7BHUH6MDDWC935V9N47" localSheetId="8" hidden="1">#REF!</definedName>
    <definedName name="BEx1H6KIT7BHUH6MDDWC935V9N47" localSheetId="19" hidden="1">#REF!</definedName>
    <definedName name="BEx1H6KIT7BHUH6MDDWC935V9N47" hidden="1">#REF!</definedName>
    <definedName name="BEx1HA60AI3STEJQZAQ0RA3Q3AZV" localSheetId="8" hidden="1">#REF!</definedName>
    <definedName name="BEx1HA60AI3STEJQZAQ0RA3Q3AZV" localSheetId="19" hidden="1">#REF!</definedName>
    <definedName name="BEx1HA60AI3STEJQZAQ0RA3Q3AZV" hidden="1">#REF!</definedName>
    <definedName name="BEx1HB2DBVO5N6V2WX7BEHUFYTFU" localSheetId="8" hidden="1">#REF!</definedName>
    <definedName name="BEx1HB2DBVO5N6V2WX7BEHUFYTFU" localSheetId="19" hidden="1">#REF!</definedName>
    <definedName name="BEx1HB2DBVO5N6V2WX7BEHUFYTFU" hidden="1">#REF!</definedName>
    <definedName name="BEx1HDGOOJ3SKHYMWUZJ1P0RQZ9N" localSheetId="8" hidden="1">#REF!</definedName>
    <definedName name="BEx1HDGOOJ3SKHYMWUZJ1P0RQZ9N" localSheetId="19" hidden="1">#REF!</definedName>
    <definedName name="BEx1HDGOOJ3SKHYMWUZJ1P0RQZ9N" hidden="1">#REF!</definedName>
    <definedName name="BEx1HDM5ZXSJG6JQEMSFV52PZ10V" localSheetId="8" hidden="1">#REF!</definedName>
    <definedName name="BEx1HDM5ZXSJG6JQEMSFV52PZ10V" localSheetId="19" hidden="1">#REF!</definedName>
    <definedName name="BEx1HDM5ZXSJG6JQEMSFV52PZ10V" hidden="1">#REF!</definedName>
    <definedName name="BEx1HETBBZVN5F43LKOFMC4QB0CR" localSheetId="8" hidden="1">#REF!</definedName>
    <definedName name="BEx1HETBBZVN5F43LKOFMC4QB0CR" localSheetId="19" hidden="1">#REF!</definedName>
    <definedName name="BEx1HETBBZVN5F43LKOFMC4QB0CR" hidden="1">#REF!</definedName>
    <definedName name="BEx1HGWNWPLNXICOTP90TKQVVE4E" localSheetId="8" hidden="1">#REF!</definedName>
    <definedName name="BEx1HGWNWPLNXICOTP90TKQVVE4E" localSheetId="19" hidden="1">#REF!</definedName>
    <definedName name="BEx1HGWNWPLNXICOTP90TKQVVE4E" hidden="1">#REF!</definedName>
    <definedName name="BEx1HIPLJZABY0EMUOTZN0EQMDPU" localSheetId="8" hidden="1">#REF!</definedName>
    <definedName name="BEx1HIPLJZABY0EMUOTZN0EQMDPU" localSheetId="19" hidden="1">#REF!</definedName>
    <definedName name="BEx1HIPLJZABY0EMUOTZN0EQMDPU" hidden="1">#REF!</definedName>
    <definedName name="BEx1HO94JIRX219MPWMB5E5XZ04X" localSheetId="8" hidden="1">#REF!</definedName>
    <definedName name="BEx1HO94JIRX219MPWMB5E5XZ04X" localSheetId="19" hidden="1">#REF!</definedName>
    <definedName name="BEx1HO94JIRX219MPWMB5E5XZ04X" hidden="1">#REF!</definedName>
    <definedName name="BEx1HQNF6KHM21E3XLW0NMSSEI9S" localSheetId="8" hidden="1">#REF!</definedName>
    <definedName name="BEx1HQNF6KHM21E3XLW0NMSSEI9S" localSheetId="19" hidden="1">#REF!</definedName>
    <definedName name="BEx1HQNF6KHM21E3XLW0NMSSEI9S" hidden="1">#REF!</definedName>
    <definedName name="BEx1HSLNWIW4S97ZBYY7I7M5YVH4" localSheetId="8" hidden="1">#REF!</definedName>
    <definedName name="BEx1HSLNWIW4S97ZBYY7I7M5YVH4" localSheetId="19" hidden="1">#REF!</definedName>
    <definedName name="BEx1HSLNWIW4S97ZBYY7I7M5YVH4" hidden="1">#REF!</definedName>
    <definedName name="BEx1HZCBBWLB2BTNOXP319ZDEVOJ" localSheetId="8" hidden="1">#REF!</definedName>
    <definedName name="BEx1HZCBBWLB2BTNOXP319ZDEVOJ" localSheetId="19" hidden="1">#REF!</definedName>
    <definedName name="BEx1HZCBBWLB2BTNOXP319ZDEVOJ" hidden="1">#REF!</definedName>
    <definedName name="BEx1I4QKTILCKZUSOJCVZN7SNHL5" localSheetId="8" hidden="1">#REF!</definedName>
    <definedName name="BEx1I4QKTILCKZUSOJCVZN7SNHL5" localSheetId="19" hidden="1">#REF!</definedName>
    <definedName name="BEx1I4QKTILCKZUSOJCVZN7SNHL5" hidden="1">#REF!</definedName>
    <definedName name="BEx1IE0ZP7RIFM9FI24S9I6AAJ14" localSheetId="8" hidden="1">#REF!</definedName>
    <definedName name="BEx1IE0ZP7RIFM9FI24S9I6AAJ14" localSheetId="19" hidden="1">#REF!</definedName>
    <definedName name="BEx1IE0ZP7RIFM9FI24S9I6AAJ14" hidden="1">#REF!</definedName>
    <definedName name="BEx1IGQ5B697MNDOE06MVSR0H58E" localSheetId="8" hidden="1">#REF!</definedName>
    <definedName name="BEx1IGQ5B697MNDOE06MVSR0H58E" localSheetId="19" hidden="1">#REF!</definedName>
    <definedName name="BEx1IGQ5B697MNDOE06MVSR0H58E" hidden="1">#REF!</definedName>
    <definedName name="BEx1IKRPW8MLB9Y485M1TL2IT9SH" localSheetId="8" hidden="1">#REF!</definedName>
    <definedName name="BEx1IKRPW8MLB9Y485M1TL2IT9SH" localSheetId="19" hidden="1">#REF!</definedName>
    <definedName name="BEx1IKRPW8MLB9Y485M1TL2IT9SH" hidden="1">#REF!</definedName>
    <definedName name="BEx1IPKCFCT3TL9MSO1LSYJ2VJ2X" localSheetId="8" hidden="1">#REF!</definedName>
    <definedName name="BEx1IPKCFCT3TL9MSO1LSYJ2VJ2X" localSheetId="19" hidden="1">#REF!</definedName>
    <definedName name="BEx1IPKCFCT3TL9MSO1LSYJ2VJ2X" hidden="1">#REF!</definedName>
    <definedName name="BEx1IW5PQTTMD62XZ287XF2O3FBQ" localSheetId="8" hidden="1">#REF!</definedName>
    <definedName name="BEx1IW5PQTTMD62XZ287XF2O3FBQ" localSheetId="19" hidden="1">#REF!</definedName>
    <definedName name="BEx1IW5PQTTMD62XZ287XF2O3FBQ" hidden="1">#REF!</definedName>
    <definedName name="BEx1J0CSSHDJGBJUHVOEMCF2P4DL" localSheetId="8" hidden="1">#REF!</definedName>
    <definedName name="BEx1J0CSSHDJGBJUHVOEMCF2P4DL" localSheetId="19" hidden="1">#REF!</definedName>
    <definedName name="BEx1J0CSSHDJGBJUHVOEMCF2P4DL" hidden="1">#REF!</definedName>
    <definedName name="BEx1J0NL6D3ILC18B48AL0VNEN9A" localSheetId="8" hidden="1">#REF!</definedName>
    <definedName name="BEx1J0NL6D3ILC18B48AL0VNEN9A" localSheetId="19" hidden="1">#REF!</definedName>
    <definedName name="BEx1J0NL6D3ILC18B48AL0VNEN9A" hidden="1">#REF!</definedName>
    <definedName name="BEx1J7E8VCGLPYU82QXVUG5N3ZAI" localSheetId="8" hidden="1">#REF!</definedName>
    <definedName name="BEx1J7E8VCGLPYU82QXVUG5N3ZAI" localSheetId="19" hidden="1">#REF!</definedName>
    <definedName name="BEx1J7E8VCGLPYU82QXVUG5N3ZAI" hidden="1">#REF!</definedName>
    <definedName name="BEx1JGE2YQWH8S25USOY08XVGO0D" localSheetId="8" hidden="1">#REF!</definedName>
    <definedName name="BEx1JGE2YQWH8S25USOY08XVGO0D" localSheetId="19" hidden="1">#REF!</definedName>
    <definedName name="BEx1JGE2YQWH8S25USOY08XVGO0D" hidden="1">#REF!</definedName>
    <definedName name="BEx1JJJC9T1W7HY4V7HP1S1W4JO1" localSheetId="8" hidden="1">#REF!</definedName>
    <definedName name="BEx1JJJC9T1W7HY4V7HP1S1W4JO1" localSheetId="19" hidden="1">#REF!</definedName>
    <definedName name="BEx1JJJC9T1W7HY4V7HP1S1W4JO1" hidden="1">#REF!</definedName>
    <definedName name="BEx1JKKZSJ7DI4PTFVI9VVFMB1X2" localSheetId="8" hidden="1">#REF!</definedName>
    <definedName name="BEx1JKKZSJ7DI4PTFVI9VVFMB1X2" localSheetId="19" hidden="1">#REF!</definedName>
    <definedName name="BEx1JKKZSJ7DI4PTFVI9VVFMB1X2" hidden="1">#REF!</definedName>
    <definedName name="BEx1JUBQFRVMASSFK4B3V0AD7YP9" localSheetId="8" hidden="1">#REF!</definedName>
    <definedName name="BEx1JUBQFRVMASSFK4B3V0AD7YP9" localSheetId="19" hidden="1">#REF!</definedName>
    <definedName name="BEx1JUBQFRVMASSFK4B3V0AD7YP9" hidden="1">#REF!</definedName>
    <definedName name="BEx1JVTOATZGRJFXGXPJJLC4DOBE" localSheetId="8" hidden="1">#REF!</definedName>
    <definedName name="BEx1JVTOATZGRJFXGXPJJLC4DOBE" localSheetId="19" hidden="1">#REF!</definedName>
    <definedName name="BEx1JVTOATZGRJFXGXPJJLC4DOBE" hidden="1">#REF!</definedName>
    <definedName name="BEx1JXBM5W4YRWNQ0P95QQS6JWD6" localSheetId="8" hidden="1">#REF!</definedName>
    <definedName name="BEx1JXBM5W4YRWNQ0P95QQS6JWD6" localSheetId="19" hidden="1">#REF!</definedName>
    <definedName name="BEx1JXBM5W4YRWNQ0P95QQS6JWD6" hidden="1">#REF!</definedName>
    <definedName name="BEx1KGY9QEHZ9QSARMQUTQKRK4UX" localSheetId="8" hidden="1">#REF!</definedName>
    <definedName name="BEx1KGY9QEHZ9QSARMQUTQKRK4UX" localSheetId="19" hidden="1">#REF!</definedName>
    <definedName name="BEx1KGY9QEHZ9QSARMQUTQKRK4UX" hidden="1">#REF!</definedName>
    <definedName name="BEx1KIWH5MOLR00SBECT39NS3AJ1" localSheetId="8" hidden="1">#REF!</definedName>
    <definedName name="BEx1KIWH5MOLR00SBECT39NS3AJ1" localSheetId="19" hidden="1">#REF!</definedName>
    <definedName name="BEx1KIWH5MOLR00SBECT39NS3AJ1" hidden="1">#REF!</definedName>
    <definedName name="BEx1KKP1ELIF2UII2FWVGL7M1X7J" localSheetId="8" hidden="1">#REF!</definedName>
    <definedName name="BEx1KKP1ELIF2UII2FWVGL7M1X7J" localSheetId="19" hidden="1">#REF!</definedName>
    <definedName name="BEx1KKP1ELIF2UII2FWVGL7M1X7J" hidden="1">#REF!</definedName>
    <definedName name="BEx1KQJKIAPZKE9YDYH5HKXX52FM" localSheetId="8" hidden="1">#REF!</definedName>
    <definedName name="BEx1KQJKIAPZKE9YDYH5HKXX52FM" localSheetId="19" hidden="1">#REF!</definedName>
    <definedName name="BEx1KQJKIAPZKE9YDYH5HKXX52FM" hidden="1">#REF!</definedName>
    <definedName name="BEx1KUVWMB0QCWA3RBE4CADFVRIS" localSheetId="8" hidden="1">#REF!</definedName>
    <definedName name="BEx1KUVWMB0QCWA3RBE4CADFVRIS" localSheetId="19" hidden="1">#REF!</definedName>
    <definedName name="BEx1KUVWMB0QCWA3RBE4CADFVRIS" hidden="1">#REF!</definedName>
    <definedName name="BEx1L0AAH7PV8PPQQDBP5AI4TLYP" localSheetId="8" hidden="1">#REF!</definedName>
    <definedName name="BEx1L0AAH7PV8PPQQDBP5AI4TLYP" localSheetId="19" hidden="1">#REF!</definedName>
    <definedName name="BEx1L0AAH7PV8PPQQDBP5AI4TLYP" hidden="1">#REF!</definedName>
    <definedName name="BEx1L2OG1SDFK2TPXELJ77YP4NI2" localSheetId="8" hidden="1">#REF!</definedName>
    <definedName name="BEx1L2OG1SDFK2TPXELJ77YP4NI2" localSheetId="19" hidden="1">#REF!</definedName>
    <definedName name="BEx1L2OG1SDFK2TPXELJ77YP4NI2" hidden="1">#REF!</definedName>
    <definedName name="BEx1L6Q60MWRDJB4L20LK0XPA0Z2" localSheetId="8" hidden="1">#REF!</definedName>
    <definedName name="BEx1L6Q60MWRDJB4L20LK0XPA0Z2" localSheetId="19" hidden="1">#REF!</definedName>
    <definedName name="BEx1L6Q60MWRDJB4L20LK0XPA0Z2" hidden="1">#REF!</definedName>
    <definedName name="BEx1L7BSEFOLQDNZWMLUNBRO08T4" localSheetId="8" hidden="1">#REF!</definedName>
    <definedName name="BEx1L7BSEFOLQDNZWMLUNBRO08T4" localSheetId="19" hidden="1">#REF!</definedName>
    <definedName name="BEx1L7BSEFOLQDNZWMLUNBRO08T4" hidden="1">#REF!</definedName>
    <definedName name="BEx1LD63FP2Z4BR9TKSHOZW9KKZ5" localSheetId="8" hidden="1">#REF!</definedName>
    <definedName name="BEx1LD63FP2Z4BR9TKSHOZW9KKZ5" localSheetId="19" hidden="1">#REF!</definedName>
    <definedName name="BEx1LD63FP2Z4BR9TKSHOZW9KKZ5" hidden="1">#REF!</definedName>
    <definedName name="BEx1LDMB9RW982DUILM2WPT5VWQ3" localSheetId="8" hidden="1">#REF!</definedName>
    <definedName name="BEx1LDMB9RW982DUILM2WPT5VWQ3" localSheetId="19" hidden="1">#REF!</definedName>
    <definedName name="BEx1LDMB9RW982DUILM2WPT5VWQ3" hidden="1">#REF!</definedName>
    <definedName name="BEx1LFF2UQ13XL4X1I2WBD73NZ21" localSheetId="8" hidden="1">#REF!</definedName>
    <definedName name="BEx1LFF2UQ13XL4X1I2WBD73NZ21" localSheetId="19" hidden="1">#REF!</definedName>
    <definedName name="BEx1LFF2UQ13XL4X1I2WBD73NZ21" hidden="1">#REF!</definedName>
    <definedName name="BEx1LKTB33LO23ACTADIVRY7ZNFC" localSheetId="8" hidden="1">#REF!</definedName>
    <definedName name="BEx1LKTB33LO23ACTADIVRY7ZNFC" localSheetId="19" hidden="1">#REF!</definedName>
    <definedName name="BEx1LKTB33LO23ACTADIVRY7ZNFC" hidden="1">#REF!</definedName>
    <definedName name="BEx1LQNKVZAXGSEPDAM8AWU2FHHJ" localSheetId="8" hidden="1">#REF!</definedName>
    <definedName name="BEx1LQNKVZAXGSEPDAM8AWU2FHHJ" localSheetId="19" hidden="1">#REF!</definedName>
    <definedName name="BEx1LQNKVZAXGSEPDAM8AWU2FHHJ" hidden="1">#REF!</definedName>
    <definedName name="BEx1LRPGDQCOEMW8YT80J1XCDCIV" localSheetId="8" hidden="1">#REF!</definedName>
    <definedName name="BEx1LRPGDQCOEMW8YT80J1XCDCIV" localSheetId="19" hidden="1">#REF!</definedName>
    <definedName name="BEx1LRPGDQCOEMW8YT80J1XCDCIV" hidden="1">#REF!</definedName>
    <definedName name="BEx1LRUSJW4JG54X07QWD9R27WV9" localSheetId="8" hidden="1">#REF!</definedName>
    <definedName name="BEx1LRUSJW4JG54X07QWD9R27WV9" localSheetId="19" hidden="1">#REF!</definedName>
    <definedName name="BEx1LRUSJW4JG54X07QWD9R27WV9" hidden="1">#REF!</definedName>
    <definedName name="BEx1M1WBK5T0LP1AK2JYV6W87ID6" localSheetId="8" hidden="1">#REF!</definedName>
    <definedName name="BEx1M1WBK5T0LP1AK2JYV6W87ID6" localSheetId="19" hidden="1">#REF!</definedName>
    <definedName name="BEx1M1WBK5T0LP1AK2JYV6W87ID6" hidden="1">#REF!</definedName>
    <definedName name="BEx1M51HHDYGIT8PON7U8ICL2S95" localSheetId="8" hidden="1">#REF!</definedName>
    <definedName name="BEx1M51HHDYGIT8PON7U8ICL2S95" localSheetId="19" hidden="1">#REF!</definedName>
    <definedName name="BEx1M51HHDYGIT8PON7U8ICL2S95" hidden="1">#REF!</definedName>
    <definedName name="BEx1MP4FWKV0QYXE13PX9JSNA270" localSheetId="8" hidden="1">#REF!</definedName>
    <definedName name="BEx1MP4FWKV0QYXE13PX9JSNA270" localSheetId="19" hidden="1">#REF!</definedName>
    <definedName name="BEx1MP4FWKV0QYXE13PX9JSNA270" hidden="1">#REF!</definedName>
    <definedName name="BEx1MSV791FSS4CZQKG04NHT3F79" localSheetId="8" hidden="1">#REF!</definedName>
    <definedName name="BEx1MSV791FSS4CZQKG04NHT3F79" localSheetId="19" hidden="1">#REF!</definedName>
    <definedName name="BEx1MSV791FSS4CZQKG04NHT3F79" hidden="1">#REF!</definedName>
    <definedName name="BEx1MTRKKVCHOZ0YGID6HZ49LJTO" localSheetId="8" hidden="1">#REF!</definedName>
    <definedName name="BEx1MTRKKVCHOZ0YGID6HZ49LJTO" localSheetId="19" hidden="1">#REF!</definedName>
    <definedName name="BEx1MTRKKVCHOZ0YGID6HZ49LJTO" hidden="1">#REF!</definedName>
    <definedName name="BEx1N3CUJ3UX61X38ZAJVPEN4KMC" localSheetId="8" hidden="1">#REF!</definedName>
    <definedName name="BEx1N3CUJ3UX61X38ZAJVPEN4KMC" localSheetId="19" hidden="1">#REF!</definedName>
    <definedName name="BEx1N3CUJ3UX61X38ZAJVPEN4KMC" hidden="1">#REF!</definedName>
    <definedName name="BEx1N5R5IJ3CG6CL344F5KWPINEO" localSheetId="8" hidden="1">#REF!</definedName>
    <definedName name="BEx1N5R5IJ3CG6CL344F5KWPINEO" localSheetId="19" hidden="1">#REF!</definedName>
    <definedName name="BEx1N5R5IJ3CG6CL344F5KWPINEO" hidden="1">#REF!</definedName>
    <definedName name="BEx1NFCFVPBS7XURQ8Y0BZEGPBVP" localSheetId="8" hidden="1">#REF!</definedName>
    <definedName name="BEx1NFCFVPBS7XURQ8Y0BZEGPBVP" localSheetId="19" hidden="1">#REF!</definedName>
    <definedName name="BEx1NFCFVPBS7XURQ8Y0BZEGPBVP" hidden="1">#REF!</definedName>
    <definedName name="BEx1NM34KQTO1LDNSAFD1L82UZFG" localSheetId="8" hidden="1">#REF!</definedName>
    <definedName name="BEx1NM34KQTO1LDNSAFD1L82UZFG" localSheetId="19" hidden="1">#REF!</definedName>
    <definedName name="BEx1NM34KQTO1LDNSAFD1L82UZFG" hidden="1">#REF!</definedName>
    <definedName name="BEx1NO6TXZVOGCUWCCRTXRXWW0XL" localSheetId="8" hidden="1">#REF!</definedName>
    <definedName name="BEx1NO6TXZVOGCUWCCRTXRXWW0XL" localSheetId="19" hidden="1">#REF!</definedName>
    <definedName name="BEx1NO6TXZVOGCUWCCRTXRXWW0XL" hidden="1">#REF!</definedName>
    <definedName name="BEx1NS8EU5P9FQV3S0WRTXI5L361" localSheetId="8" hidden="1">#REF!</definedName>
    <definedName name="BEx1NS8EU5P9FQV3S0WRTXI5L361" localSheetId="19" hidden="1">#REF!</definedName>
    <definedName name="BEx1NS8EU5P9FQV3S0WRTXI5L361" hidden="1">#REF!</definedName>
    <definedName name="BEx1NUBX5VUYZFKQH69FN6BTLWCR" localSheetId="8" hidden="1">#REF!</definedName>
    <definedName name="BEx1NUBX5VUYZFKQH69FN6BTLWCR" localSheetId="19" hidden="1">#REF!</definedName>
    <definedName name="BEx1NUBX5VUYZFKQH69FN6BTLWCR" hidden="1">#REF!</definedName>
    <definedName name="BEx1NZ4K1L8UON80Y2A4RASKWGNP" localSheetId="8" hidden="1">#REF!</definedName>
    <definedName name="BEx1NZ4K1L8UON80Y2A4RASKWGNP" localSheetId="19" hidden="1">#REF!</definedName>
    <definedName name="BEx1NZ4K1L8UON80Y2A4RASKWGNP" hidden="1">#REF!</definedName>
    <definedName name="BEx1O24FB2CPATAGE3T7L1NBQQO1" localSheetId="8" hidden="1">#REF!</definedName>
    <definedName name="BEx1O24FB2CPATAGE3T7L1NBQQO1" localSheetId="19" hidden="1">#REF!</definedName>
    <definedName name="BEx1O24FB2CPATAGE3T7L1NBQQO1" hidden="1">#REF!</definedName>
    <definedName name="BEx1OLAZ915OGYWP0QP1QQWDLCRX" localSheetId="8" hidden="1">#REF!</definedName>
    <definedName name="BEx1OLAZ915OGYWP0QP1QQWDLCRX" localSheetId="19" hidden="1">#REF!</definedName>
    <definedName name="BEx1OLAZ915OGYWP0QP1QQWDLCRX" hidden="1">#REF!</definedName>
    <definedName name="BEx1OO5ER042IS6IC4TLDI75JNVH" localSheetId="8" hidden="1">#REF!</definedName>
    <definedName name="BEx1OO5ER042IS6IC4TLDI75JNVH" localSheetId="19" hidden="1">#REF!</definedName>
    <definedName name="BEx1OO5ER042IS6IC4TLDI75JNVH" hidden="1">#REF!</definedName>
    <definedName name="BEx1OTE54CBSUT8FWKRALEDCUWN4" localSheetId="8" hidden="1">#REF!</definedName>
    <definedName name="BEx1OTE54CBSUT8FWKRALEDCUWN4" localSheetId="19" hidden="1">#REF!</definedName>
    <definedName name="BEx1OTE54CBSUT8FWKRALEDCUWN4" hidden="1">#REF!</definedName>
    <definedName name="BEx1OVSMPADTX95QUOX34KZQ8EDY" localSheetId="8" hidden="1">#REF!</definedName>
    <definedName name="BEx1OVSMPADTX95QUOX34KZQ8EDY" localSheetId="19" hidden="1">#REF!</definedName>
    <definedName name="BEx1OVSMPADTX95QUOX34KZQ8EDY" hidden="1">#REF!</definedName>
    <definedName name="BEx1OWJJ0DP4628GCVVRQ9X0DRHQ" localSheetId="8" hidden="1">#REF!</definedName>
    <definedName name="BEx1OWJJ0DP4628GCVVRQ9X0DRHQ" localSheetId="19" hidden="1">#REF!</definedName>
    <definedName name="BEx1OWJJ0DP4628GCVVRQ9X0DRHQ" hidden="1">#REF!</definedName>
    <definedName name="BEx1OX544IO9FQJI7YYQGZCEHB3O" localSheetId="8" hidden="1">#REF!</definedName>
    <definedName name="BEx1OX544IO9FQJI7YYQGZCEHB3O" localSheetId="19" hidden="1">#REF!</definedName>
    <definedName name="BEx1OX544IO9FQJI7YYQGZCEHB3O" hidden="1">#REF!</definedName>
    <definedName name="BEx1OY6SVEUT2EQ26P7EKEND342G" localSheetId="8" hidden="1">#REF!</definedName>
    <definedName name="BEx1OY6SVEUT2EQ26P7EKEND342G" localSheetId="19" hidden="1">#REF!</definedName>
    <definedName name="BEx1OY6SVEUT2EQ26P7EKEND342G" hidden="1">#REF!</definedName>
    <definedName name="BEx1OYN1LPIPI12O9G6F7QAOS9T4" localSheetId="8" hidden="1">#REF!</definedName>
    <definedName name="BEx1OYN1LPIPI12O9G6F7QAOS9T4" localSheetId="19" hidden="1">#REF!</definedName>
    <definedName name="BEx1OYN1LPIPI12O9G6F7QAOS9T4" hidden="1">#REF!</definedName>
    <definedName name="BEx1P1HHKJA799O3YZXQAX6KFH58" localSheetId="8" hidden="1">#REF!</definedName>
    <definedName name="BEx1P1HHKJA799O3YZXQAX6KFH58" localSheetId="19" hidden="1">#REF!</definedName>
    <definedName name="BEx1P1HHKJA799O3YZXQAX6KFH58" hidden="1">#REF!</definedName>
    <definedName name="BEx1P34W467WGPOXPK292QFJIPHJ" localSheetId="8" hidden="1">#REF!</definedName>
    <definedName name="BEx1P34W467WGPOXPK292QFJIPHJ" localSheetId="19" hidden="1">#REF!</definedName>
    <definedName name="BEx1P34W467WGPOXPK292QFJIPHJ" hidden="1">#REF!</definedName>
    <definedName name="BEx1P76FRYAB1BWA5RJS4KOB3G9I" localSheetId="8" hidden="1">#REF!</definedName>
    <definedName name="BEx1P76FRYAB1BWA5RJS4KOB3G9I" localSheetId="19" hidden="1">#REF!</definedName>
    <definedName name="BEx1P76FRYAB1BWA5RJS4KOB3G9I" hidden="1">#REF!</definedName>
    <definedName name="BEx1P7S1J4TKGVJ43C2Q2R3M9WRB" localSheetId="8" hidden="1">#REF!</definedName>
    <definedName name="BEx1P7S1J4TKGVJ43C2Q2R3M9WRB" localSheetId="19" hidden="1">#REF!</definedName>
    <definedName name="BEx1P7S1J4TKGVJ43C2Q2R3M9WRB" hidden="1">#REF!</definedName>
    <definedName name="BEx1P8OF6WY3IH8SO71KQOU83V3Y" localSheetId="8" hidden="1">#REF!</definedName>
    <definedName name="BEx1P8OF6WY3IH8SO71KQOU83V3Y" localSheetId="19" hidden="1">#REF!</definedName>
    <definedName name="BEx1P8OF6WY3IH8SO71KQOU83V3Y" hidden="1">#REF!</definedName>
    <definedName name="BEx1PA11BLPVZM8RC5BL46WX8YB5" localSheetId="8" hidden="1">#REF!</definedName>
    <definedName name="BEx1PA11BLPVZM8RC5BL46WX8YB5" localSheetId="19" hidden="1">#REF!</definedName>
    <definedName name="BEx1PA11BLPVZM8RC5BL46WX8YB5" hidden="1">#REF!</definedName>
    <definedName name="BEx1PAMMMZTO2BTR6YLZ9ASMPS4N" localSheetId="8" hidden="1">#REF!</definedName>
    <definedName name="BEx1PAMMMZTO2BTR6YLZ9ASMPS4N" localSheetId="19" hidden="1">#REF!</definedName>
    <definedName name="BEx1PAMMMZTO2BTR6YLZ9ASMPS4N" hidden="1">#REF!</definedName>
    <definedName name="BEx1PBZ4BEFIPGMQXT9T8S4PZ2IM" localSheetId="8" hidden="1">#REF!</definedName>
    <definedName name="BEx1PBZ4BEFIPGMQXT9T8S4PZ2IM" localSheetId="19" hidden="1">#REF!</definedName>
    <definedName name="BEx1PBZ4BEFIPGMQXT9T8S4PZ2IM" hidden="1">#REF!</definedName>
    <definedName name="BEx1PJMAAUI73DAR3XUON2UMXTBS" localSheetId="8" hidden="1">#REF!</definedName>
    <definedName name="BEx1PJMAAUI73DAR3XUON2UMXTBS" localSheetId="19" hidden="1">#REF!</definedName>
    <definedName name="BEx1PJMAAUI73DAR3XUON2UMXTBS" hidden="1">#REF!</definedName>
    <definedName name="BEx1PLF2CFSXBZPVI6CJ534EIJDN" localSheetId="8" hidden="1">#REF!</definedName>
    <definedName name="BEx1PLF2CFSXBZPVI6CJ534EIJDN" localSheetId="19" hidden="1">#REF!</definedName>
    <definedName name="BEx1PLF2CFSXBZPVI6CJ534EIJDN" hidden="1">#REF!</definedName>
    <definedName name="BEx1PMWZB2DO6EM9BKLUICZJ65HD" localSheetId="8" hidden="1">#REF!</definedName>
    <definedName name="BEx1PMWZB2DO6EM9BKLUICZJ65HD" localSheetId="19" hidden="1">#REF!</definedName>
    <definedName name="BEx1PMWZB2DO6EM9BKLUICZJ65HD" hidden="1">#REF!</definedName>
    <definedName name="BEx1PU3X6U0EVLY9569KVBPAH7XU" localSheetId="8" hidden="1">#REF!</definedName>
    <definedName name="BEx1PU3X6U0EVLY9569KVBPAH7XU" localSheetId="19" hidden="1">#REF!</definedName>
    <definedName name="BEx1PU3X6U0EVLY9569KVBPAH7XU" hidden="1">#REF!</definedName>
    <definedName name="BEx1Q9OV5AOW28OUGRFCD3ZFVWC3" localSheetId="8" hidden="1">#REF!</definedName>
    <definedName name="BEx1Q9OV5AOW28OUGRFCD3ZFVWC3" localSheetId="19" hidden="1">#REF!</definedName>
    <definedName name="BEx1Q9OV5AOW28OUGRFCD3ZFVWC3" hidden="1">#REF!</definedName>
    <definedName name="BEx1QA54J2A4I7IBQR19BTY28ZMR" localSheetId="8" hidden="1">#REF!</definedName>
    <definedName name="BEx1QA54J2A4I7IBQR19BTY28ZMR" localSheetId="19" hidden="1">#REF!</definedName>
    <definedName name="BEx1QA54J2A4I7IBQR19BTY28ZMR" hidden="1">#REF!</definedName>
    <definedName name="BEx1QD50TNYYZ6YO943BWHPB9UD9" localSheetId="8" hidden="1">#REF!</definedName>
    <definedName name="BEx1QD50TNYYZ6YO943BWHPB9UD9" localSheetId="19" hidden="1">#REF!</definedName>
    <definedName name="BEx1QD50TNYYZ6YO943BWHPB9UD9" hidden="1">#REF!</definedName>
    <definedName name="BEx1QMQAHG3KQUK59DVM68SWKZIZ" localSheetId="8" hidden="1">#REF!</definedName>
    <definedName name="BEx1QMQAHG3KQUK59DVM68SWKZIZ" localSheetId="19" hidden="1">#REF!</definedName>
    <definedName name="BEx1QMQAHG3KQUK59DVM68SWKZIZ" hidden="1">#REF!</definedName>
    <definedName name="BEx1R9YFKJCMSEST8OVCAO5E47FO" localSheetId="8" hidden="1">#REF!</definedName>
    <definedName name="BEx1R9YFKJCMSEST8OVCAO5E47FO" localSheetId="19" hidden="1">#REF!</definedName>
    <definedName name="BEx1R9YFKJCMSEST8OVCAO5E47FO" hidden="1">#REF!</definedName>
    <definedName name="BEx1RBGC06B3T52OIC0EQ1KGVP1I" localSheetId="8" hidden="1">#REF!</definedName>
    <definedName name="BEx1RBGC06B3T52OIC0EQ1KGVP1I" localSheetId="19" hidden="1">#REF!</definedName>
    <definedName name="BEx1RBGC06B3T52OIC0EQ1KGVP1I" hidden="1">#REF!</definedName>
    <definedName name="BEx1RRC7X4NI1CU4EO5XYE2GVARJ" localSheetId="8" hidden="1">#REF!</definedName>
    <definedName name="BEx1RRC7X4NI1CU4EO5XYE2GVARJ" localSheetId="19" hidden="1">#REF!</definedName>
    <definedName name="BEx1RRC7X4NI1CU4EO5XYE2GVARJ" hidden="1">#REF!</definedName>
    <definedName name="BEx1RZA1NCGT832L7EMR7GMF588W" localSheetId="8" hidden="1">#REF!</definedName>
    <definedName name="BEx1RZA1NCGT832L7EMR7GMF588W" localSheetId="19" hidden="1">#REF!</definedName>
    <definedName name="BEx1RZA1NCGT832L7EMR7GMF588W" hidden="1">#REF!</definedName>
    <definedName name="BEx1S0XGIPUSZQUCSGWSK10GKW7Y" localSheetId="8" hidden="1">#REF!</definedName>
    <definedName name="BEx1S0XGIPUSZQUCSGWSK10GKW7Y" localSheetId="19" hidden="1">#REF!</definedName>
    <definedName name="BEx1S0XGIPUSZQUCSGWSK10GKW7Y" hidden="1">#REF!</definedName>
    <definedName name="BEx1S5VFNKIXHTTCWSV60UC50EZ8" localSheetId="8" hidden="1">#REF!</definedName>
    <definedName name="BEx1S5VFNKIXHTTCWSV60UC50EZ8" localSheetId="19" hidden="1">#REF!</definedName>
    <definedName name="BEx1S5VFNKIXHTTCWSV60UC50EZ8" hidden="1">#REF!</definedName>
    <definedName name="BEx1SK3U02H0RGKEYXW7ZMCEOF3V" localSheetId="8" hidden="1">#REF!</definedName>
    <definedName name="BEx1SK3U02H0RGKEYXW7ZMCEOF3V" localSheetId="19" hidden="1">#REF!</definedName>
    <definedName name="BEx1SK3U02H0RGKEYXW7ZMCEOF3V" hidden="1">#REF!</definedName>
    <definedName name="BEx1SSNEZINBJT29QVS62VS1THT4" localSheetId="8" hidden="1">#REF!</definedName>
    <definedName name="BEx1SSNEZINBJT29QVS62VS1THT4" localSheetId="19" hidden="1">#REF!</definedName>
    <definedName name="BEx1SSNEZINBJT29QVS62VS1THT4" hidden="1">#REF!</definedName>
    <definedName name="BEx1SVNCHNANBJIDIQVB8AFK4HAN" localSheetId="8" hidden="1">#REF!</definedName>
    <definedName name="BEx1SVNCHNANBJIDIQVB8AFK4HAN" localSheetId="19" hidden="1">#REF!</definedName>
    <definedName name="BEx1SVNCHNANBJIDIQVB8AFK4HAN" hidden="1">#REF!</definedName>
    <definedName name="BEx1SY74DYVEPAQ9TGGGXKJA025O" localSheetId="8" hidden="1">#REF!</definedName>
    <definedName name="BEx1SY74DYVEPAQ9TGGGXKJA025O" localSheetId="19" hidden="1">#REF!</definedName>
    <definedName name="BEx1SY74DYVEPAQ9TGGGXKJA025O" hidden="1">#REF!</definedName>
    <definedName name="BEx1TJ0WLS9O7KNSGIPWTYHDYI1D" localSheetId="8" hidden="1">#REF!</definedName>
    <definedName name="BEx1TJ0WLS9O7KNSGIPWTYHDYI1D" localSheetId="19" hidden="1">#REF!</definedName>
    <definedName name="BEx1TJ0WLS9O7KNSGIPWTYHDYI1D" hidden="1">#REF!</definedName>
    <definedName name="BEx1TUPQAYGAI13ZC7FU1FJXFAPM" localSheetId="8" hidden="1">#REF!</definedName>
    <definedName name="BEx1TUPQAYGAI13ZC7FU1FJXFAPM" localSheetId="19" hidden="1">#REF!</definedName>
    <definedName name="BEx1TUPQAYGAI13ZC7FU1FJXFAPM" hidden="1">#REF!</definedName>
    <definedName name="BEx1TY0F9W7EOF31FZXITWEYBSRT" localSheetId="8" hidden="1">#REF!</definedName>
    <definedName name="BEx1TY0F9W7EOF31FZXITWEYBSRT" localSheetId="19" hidden="1">#REF!</definedName>
    <definedName name="BEx1TY0F9W7EOF31FZXITWEYBSRT" hidden="1">#REF!</definedName>
    <definedName name="BEx1U7WFO8OZKB1EBF4H386JW91L" localSheetId="8" hidden="1">#REF!</definedName>
    <definedName name="BEx1U7WFO8OZKB1EBF4H386JW91L" localSheetId="19" hidden="1">#REF!</definedName>
    <definedName name="BEx1U7WFO8OZKB1EBF4H386JW91L" hidden="1">#REF!</definedName>
    <definedName name="BEx1U87938YR9N6HYI24KVBKLOS3" localSheetId="8" hidden="1">#REF!</definedName>
    <definedName name="BEx1U87938YR9N6HYI24KVBKLOS3" localSheetId="19" hidden="1">#REF!</definedName>
    <definedName name="BEx1U87938YR9N6HYI24KVBKLOS3" hidden="1">#REF!</definedName>
    <definedName name="BEx1U9P6VQWSVRICLZR9DYRMN61U" localSheetId="8" hidden="1">#REF!</definedName>
    <definedName name="BEx1U9P6VQWSVRICLZR9DYRMN61U" localSheetId="19" hidden="1">#REF!</definedName>
    <definedName name="BEx1U9P6VQWSVRICLZR9DYRMN61U" hidden="1">#REF!</definedName>
    <definedName name="BEx1UESH4KDWHYESQU2IE55RS3LI" localSheetId="8" hidden="1">#REF!</definedName>
    <definedName name="BEx1UESH4KDWHYESQU2IE55RS3LI" localSheetId="19" hidden="1">#REF!</definedName>
    <definedName name="BEx1UESH4KDWHYESQU2IE55RS3LI" hidden="1">#REF!</definedName>
    <definedName name="BEx1UI8N9KTCPSOJ7RDW0T8UEBNP" localSheetId="8" hidden="1">#REF!</definedName>
    <definedName name="BEx1UI8N9KTCPSOJ7RDW0T8UEBNP" localSheetId="19" hidden="1">#REF!</definedName>
    <definedName name="BEx1UI8N9KTCPSOJ7RDW0T8UEBNP" hidden="1">#REF!</definedName>
    <definedName name="BEx1UML0HHJFHA5TBOYQ24I3RV1W" localSheetId="8" hidden="1">#REF!</definedName>
    <definedName name="BEx1UML0HHJFHA5TBOYQ24I3RV1W" localSheetId="19" hidden="1">#REF!</definedName>
    <definedName name="BEx1UML0HHJFHA5TBOYQ24I3RV1W" hidden="1">#REF!</definedName>
    <definedName name="BEx1UO8ENOJNYCNX5Z95TBIJ3MKP" localSheetId="8" hidden="1">#REF!</definedName>
    <definedName name="BEx1UO8ENOJNYCNX5Z95TBIJ3MKP" localSheetId="19" hidden="1">#REF!</definedName>
    <definedName name="BEx1UO8ENOJNYCNX5Z95TBIJ3MKP" hidden="1">#REF!</definedName>
    <definedName name="BEx1UUDIQPZ23XQ79GUL0RAWRSCK" localSheetId="8" hidden="1">#REF!</definedName>
    <definedName name="BEx1UUDIQPZ23XQ79GUL0RAWRSCK" localSheetId="19" hidden="1">#REF!</definedName>
    <definedName name="BEx1UUDIQPZ23XQ79GUL0RAWRSCK" hidden="1">#REF!</definedName>
    <definedName name="BEx1V67SEV778NVW68J8W5SND1J7" localSheetId="8" hidden="1">#REF!</definedName>
    <definedName name="BEx1V67SEV778NVW68J8W5SND1J7" localSheetId="19" hidden="1">#REF!</definedName>
    <definedName name="BEx1V67SEV778NVW68J8W5SND1J7" hidden="1">#REF!</definedName>
    <definedName name="BEx1VIY9SQLRESD11CC4PHYT0XSG" localSheetId="8" hidden="1">#REF!</definedName>
    <definedName name="BEx1VIY9SQLRESD11CC4PHYT0XSG" localSheetId="19" hidden="1">#REF!</definedName>
    <definedName name="BEx1VIY9SQLRESD11CC4PHYT0XSG" hidden="1">#REF!</definedName>
    <definedName name="BEx1W3170EJU6QEJR4F8E2ULUU2U" localSheetId="8" hidden="1">#REF!</definedName>
    <definedName name="BEx1W3170EJU6QEJR4F8E2ULUU2U" localSheetId="19" hidden="1">#REF!</definedName>
    <definedName name="BEx1W3170EJU6QEJR4F8E2ULUU2U" hidden="1">#REF!</definedName>
    <definedName name="BEx1WC67EH10SC38QWX3WEA5KH3A" localSheetId="8" hidden="1">#REF!</definedName>
    <definedName name="BEx1WC67EH10SC38QWX3WEA5KH3A" localSheetId="19" hidden="1">#REF!</definedName>
    <definedName name="BEx1WC67EH10SC38QWX3WEA5KH3A" hidden="1">#REF!</definedName>
    <definedName name="BEx1WDTMC6W73PJPTY0JYLKOA883" localSheetId="8" hidden="1">#REF!</definedName>
    <definedName name="BEx1WDTMC6W73PJPTY0JYLKOA883" localSheetId="19" hidden="1">#REF!</definedName>
    <definedName name="BEx1WDTMC6W73PJPTY0JYLKOA883" hidden="1">#REF!</definedName>
    <definedName name="BEx1WGYTKZZIPM1577W5FEYKFH3V" localSheetId="8" hidden="1">#REF!</definedName>
    <definedName name="BEx1WGYTKZZIPM1577W5FEYKFH3V" localSheetId="19" hidden="1">#REF!</definedName>
    <definedName name="BEx1WGYTKZZIPM1577W5FEYKFH3V" hidden="1">#REF!</definedName>
    <definedName name="BEx1WHPURIV3D3PTJJ359H1OP7ZV" localSheetId="8" hidden="1">#REF!</definedName>
    <definedName name="BEx1WHPURIV3D3PTJJ359H1OP7ZV" localSheetId="19" hidden="1">#REF!</definedName>
    <definedName name="BEx1WHPURIV3D3PTJJ359H1OP7ZV" hidden="1">#REF!</definedName>
    <definedName name="BEx1WLBBR45RLDQX9FCLJWUUQX5R" localSheetId="8" hidden="1">#REF!</definedName>
    <definedName name="BEx1WLBBR45RLDQX9FCLJWUUQX5R" localSheetId="19" hidden="1">#REF!</definedName>
    <definedName name="BEx1WLBBR45RLDQX9FCLJWUUQX5R" hidden="1">#REF!</definedName>
    <definedName name="BEx1WLWY2CR1WRD694JJSWSDFAIR" localSheetId="8" hidden="1">#REF!</definedName>
    <definedName name="BEx1WLWY2CR1WRD694JJSWSDFAIR" localSheetId="19" hidden="1">#REF!</definedName>
    <definedName name="BEx1WLWY2CR1WRD694JJSWSDFAIR" hidden="1">#REF!</definedName>
    <definedName name="BEx1WMD1LWPWRIK6GGAJRJAHJM8I" localSheetId="8" hidden="1">#REF!</definedName>
    <definedName name="BEx1WMD1LWPWRIK6GGAJRJAHJM8I" localSheetId="19" hidden="1">#REF!</definedName>
    <definedName name="BEx1WMD1LWPWRIK6GGAJRJAHJM8I" hidden="1">#REF!</definedName>
    <definedName name="BEx1WR0D41MR174LBF3P9E3K0J51" localSheetId="8" hidden="1">#REF!</definedName>
    <definedName name="BEx1WR0D41MR174LBF3P9E3K0J51" localSheetId="19" hidden="1">#REF!</definedName>
    <definedName name="BEx1WR0D41MR174LBF3P9E3K0J51" hidden="1">#REF!</definedName>
    <definedName name="BEx1WT3VU2F7OSUQZHBIV4KTTFJ4" localSheetId="8" hidden="1">#REF!</definedName>
    <definedName name="BEx1WT3VU2F7OSUQZHBIV4KTTFJ4" localSheetId="19" hidden="1">#REF!</definedName>
    <definedName name="BEx1WT3VU2F7OSUQZHBIV4KTTFJ4" hidden="1">#REF!</definedName>
    <definedName name="BEx1WUB1FAS5PHU33TJ60SUHR618" localSheetId="8" hidden="1">#REF!</definedName>
    <definedName name="BEx1WUB1FAS5PHU33TJ60SUHR618" localSheetId="19" hidden="1">#REF!</definedName>
    <definedName name="BEx1WUB1FAS5PHU33TJ60SUHR618" hidden="1">#REF!</definedName>
    <definedName name="BEx1WX04G0INSPPG9NTNR3DYR6PZ" localSheetId="8" hidden="1">#REF!</definedName>
    <definedName name="BEx1WX04G0INSPPG9NTNR3DYR6PZ" localSheetId="19" hidden="1">#REF!</definedName>
    <definedName name="BEx1WX04G0INSPPG9NTNR3DYR6PZ" hidden="1">#REF!</definedName>
    <definedName name="BEx1X3LHU9DPG01VWX2IF65TRATF" localSheetId="8" hidden="1">#REF!</definedName>
    <definedName name="BEx1X3LHU9DPG01VWX2IF65TRATF" localSheetId="19" hidden="1">#REF!</definedName>
    <definedName name="BEx1X3LHU9DPG01VWX2IF65TRATF" hidden="1">#REF!</definedName>
    <definedName name="BEx1XFL3ISYW3FU1DQ3US0DYA8NQ" localSheetId="8" hidden="1">#REF!</definedName>
    <definedName name="BEx1XFL3ISYW3FU1DQ3US0DYA8NQ" localSheetId="19" hidden="1">#REF!</definedName>
    <definedName name="BEx1XFL3ISYW3FU1DQ3US0DYA8NQ" hidden="1">#REF!</definedName>
    <definedName name="BEx1XK8AAMO0AH0Z1OUKW30CA7EQ" localSheetId="8" hidden="1">#REF!</definedName>
    <definedName name="BEx1XK8AAMO0AH0Z1OUKW30CA7EQ" localSheetId="19" hidden="1">#REF!</definedName>
    <definedName name="BEx1XK8AAMO0AH0Z1OUKW30CA7EQ" hidden="1">#REF!</definedName>
    <definedName name="BEx1XL4MZ7C80495GHQRWOBS16PQ" localSheetId="8" hidden="1">#REF!</definedName>
    <definedName name="BEx1XL4MZ7C80495GHQRWOBS16PQ" localSheetId="19" hidden="1">#REF!</definedName>
    <definedName name="BEx1XL4MZ7C80495GHQRWOBS16PQ" hidden="1">#REF!</definedName>
    <definedName name="BEx1Y2IGS2K95E1M51PEF9KJZ0KB" localSheetId="8" hidden="1">#REF!</definedName>
    <definedName name="BEx1Y2IGS2K95E1M51PEF9KJZ0KB" localSheetId="19" hidden="1">#REF!</definedName>
    <definedName name="BEx1Y2IGS2K95E1M51PEF9KJZ0KB" hidden="1">#REF!</definedName>
    <definedName name="BEx1Y3PKK83X2FN9SAALFHOWKMRQ" localSheetId="8" hidden="1">#REF!</definedName>
    <definedName name="BEx1Y3PKK83X2FN9SAALFHOWKMRQ" localSheetId="19" hidden="1">#REF!</definedName>
    <definedName name="BEx1Y3PKK83X2FN9SAALFHOWKMRQ" hidden="1">#REF!</definedName>
    <definedName name="BEx1YL3DJ7Y4AZ01ERCOGW0FJ26T" localSheetId="8" hidden="1">#REF!</definedName>
    <definedName name="BEx1YL3DJ7Y4AZ01ERCOGW0FJ26T" localSheetId="19" hidden="1">#REF!</definedName>
    <definedName name="BEx1YL3DJ7Y4AZ01ERCOGW0FJ26T" hidden="1">#REF!</definedName>
    <definedName name="BEx1Z2RYHSVD1H37817SN93VMURZ" localSheetId="8" hidden="1">#REF!</definedName>
    <definedName name="BEx1Z2RYHSVD1H37817SN93VMURZ" localSheetId="19" hidden="1">#REF!</definedName>
    <definedName name="BEx1Z2RYHSVD1H37817SN93VMURZ" hidden="1">#REF!</definedName>
    <definedName name="BEx3AMAKWI6458B67VKZO56MCNJW" localSheetId="8" hidden="1">#REF!</definedName>
    <definedName name="BEx3AMAKWI6458B67VKZO56MCNJW" localSheetId="19" hidden="1">#REF!</definedName>
    <definedName name="BEx3AMAKWI6458B67VKZO56MCNJW" hidden="1">#REF!</definedName>
    <definedName name="BEx3AOOVM42G82TNF53W0EKXLUSI" localSheetId="8" hidden="1">#REF!</definedName>
    <definedName name="BEx3AOOVM42G82TNF53W0EKXLUSI" localSheetId="19" hidden="1">#REF!</definedName>
    <definedName name="BEx3AOOVM42G82TNF53W0EKXLUSI" hidden="1">#REF!</definedName>
    <definedName name="BEx3AZH9W4SUFCAHNDOQ728R9V4L" localSheetId="8" hidden="1">#REF!</definedName>
    <definedName name="BEx3AZH9W4SUFCAHNDOQ728R9V4L" localSheetId="19" hidden="1">#REF!</definedName>
    <definedName name="BEx3AZH9W4SUFCAHNDOQ728R9V4L" hidden="1">#REF!</definedName>
    <definedName name="BEx3BNR9ES4KY7Q1DK83KC5NDGL8" localSheetId="8" hidden="1">#REF!</definedName>
    <definedName name="BEx3BNR9ES4KY7Q1DK83KC5NDGL8" localSheetId="19" hidden="1">#REF!</definedName>
    <definedName name="BEx3BNR9ES4KY7Q1DK83KC5NDGL8" hidden="1">#REF!</definedName>
    <definedName name="BEx3BQR5VZXNQ4H949ORM8ESU3B3" localSheetId="8" hidden="1">#REF!</definedName>
    <definedName name="BEx3BQR5VZXNQ4H949ORM8ESU3B3" localSheetId="19" hidden="1">#REF!</definedName>
    <definedName name="BEx3BQR5VZXNQ4H949ORM8ESU3B3" hidden="1">#REF!</definedName>
    <definedName name="BEx3BTLL3ASJN134DLEQTQM70VZM" localSheetId="8" hidden="1">#REF!</definedName>
    <definedName name="BEx3BTLL3ASJN134DLEQTQM70VZM" localSheetId="19" hidden="1">#REF!</definedName>
    <definedName name="BEx3BTLL3ASJN134DLEQTQM70VZM" hidden="1">#REF!</definedName>
    <definedName name="BEx3BW5CTV0DJU5AQS3ZQFK2VLF3" localSheetId="8" hidden="1">#REF!</definedName>
    <definedName name="BEx3BW5CTV0DJU5AQS3ZQFK2VLF3" localSheetId="19" hidden="1">#REF!</definedName>
    <definedName name="BEx3BW5CTV0DJU5AQS3ZQFK2VLF3" hidden="1">#REF!</definedName>
    <definedName name="BEx3BYP0FG369M7G3JEFLMMXAKTS" localSheetId="8" hidden="1">#REF!</definedName>
    <definedName name="BEx3BYP0FG369M7G3JEFLMMXAKTS" localSheetId="19" hidden="1">#REF!</definedName>
    <definedName name="BEx3BYP0FG369M7G3JEFLMMXAKTS" hidden="1">#REF!</definedName>
    <definedName name="BEx3C2QR0WUD19QSVO8EMIPNQJKH" localSheetId="8" hidden="1">#REF!</definedName>
    <definedName name="BEx3C2QR0WUD19QSVO8EMIPNQJKH" localSheetId="19" hidden="1">#REF!</definedName>
    <definedName name="BEx3C2QR0WUD19QSVO8EMIPNQJKH" hidden="1">#REF!</definedName>
    <definedName name="BEx3CKFCCPZZ6ROLAT5C1DZNIC1U" localSheetId="8" hidden="1">#REF!</definedName>
    <definedName name="BEx3CKFCCPZZ6ROLAT5C1DZNIC1U" localSheetId="19" hidden="1">#REF!</definedName>
    <definedName name="BEx3CKFCCPZZ6ROLAT5C1DZNIC1U" hidden="1">#REF!</definedName>
    <definedName name="BEx3CO0SVO4WLH0DO43DCHYDTH1P" localSheetId="8" hidden="1">#REF!</definedName>
    <definedName name="BEx3CO0SVO4WLH0DO43DCHYDTH1P" localSheetId="19" hidden="1">#REF!</definedName>
    <definedName name="BEx3CO0SVO4WLH0DO43DCHYDTH1P" hidden="1">#REF!</definedName>
    <definedName name="BEx3CPDAEBC12450MVHX6S78ILBS" localSheetId="8" hidden="1">#REF!</definedName>
    <definedName name="BEx3CPDAEBC12450MVHX6S78ILBS" localSheetId="19" hidden="1">#REF!</definedName>
    <definedName name="BEx3CPDAEBC12450MVHX6S78ILBS" hidden="1">#REF!</definedName>
    <definedName name="BEx3CQ9OQ7E1YH93NADGWWEH0HD5" localSheetId="8" hidden="1">#REF!</definedName>
    <definedName name="BEx3CQ9OQ7E1YH93NADGWWEH0HD5" localSheetId="19" hidden="1">#REF!</definedName>
    <definedName name="BEx3CQ9OQ7E1YH93NADGWWEH0HD5" hidden="1">#REF!</definedName>
    <definedName name="BEx3D9G6QTSPF9UYI4X0XY0VE896" localSheetId="8" hidden="1">#REF!</definedName>
    <definedName name="BEx3D9G6QTSPF9UYI4X0XY0VE896" localSheetId="19" hidden="1">#REF!</definedName>
    <definedName name="BEx3D9G6QTSPF9UYI4X0XY0VE896" hidden="1">#REF!</definedName>
    <definedName name="BEx3DCQU9PBRXIMLO62KS5RLH447" localSheetId="8" hidden="1">#REF!</definedName>
    <definedName name="BEx3DCQU9PBRXIMLO62KS5RLH447" localSheetId="19" hidden="1">#REF!</definedName>
    <definedName name="BEx3DCQU9PBRXIMLO62KS5RLH447" hidden="1">#REF!</definedName>
    <definedName name="BEx3DQ8EH7C7L4XQAOL3NRRVRRT3" localSheetId="8" hidden="1">#REF!</definedName>
    <definedName name="BEx3DQ8EH7C7L4XQAOL3NRRVRRT3" localSheetId="19" hidden="1">#REF!</definedName>
    <definedName name="BEx3DQ8EH7C7L4XQAOL3NRRVRRT3" hidden="1">#REF!</definedName>
    <definedName name="BEx3EF99FD6QNNCNOKDEE67JHTUJ" localSheetId="8" hidden="1">#REF!</definedName>
    <definedName name="BEx3EF99FD6QNNCNOKDEE67JHTUJ" localSheetId="19" hidden="1">#REF!</definedName>
    <definedName name="BEx3EF99FD6QNNCNOKDEE67JHTUJ" hidden="1">#REF!</definedName>
    <definedName name="BEx3EGLXG4AU8GXIFP26DZ61E6EP" localSheetId="8" hidden="1">#REF!</definedName>
    <definedName name="BEx3EGLXG4AU8GXIFP26DZ61E6EP" localSheetId="19" hidden="1">#REF!</definedName>
    <definedName name="BEx3EGLXG4AU8GXIFP26DZ61E6EP" hidden="1">#REF!</definedName>
    <definedName name="BEx3EHCSERZ2O2OAG8Y95UPG2IY9" localSheetId="8" hidden="1">#REF!</definedName>
    <definedName name="BEx3EHCSERZ2O2OAG8Y95UPG2IY9" localSheetId="19" hidden="1">#REF!</definedName>
    <definedName name="BEx3EHCSERZ2O2OAG8Y95UPG2IY9" hidden="1">#REF!</definedName>
    <definedName name="BEx3EJR3TCJDYS7ZXNDS5N9KTGIK" localSheetId="8" hidden="1">#REF!</definedName>
    <definedName name="BEx3EJR3TCJDYS7ZXNDS5N9KTGIK" localSheetId="19" hidden="1">#REF!</definedName>
    <definedName name="BEx3EJR3TCJDYS7ZXNDS5N9KTGIK" hidden="1">#REF!</definedName>
    <definedName name="BEx3ELJTTBS6P05CNISMGOJOA60V" localSheetId="8" hidden="1">#REF!</definedName>
    <definedName name="BEx3ELJTTBS6P05CNISMGOJOA60V" localSheetId="19" hidden="1">#REF!</definedName>
    <definedName name="BEx3ELJTTBS6P05CNISMGOJOA60V" hidden="1">#REF!</definedName>
    <definedName name="BEx3EQSLJBDDJRHNX19PBFCKNY2I" localSheetId="8" hidden="1">#REF!</definedName>
    <definedName name="BEx3EQSLJBDDJRHNX19PBFCKNY2I" localSheetId="19" hidden="1">#REF!</definedName>
    <definedName name="BEx3EQSLJBDDJRHNX19PBFCKNY2I" hidden="1">#REF!</definedName>
    <definedName name="BEx3EUUAX947Q5N6MY6W0KSNY78Y" localSheetId="8" hidden="1">#REF!</definedName>
    <definedName name="BEx3EUUAX947Q5N6MY6W0KSNY78Y" localSheetId="19" hidden="1">#REF!</definedName>
    <definedName name="BEx3EUUAX947Q5N6MY6W0KSNY78Y" hidden="1">#REF!</definedName>
    <definedName name="BEx3F3OJYKFH63TY4TBS69H5CI8M" localSheetId="8" hidden="1">#REF!</definedName>
    <definedName name="BEx3F3OJYKFH63TY4TBS69H5CI8M" localSheetId="19" hidden="1">#REF!</definedName>
    <definedName name="BEx3F3OJYKFH63TY4TBS69H5CI8M" hidden="1">#REF!</definedName>
    <definedName name="BEx3FHMD1P5XBCH23ZKIFO6ZTCNB" localSheetId="8" hidden="1">#REF!</definedName>
    <definedName name="BEx3FHMD1P5XBCH23ZKIFO6ZTCNB" localSheetId="19" hidden="1">#REF!</definedName>
    <definedName name="BEx3FHMD1P5XBCH23ZKIFO6ZTCNB" hidden="1">#REF!</definedName>
    <definedName name="BEx3FI2G3YYIACQHXNXEA15M8ZK5" localSheetId="8" hidden="1">#REF!</definedName>
    <definedName name="BEx3FI2G3YYIACQHXNXEA15M8ZK5" localSheetId="19" hidden="1">#REF!</definedName>
    <definedName name="BEx3FI2G3YYIACQHXNXEA15M8ZK5" hidden="1">#REF!</definedName>
    <definedName name="BEx3FJ9MHSLDK8W91GO85FX1GX57" localSheetId="8" hidden="1">#REF!</definedName>
    <definedName name="BEx3FJ9MHSLDK8W91GO85FX1GX57" localSheetId="19" hidden="1">#REF!</definedName>
    <definedName name="BEx3FJ9MHSLDK8W91GO85FX1GX57" hidden="1">#REF!</definedName>
    <definedName name="BEx3FR251HFU7A33PU01SJUENL2B" localSheetId="8" hidden="1">#REF!</definedName>
    <definedName name="BEx3FR251HFU7A33PU01SJUENL2B" localSheetId="19" hidden="1">#REF!</definedName>
    <definedName name="BEx3FR251HFU7A33PU01SJUENL2B" hidden="1">#REF!</definedName>
    <definedName name="BEx3FX7EJL47JSLSWP3EOC265WAE" localSheetId="8" hidden="1">#REF!</definedName>
    <definedName name="BEx3FX7EJL47JSLSWP3EOC265WAE" localSheetId="19" hidden="1">#REF!</definedName>
    <definedName name="BEx3FX7EJL47JSLSWP3EOC265WAE" hidden="1">#REF!</definedName>
    <definedName name="BEx3G201R8NLJ6FIHO2QS0SW9QVV" localSheetId="8" hidden="1">#REF!</definedName>
    <definedName name="BEx3G201R8NLJ6FIHO2QS0SW9QVV" localSheetId="19" hidden="1">#REF!</definedName>
    <definedName name="BEx3G201R8NLJ6FIHO2QS0SW9QVV" hidden="1">#REF!</definedName>
    <definedName name="BEx3G2LL2II66XY5YCDPG4JE13A3" localSheetId="8" hidden="1">#REF!</definedName>
    <definedName name="BEx3G2LL2II66XY5YCDPG4JE13A3" localSheetId="19" hidden="1">#REF!</definedName>
    <definedName name="BEx3G2LL2II66XY5YCDPG4JE13A3" hidden="1">#REF!</definedName>
    <definedName name="BEx3G2WA0DTYY9D8AGHHOBTPE2B2" localSheetId="8" hidden="1">#REF!</definedName>
    <definedName name="BEx3G2WA0DTYY9D8AGHHOBTPE2B2" localSheetId="19" hidden="1">#REF!</definedName>
    <definedName name="BEx3G2WA0DTYY9D8AGHHOBTPE2B2" hidden="1">#REF!</definedName>
    <definedName name="BEx3GCXR6IAS0B6WJ03GJVH7CO52" localSheetId="8" hidden="1">#REF!</definedName>
    <definedName name="BEx3GCXR6IAS0B6WJ03GJVH7CO52" localSheetId="19" hidden="1">#REF!</definedName>
    <definedName name="BEx3GCXR6IAS0B6WJ03GJVH7CO52" hidden="1">#REF!</definedName>
    <definedName name="BEx3GEVV18SEQDI1JGY7EN6D1GT1" localSheetId="8" hidden="1">#REF!</definedName>
    <definedName name="BEx3GEVV18SEQDI1JGY7EN6D1GT1" localSheetId="19" hidden="1">#REF!</definedName>
    <definedName name="BEx3GEVV18SEQDI1JGY7EN6D1GT1" hidden="1">#REF!</definedName>
    <definedName name="BEx3GKFH64MKQX61S7DYTZ15JCPY" localSheetId="8" hidden="1">#REF!</definedName>
    <definedName name="BEx3GKFH64MKQX61S7DYTZ15JCPY" localSheetId="19" hidden="1">#REF!</definedName>
    <definedName name="BEx3GKFH64MKQX61S7DYTZ15JCPY" hidden="1">#REF!</definedName>
    <definedName name="BEx3GMJ1Y6UU02DLRL0QXCEKDA6C" localSheetId="8" hidden="1">#REF!</definedName>
    <definedName name="BEx3GMJ1Y6UU02DLRL0QXCEKDA6C" localSheetId="19" hidden="1">#REF!</definedName>
    <definedName name="BEx3GMJ1Y6UU02DLRL0QXCEKDA6C" hidden="1">#REF!</definedName>
    <definedName name="BEx3GN4LY0135CBDIN1TU2UEODGF" localSheetId="8" hidden="1">#REF!</definedName>
    <definedName name="BEx3GN4LY0135CBDIN1TU2UEODGF" localSheetId="19" hidden="1">#REF!</definedName>
    <definedName name="BEx3GN4LY0135CBDIN1TU2UEODGF" hidden="1">#REF!</definedName>
    <definedName name="BEx3GPDH2AH4QKT4OOSN563XUHBD" localSheetId="8" hidden="1">#REF!</definedName>
    <definedName name="BEx3GPDH2AH4QKT4OOSN563XUHBD" localSheetId="19" hidden="1">#REF!</definedName>
    <definedName name="BEx3GPDH2AH4QKT4OOSN563XUHBD" hidden="1">#REF!</definedName>
    <definedName name="BEx3GRGZOH1A62SHC133FKNN9K23" localSheetId="8" hidden="1">#REF!</definedName>
    <definedName name="BEx3GRGZOH1A62SHC133FKNN9K23" localSheetId="19" hidden="1">#REF!</definedName>
    <definedName name="BEx3GRGZOH1A62SHC133FKNN9K23" hidden="1">#REF!</definedName>
    <definedName name="BEx3GS2LABKJSRV8GPZLJZVX7NMJ" localSheetId="8" hidden="1">#REF!</definedName>
    <definedName name="BEx3GS2LABKJSRV8GPZLJZVX7NMJ" localSheetId="19" hidden="1">#REF!</definedName>
    <definedName name="BEx3GS2LABKJSRV8GPZLJZVX7NMJ" hidden="1">#REF!</definedName>
    <definedName name="BEx3H05W7OEBR6W6YJKGD6W5M3I1" localSheetId="8" hidden="1">#REF!</definedName>
    <definedName name="BEx3H05W7OEBR6W6YJKGD6W5M3I1" localSheetId="19" hidden="1">#REF!</definedName>
    <definedName name="BEx3H05W7OEBR6W6YJKGD6W5M3I1" hidden="1">#REF!</definedName>
    <definedName name="BEx3H244GCME7ZDNAXG6ZSJ64ZRE" localSheetId="8" hidden="1">#REF!</definedName>
    <definedName name="BEx3H244GCME7ZDNAXG6ZSJ64ZRE" localSheetId="19" hidden="1">#REF!</definedName>
    <definedName name="BEx3H244GCME7ZDNAXG6ZSJ64ZRE" hidden="1">#REF!</definedName>
    <definedName name="BEx3H5UX2GZFZZT657YR76RHW5I6" localSheetId="8" hidden="1">#REF!</definedName>
    <definedName name="BEx3H5UX2GZFZZT657YR76RHW5I6" localSheetId="19" hidden="1">#REF!</definedName>
    <definedName name="BEx3H5UX2GZFZZT657YR76RHW5I6" hidden="1">#REF!</definedName>
    <definedName name="BEx3HACPKDZVUOS9WBDCCFJB46DK" localSheetId="8" hidden="1">#REF!</definedName>
    <definedName name="BEx3HACPKDZVUOS9WBDCCFJB46DK" localSheetId="19" hidden="1">#REF!</definedName>
    <definedName name="BEx3HACPKDZVUOS9WBDCCFJB46DK" hidden="1">#REF!</definedName>
    <definedName name="BEx3HMSEFOP6DBM4R97XA6B7NFG6" localSheetId="8" hidden="1">#REF!</definedName>
    <definedName name="BEx3HMSEFOP6DBM4R97XA6B7NFG6" localSheetId="19" hidden="1">#REF!</definedName>
    <definedName name="BEx3HMSEFOP6DBM4R97XA6B7NFG6" hidden="1">#REF!</definedName>
    <definedName name="BEx3HWJ5SQSD2CVCQNR183X44FR8" localSheetId="8" hidden="1">#REF!</definedName>
    <definedName name="BEx3HWJ5SQSD2CVCQNR183X44FR8" localSheetId="19" hidden="1">#REF!</definedName>
    <definedName name="BEx3HWJ5SQSD2CVCQNR183X44FR8" hidden="1">#REF!</definedName>
    <definedName name="BEx3I09YVXO0G4X7KGSA4WGORM35" localSheetId="8" hidden="1">#REF!</definedName>
    <definedName name="BEx3I09YVXO0G4X7KGSA4WGORM35" localSheetId="19" hidden="1">#REF!</definedName>
    <definedName name="BEx3I09YVXO0G4X7KGSA4WGORM35" hidden="1">#REF!</definedName>
    <definedName name="BEx3I3KN8WAL54AYYACGCUM43J9W" localSheetId="8" hidden="1">#REF!</definedName>
    <definedName name="BEx3I3KN8WAL54AYYACGCUM43J9W" localSheetId="19" hidden="1">#REF!</definedName>
    <definedName name="BEx3I3KN8WAL54AYYACGCUM43J9W" hidden="1">#REF!</definedName>
    <definedName name="BEx3ICF1GY8HQEBIU9S43PDJ90BX" localSheetId="8" hidden="1">#REF!</definedName>
    <definedName name="BEx3ICF1GY8HQEBIU9S43PDJ90BX" localSheetId="19" hidden="1">#REF!</definedName>
    <definedName name="BEx3ICF1GY8HQEBIU9S43PDJ90BX" hidden="1">#REF!</definedName>
    <definedName name="BEx3IYAH2DEBFWO8F94H4MXE3RLY" localSheetId="8" hidden="1">#REF!</definedName>
    <definedName name="BEx3IYAH2DEBFWO8F94H4MXE3RLY" localSheetId="19" hidden="1">#REF!</definedName>
    <definedName name="BEx3IYAH2DEBFWO8F94H4MXE3RLY" hidden="1">#REF!</definedName>
    <definedName name="BEx3IZSG3932LSWHR5YV78IVRPCK" localSheetId="8" hidden="1">#REF!</definedName>
    <definedName name="BEx3IZSG3932LSWHR5YV78IVRPCK" localSheetId="19" hidden="1">#REF!</definedName>
    <definedName name="BEx3IZSG3932LSWHR5YV78IVRPCK" hidden="1">#REF!</definedName>
    <definedName name="BEx3IZXXSYEW50379N2EAFWO8DZV" localSheetId="8" hidden="1">#REF!</definedName>
    <definedName name="BEx3IZXXSYEW50379N2EAFWO8DZV" localSheetId="19" hidden="1">#REF!</definedName>
    <definedName name="BEx3IZXXSYEW50379N2EAFWO8DZV" hidden="1">#REF!</definedName>
    <definedName name="BEx3J1VZVGTKT4ATPO9O5JCSFTTR" localSheetId="8" hidden="1">#REF!</definedName>
    <definedName name="BEx3J1VZVGTKT4ATPO9O5JCSFTTR" localSheetId="19" hidden="1">#REF!</definedName>
    <definedName name="BEx3J1VZVGTKT4ATPO9O5JCSFTTR" hidden="1">#REF!</definedName>
    <definedName name="BEx3JC2TY7JNAAC3L7QHVPQXLGQ8" localSheetId="8" hidden="1">#REF!</definedName>
    <definedName name="BEx3JC2TY7JNAAC3L7QHVPQXLGQ8" localSheetId="19" hidden="1">#REF!</definedName>
    <definedName name="BEx3JC2TY7JNAAC3L7QHVPQXLGQ8" hidden="1">#REF!</definedName>
    <definedName name="BEx3JMF5D7ODCJ7THAJTC1GFSG95" localSheetId="8" hidden="1">#REF!</definedName>
    <definedName name="BEx3JMF5D7ODCJ7THAJTC1GFSG95" localSheetId="19" hidden="1">#REF!</definedName>
    <definedName name="BEx3JMF5D7ODCJ7THAJTC1GFSG95" hidden="1">#REF!</definedName>
    <definedName name="BEx3JX23SYDIGOGM4Y0CQFBW8ZBV" localSheetId="8" hidden="1">#REF!</definedName>
    <definedName name="BEx3JX23SYDIGOGM4Y0CQFBW8ZBV" localSheetId="19" hidden="1">#REF!</definedName>
    <definedName name="BEx3JX23SYDIGOGM4Y0CQFBW8ZBV" hidden="1">#REF!</definedName>
    <definedName name="BEx3JXCXCVBZJGV5VEG9MJEI01AL" localSheetId="8" hidden="1">#REF!</definedName>
    <definedName name="BEx3JXCXCVBZJGV5VEG9MJEI01AL" localSheetId="19" hidden="1">#REF!</definedName>
    <definedName name="BEx3JXCXCVBZJGV5VEG9MJEI01AL" hidden="1">#REF!</definedName>
    <definedName name="BEx3JYK2N7X59TPJSKYZ77ENY8SS" localSheetId="8" hidden="1">#REF!</definedName>
    <definedName name="BEx3JYK2N7X59TPJSKYZ77ENY8SS" localSheetId="19" hidden="1">#REF!</definedName>
    <definedName name="BEx3JYK2N7X59TPJSKYZ77ENY8SS" hidden="1">#REF!</definedName>
    <definedName name="BEx3K13PSDK50JLCLD0GX8L4TWAH" localSheetId="8" hidden="1">#REF!</definedName>
    <definedName name="BEx3K13PSDK50JLCLD0GX8L4TWAH" localSheetId="19" hidden="1">#REF!</definedName>
    <definedName name="BEx3K13PSDK50JLCLD0GX8L4TWAH" hidden="1">#REF!</definedName>
    <definedName name="BEx3K4EII7GU1CG0BN7UL15M6J8Z" localSheetId="8" hidden="1">#REF!</definedName>
    <definedName name="BEx3K4EII7GU1CG0BN7UL15M6J8Z" localSheetId="19" hidden="1">#REF!</definedName>
    <definedName name="BEx3K4EII7GU1CG0BN7UL15M6J8Z" hidden="1">#REF!</definedName>
    <definedName name="BEx3K4ZXQUQ2KYZF74B84SO48XMW" localSheetId="8" hidden="1">#REF!</definedName>
    <definedName name="BEx3K4ZXQUQ2KYZF74B84SO48XMW" localSheetId="19" hidden="1">#REF!</definedName>
    <definedName name="BEx3K4ZXQUQ2KYZF74B84SO48XMW" hidden="1">#REF!</definedName>
    <definedName name="BEx3KEFXUCVNVPH7KSEGAZYX13B5" localSheetId="8" hidden="1">#REF!</definedName>
    <definedName name="BEx3KEFXUCVNVPH7KSEGAZYX13B5" localSheetId="19" hidden="1">#REF!</definedName>
    <definedName name="BEx3KEFXUCVNVPH7KSEGAZYX13B5" hidden="1">#REF!</definedName>
    <definedName name="BEx3KFXUAF6YXAA47B7Q6X9B3VGB" localSheetId="8" hidden="1">#REF!</definedName>
    <definedName name="BEx3KFXUAF6YXAA47B7Q6X9B3VGB" localSheetId="19" hidden="1">#REF!</definedName>
    <definedName name="BEx3KFXUAF6YXAA47B7Q6X9B3VGB" hidden="1">#REF!</definedName>
    <definedName name="BEx3KIXQYOGMPK4WJJAVBRX4NR28" localSheetId="8" hidden="1">#REF!</definedName>
    <definedName name="BEx3KIXQYOGMPK4WJJAVBRX4NR28" localSheetId="19" hidden="1">#REF!</definedName>
    <definedName name="BEx3KIXQYOGMPK4WJJAVBRX4NR28" hidden="1">#REF!</definedName>
    <definedName name="BEx3KJOMVOSFZVJUL3GKCNP6DQDS" localSheetId="8" hidden="1">#REF!</definedName>
    <definedName name="BEx3KJOMVOSFZVJUL3GKCNP6DQDS" localSheetId="19" hidden="1">#REF!</definedName>
    <definedName name="BEx3KJOMVOSFZVJUL3GKCNP6DQDS" hidden="1">#REF!</definedName>
    <definedName name="BEx3KP2VRBMORK0QEAZUYCXL3DHJ" localSheetId="8" hidden="1">#REF!</definedName>
    <definedName name="BEx3KP2VRBMORK0QEAZUYCXL3DHJ" localSheetId="19" hidden="1">#REF!</definedName>
    <definedName name="BEx3KP2VRBMORK0QEAZUYCXL3DHJ" hidden="1">#REF!</definedName>
    <definedName name="BEx3L4IN3LI4C26SITKTGAH27CDU" localSheetId="8" hidden="1">#REF!</definedName>
    <definedName name="BEx3L4IN3LI4C26SITKTGAH27CDU" localSheetId="19" hidden="1">#REF!</definedName>
    <definedName name="BEx3L4IN3LI4C26SITKTGAH27CDU" hidden="1">#REF!</definedName>
    <definedName name="BEx3L4YQ0J7ZU0M5QM6YIPCEYC9K" localSheetId="8" hidden="1">#REF!</definedName>
    <definedName name="BEx3L4YQ0J7ZU0M5QM6YIPCEYC9K" localSheetId="19" hidden="1">#REF!</definedName>
    <definedName name="BEx3L4YQ0J7ZU0M5QM6YIPCEYC9K" hidden="1">#REF!</definedName>
    <definedName name="BEx3L60DJOR7NQN42G7YSAODP1EX" localSheetId="8" hidden="1">#REF!</definedName>
    <definedName name="BEx3L60DJOR7NQN42G7YSAODP1EX" localSheetId="19" hidden="1">#REF!</definedName>
    <definedName name="BEx3L60DJOR7NQN42G7YSAODP1EX" hidden="1">#REF!</definedName>
    <definedName name="BEx3L7D0PI38HWZ7VADU16C9E33D" localSheetId="8" hidden="1">#REF!</definedName>
    <definedName name="BEx3L7D0PI38HWZ7VADU16C9E33D" localSheetId="19" hidden="1">#REF!</definedName>
    <definedName name="BEx3L7D0PI38HWZ7VADU16C9E33D" hidden="1">#REF!</definedName>
    <definedName name="BEx3LANPY1HT49TAH98H4B9RC1D4" localSheetId="8" hidden="1">#REF!</definedName>
    <definedName name="BEx3LANPY1HT49TAH98H4B9RC1D4" localSheetId="19" hidden="1">#REF!</definedName>
    <definedName name="BEx3LANPY1HT49TAH98H4B9RC1D4" hidden="1">#REF!</definedName>
    <definedName name="BEx3LM1PR4Y7KINKMTMKR984GX8Q" localSheetId="8" hidden="1">#REF!</definedName>
    <definedName name="BEx3LM1PR4Y7KINKMTMKR984GX8Q" localSheetId="19" hidden="1">#REF!</definedName>
    <definedName name="BEx3LM1PR4Y7KINKMTMKR984GX8Q" hidden="1">#REF!</definedName>
    <definedName name="BEx3LM1PWWC9WH0R5TX5K06V559U" localSheetId="8" hidden="1">#REF!</definedName>
    <definedName name="BEx3LM1PWWC9WH0R5TX5K06V559U" localSheetId="19" hidden="1">#REF!</definedName>
    <definedName name="BEx3LM1PWWC9WH0R5TX5K06V559U" hidden="1">#REF!</definedName>
    <definedName name="BEx3LPCEZ1C0XEKNCM3YT09JWCUO" localSheetId="8" hidden="1">#REF!</definedName>
    <definedName name="BEx3LPCEZ1C0XEKNCM3YT09JWCUO" localSheetId="19" hidden="1">#REF!</definedName>
    <definedName name="BEx3LPCEZ1C0XEKNCM3YT09JWCUO" hidden="1">#REF!</definedName>
    <definedName name="BEx3LSXW33WR1ECIMRYUPFBJXGGH" localSheetId="8" hidden="1">#REF!</definedName>
    <definedName name="BEx3LSXW33WR1ECIMRYUPFBJXGGH" localSheetId="19" hidden="1">#REF!</definedName>
    <definedName name="BEx3LSXW33WR1ECIMRYUPFBJXGGH" hidden="1">#REF!</definedName>
    <definedName name="BEx3M1MR1K1NQD03H74BFWOK4MWQ" localSheetId="8" hidden="1">#REF!</definedName>
    <definedName name="BEx3M1MR1K1NQD03H74BFWOK4MWQ" localSheetId="19" hidden="1">#REF!</definedName>
    <definedName name="BEx3M1MR1K1NQD03H74BFWOK4MWQ" hidden="1">#REF!</definedName>
    <definedName name="BEx3M4H77MYUKOOD31H9F80NMVK8" localSheetId="8" hidden="1">#REF!</definedName>
    <definedName name="BEx3M4H77MYUKOOD31H9F80NMVK8" localSheetId="19" hidden="1">#REF!</definedName>
    <definedName name="BEx3M4H77MYUKOOD31H9F80NMVK8" hidden="1">#REF!</definedName>
    <definedName name="BEx3M9VFX329PZWYC4DMZ6P3W9R2" localSheetId="8" hidden="1">#REF!</definedName>
    <definedName name="BEx3M9VFX329PZWYC4DMZ6P3W9R2" localSheetId="19" hidden="1">#REF!</definedName>
    <definedName name="BEx3M9VFX329PZWYC4DMZ6P3W9R2" hidden="1">#REF!</definedName>
    <definedName name="BEx3MCQ0VEBV0CZXDS505L38EQ8N" localSheetId="8" hidden="1">#REF!</definedName>
    <definedName name="BEx3MCQ0VEBV0CZXDS505L38EQ8N" localSheetId="19" hidden="1">#REF!</definedName>
    <definedName name="BEx3MCQ0VEBV0CZXDS505L38EQ8N" hidden="1">#REF!</definedName>
    <definedName name="BEx3MEYV5LQY0BAL7V3CFAFVOM3T" localSheetId="8" hidden="1">#REF!</definedName>
    <definedName name="BEx3MEYV5LQY0BAL7V3CFAFVOM3T" localSheetId="19" hidden="1">#REF!</definedName>
    <definedName name="BEx3MEYV5LQY0BAL7V3CFAFVOM3T" hidden="1">#REF!</definedName>
    <definedName name="BEx3MF9LX8G8DXGARRYNTDH542WG" localSheetId="8" hidden="1">#REF!</definedName>
    <definedName name="BEx3MF9LX8G8DXGARRYNTDH542WG" localSheetId="19" hidden="1">#REF!</definedName>
    <definedName name="BEx3MF9LX8G8DXGARRYNTDH542WG" hidden="1">#REF!</definedName>
    <definedName name="BEx3MREOFWJQEYMCMBL7ZE06NBN6" localSheetId="8" hidden="1">#REF!</definedName>
    <definedName name="BEx3MREOFWJQEYMCMBL7ZE06NBN6" localSheetId="19" hidden="1">#REF!</definedName>
    <definedName name="BEx3MREOFWJQEYMCMBL7ZE06NBN6" hidden="1">#REF!</definedName>
    <definedName name="BEx3MSGD8I6KBFD4XFWYGH3DKUK3" localSheetId="8" hidden="1">#REF!</definedName>
    <definedName name="BEx3MSGD8I6KBFD4XFWYGH3DKUK3" localSheetId="19" hidden="1">#REF!</definedName>
    <definedName name="BEx3MSGD8I6KBFD4XFWYGH3DKUK3" hidden="1">#REF!</definedName>
    <definedName name="BEx3NDQFYEWZAUGWFMGT2R7E7RBT" localSheetId="8" hidden="1">#REF!</definedName>
    <definedName name="BEx3NDQFYEWZAUGWFMGT2R7E7RBT" localSheetId="19" hidden="1">#REF!</definedName>
    <definedName name="BEx3NDQFYEWZAUGWFMGT2R7E7RBT" hidden="1">#REF!</definedName>
    <definedName name="BEx3NGQBX2HEDKOCDX0TX1TGBB3P" localSheetId="8" hidden="1">#REF!</definedName>
    <definedName name="BEx3NGQBX2HEDKOCDX0TX1TGBB3P" localSheetId="19" hidden="1">#REF!</definedName>
    <definedName name="BEx3NGQBX2HEDKOCDX0TX1TGBB3P" hidden="1">#REF!</definedName>
    <definedName name="BEx3NLIZ7PHF2XE59ECZ3MD04ZG1" localSheetId="8" hidden="1">#REF!</definedName>
    <definedName name="BEx3NLIZ7PHF2XE59ECZ3MD04ZG1" localSheetId="19" hidden="1">#REF!</definedName>
    <definedName name="BEx3NLIZ7PHF2XE59ECZ3MD04ZG1" hidden="1">#REF!</definedName>
    <definedName name="BEx3NMQ4BVC94728AUM7CCX7UHTU" localSheetId="8" hidden="1">#REF!</definedName>
    <definedName name="BEx3NMQ4BVC94728AUM7CCX7UHTU" localSheetId="19" hidden="1">#REF!</definedName>
    <definedName name="BEx3NMQ4BVC94728AUM7CCX7UHTU" hidden="1">#REF!</definedName>
    <definedName name="BEx3NR2I4OUFP3Z2QZEDU2PIFIDI" localSheetId="8" hidden="1">#REF!</definedName>
    <definedName name="BEx3NR2I4OUFP3Z2QZEDU2PIFIDI" localSheetId="19" hidden="1">#REF!</definedName>
    <definedName name="BEx3NR2I4OUFP3Z2QZEDU2PIFIDI" hidden="1">#REF!</definedName>
    <definedName name="BEx3O19B8FTTAPVT5DZXQGQXWFR8" localSheetId="8" hidden="1">#REF!</definedName>
    <definedName name="BEx3O19B8FTTAPVT5DZXQGQXWFR8" localSheetId="19" hidden="1">#REF!</definedName>
    <definedName name="BEx3O19B8FTTAPVT5DZXQGQXWFR8" hidden="1">#REF!</definedName>
    <definedName name="BEx3O85IKWARA6NCJOLRBRJFMEWW" localSheetId="8" hidden="1">#REF!</definedName>
    <definedName name="BEx3O85IKWARA6NCJOLRBRJFMEWW" localSheetId="19" hidden="1">#REF!</definedName>
    <definedName name="BEx3O85IKWARA6NCJOLRBRJFMEWW" hidden="1">#REF!</definedName>
    <definedName name="BEx3OJZSCGFRW7SVGBFI0X9DNVMM" localSheetId="8" hidden="1">#REF!</definedName>
    <definedName name="BEx3OJZSCGFRW7SVGBFI0X9DNVMM" localSheetId="19" hidden="1">#REF!</definedName>
    <definedName name="BEx3OJZSCGFRW7SVGBFI0X9DNVMM" hidden="1">#REF!</definedName>
    <definedName name="BEx3ORSBUXAF21MKEY90YJV9AY9A" localSheetId="8" hidden="1">#REF!</definedName>
    <definedName name="BEx3ORSBUXAF21MKEY90YJV9AY9A" localSheetId="19" hidden="1">#REF!</definedName>
    <definedName name="BEx3ORSBUXAF21MKEY90YJV9AY9A" hidden="1">#REF!</definedName>
    <definedName name="BEx3OUS0N576NJN078Y1BWUWQK6B" localSheetId="8" hidden="1">#REF!</definedName>
    <definedName name="BEx3OUS0N576NJN078Y1BWUWQK6B" localSheetId="19" hidden="1">#REF!</definedName>
    <definedName name="BEx3OUS0N576NJN078Y1BWUWQK6B" hidden="1">#REF!</definedName>
    <definedName name="BEx3OV8BH6PYNZT7C246LOAU9SVX" localSheetId="8" hidden="1">#REF!</definedName>
    <definedName name="BEx3OV8BH6PYNZT7C246LOAU9SVX" localSheetId="19" hidden="1">#REF!</definedName>
    <definedName name="BEx3OV8BH6PYNZT7C246LOAU9SVX" hidden="1">#REF!</definedName>
    <definedName name="BEx3OXRYJZUEY6E72UJU0PHLMYAR" localSheetId="8" hidden="1">#REF!</definedName>
    <definedName name="BEx3OXRYJZUEY6E72UJU0PHLMYAR" localSheetId="19" hidden="1">#REF!</definedName>
    <definedName name="BEx3OXRYJZUEY6E72UJU0PHLMYAR" hidden="1">#REF!</definedName>
    <definedName name="BEx3P3RP5PYI4BJVYGNU1V7KT5EH" localSheetId="8" hidden="1">#REF!</definedName>
    <definedName name="BEx3P3RP5PYI4BJVYGNU1V7KT5EH" localSheetId="19" hidden="1">#REF!</definedName>
    <definedName name="BEx3P3RP5PYI4BJVYGNU1V7KT5EH" hidden="1">#REF!</definedName>
    <definedName name="BEx3P59TTRSGQY888P5C1O7M2PQT" localSheetId="8" hidden="1">#REF!</definedName>
    <definedName name="BEx3P59TTRSGQY888P5C1O7M2PQT" localSheetId="19" hidden="1">#REF!</definedName>
    <definedName name="BEx3P59TTRSGQY888P5C1O7M2PQT" hidden="1">#REF!</definedName>
    <definedName name="BEx3PDNRRNKD5GOUBUQFXAHIXLD9" localSheetId="8" hidden="1">#REF!</definedName>
    <definedName name="BEx3PDNRRNKD5GOUBUQFXAHIXLD9" localSheetId="19" hidden="1">#REF!</definedName>
    <definedName name="BEx3PDNRRNKD5GOUBUQFXAHIXLD9" hidden="1">#REF!</definedName>
    <definedName name="BEx3PDT8GNPWLLN02IH1XPV90XYK" localSheetId="8" hidden="1">#REF!</definedName>
    <definedName name="BEx3PDT8GNPWLLN02IH1XPV90XYK" localSheetId="19" hidden="1">#REF!</definedName>
    <definedName name="BEx3PDT8GNPWLLN02IH1XPV90XYK" hidden="1">#REF!</definedName>
    <definedName name="BEx3PKEMDW8KZEP11IL927C5O7I2" localSheetId="8" hidden="1">#REF!</definedName>
    <definedName name="BEx3PKEMDW8KZEP11IL927C5O7I2" localSheetId="19" hidden="1">#REF!</definedName>
    <definedName name="BEx3PKEMDW8KZEP11IL927C5O7I2" hidden="1">#REF!</definedName>
    <definedName name="BEx3PKJZ1Z7L9S6KV8KXVS6B2FX4" localSheetId="8" hidden="1">#REF!</definedName>
    <definedName name="BEx3PKJZ1Z7L9S6KV8KXVS6B2FX4" localSheetId="19" hidden="1">#REF!</definedName>
    <definedName name="BEx3PKJZ1Z7L9S6KV8KXVS6B2FX4" hidden="1">#REF!</definedName>
    <definedName name="BEx3PMNG53Z5HY138H99QOMTX8W3" localSheetId="8" hidden="1">#REF!</definedName>
    <definedName name="BEx3PMNG53Z5HY138H99QOMTX8W3" localSheetId="19" hidden="1">#REF!</definedName>
    <definedName name="BEx3PMNG53Z5HY138H99QOMTX8W3" hidden="1">#REF!</definedName>
    <definedName name="BEx3PP1RRSFZ8UC0JC9R91W6LNKW" localSheetId="8" hidden="1">#REF!</definedName>
    <definedName name="BEx3PP1RRSFZ8UC0JC9R91W6LNKW" localSheetId="19" hidden="1">#REF!</definedName>
    <definedName name="BEx3PP1RRSFZ8UC0JC9R91W6LNKW" hidden="1">#REF!</definedName>
    <definedName name="BEx3PRQW017D7T1X732WDV7L1KP8" localSheetId="8" hidden="1">#REF!</definedName>
    <definedName name="BEx3PRQW017D7T1X732WDV7L1KP8" localSheetId="19" hidden="1">#REF!</definedName>
    <definedName name="BEx3PRQW017D7T1X732WDV7L1KP8" hidden="1">#REF!</definedName>
    <definedName name="BEx3PVXYZC8WB9ZJE7OCKUXZ46EA" localSheetId="8" hidden="1">#REF!</definedName>
    <definedName name="BEx3PVXYZC8WB9ZJE7OCKUXZ46EA" localSheetId="19" hidden="1">#REF!</definedName>
    <definedName name="BEx3PVXYZC8WB9ZJE7OCKUXZ46EA" hidden="1">#REF!</definedName>
    <definedName name="BEx3Q0VWPU5EQECK7MQ47TYJ3SWW" localSheetId="8" hidden="1">#REF!</definedName>
    <definedName name="BEx3Q0VWPU5EQECK7MQ47TYJ3SWW" localSheetId="19" hidden="1">#REF!</definedName>
    <definedName name="BEx3Q0VWPU5EQECK7MQ47TYJ3SWW" hidden="1">#REF!</definedName>
    <definedName name="BEx3Q7BZ9PUXK2RLIOFSIS9AHU1B" localSheetId="8" hidden="1">#REF!</definedName>
    <definedName name="BEx3Q7BZ9PUXK2RLIOFSIS9AHU1B" localSheetId="19" hidden="1">#REF!</definedName>
    <definedName name="BEx3Q7BZ9PUXK2RLIOFSIS9AHU1B" hidden="1">#REF!</definedName>
    <definedName name="BEx3Q8J42S9VU6EAN2Y28MR6DF88" localSheetId="8" hidden="1">#REF!</definedName>
    <definedName name="BEx3Q8J42S9VU6EAN2Y28MR6DF88" localSheetId="19" hidden="1">#REF!</definedName>
    <definedName name="BEx3Q8J42S9VU6EAN2Y28MR6DF88" hidden="1">#REF!</definedName>
    <definedName name="BEx3QCFD2TBUF95ZN83Q7JPV97FK" localSheetId="8" hidden="1">#REF!</definedName>
    <definedName name="BEx3QCFD2TBUF95ZN83Q7JPV97FK" localSheetId="19" hidden="1">#REF!</definedName>
    <definedName name="BEx3QCFD2TBUF95ZN83Q7JPV97FK" hidden="1">#REF!</definedName>
    <definedName name="BEx3QEDFOYFY5NBTININ5W4RLD4Q" localSheetId="8" hidden="1">#REF!</definedName>
    <definedName name="BEx3QEDFOYFY5NBTININ5W4RLD4Q" localSheetId="19" hidden="1">#REF!</definedName>
    <definedName name="BEx3QEDFOYFY5NBTININ5W4RLD4Q" hidden="1">#REF!</definedName>
    <definedName name="BEx3QIKJ3U962US1Q564NZDLU8LD" localSheetId="8" hidden="1">#REF!</definedName>
    <definedName name="BEx3QIKJ3U962US1Q564NZDLU8LD" localSheetId="19" hidden="1">#REF!</definedName>
    <definedName name="BEx3QIKJ3U962US1Q564NZDLU8LD" hidden="1">#REF!</definedName>
    <definedName name="BEx3QLF3RHHBNUFLUWEROBZDF1U4" localSheetId="8" hidden="1">#REF!</definedName>
    <definedName name="BEx3QLF3RHHBNUFLUWEROBZDF1U4" localSheetId="19" hidden="1">#REF!</definedName>
    <definedName name="BEx3QLF3RHHBNUFLUWEROBZDF1U4" hidden="1">#REF!</definedName>
    <definedName name="BEx3QR9D45DHW50VQ7Y3Q1AXPOB9" localSheetId="8" hidden="1">#REF!</definedName>
    <definedName name="BEx3QR9D45DHW50VQ7Y3Q1AXPOB9" localSheetId="19" hidden="1">#REF!</definedName>
    <definedName name="BEx3QR9D45DHW50VQ7Y3Q1AXPOB9" hidden="1">#REF!</definedName>
    <definedName name="BEx3QSWT2S5KWG6U2V9711IYDQBM" localSheetId="8" hidden="1">#REF!</definedName>
    <definedName name="BEx3QSWT2S5KWG6U2V9711IYDQBM" localSheetId="19" hidden="1">#REF!</definedName>
    <definedName name="BEx3QSWT2S5KWG6U2V9711IYDQBM" hidden="1">#REF!</definedName>
    <definedName name="BEx3QVGG7Q2X4HZHJAM35A8T3VR7" localSheetId="8" hidden="1">#REF!</definedName>
    <definedName name="BEx3QVGG7Q2X4HZHJAM35A8T3VR7" localSheetId="19" hidden="1">#REF!</definedName>
    <definedName name="BEx3QVGG7Q2X4HZHJAM35A8T3VR7" hidden="1">#REF!</definedName>
    <definedName name="BEx3R0JUB9YN8PHPPQTAMIT1IHWK" localSheetId="8" hidden="1">#REF!</definedName>
    <definedName name="BEx3R0JUB9YN8PHPPQTAMIT1IHWK" localSheetId="19" hidden="1">#REF!</definedName>
    <definedName name="BEx3R0JUB9YN8PHPPQTAMIT1IHWK" hidden="1">#REF!</definedName>
    <definedName name="BEx3R81NFRO7M81VHVKOBFT0QBIL" localSheetId="8" hidden="1">#REF!</definedName>
    <definedName name="BEx3R81NFRO7M81VHVKOBFT0QBIL" localSheetId="19" hidden="1">#REF!</definedName>
    <definedName name="BEx3R81NFRO7M81VHVKOBFT0QBIL" hidden="1">#REF!</definedName>
    <definedName name="BEx3RHC2ZD5UFS6QD4OPFCNNMWH1" localSheetId="8" hidden="1">#REF!</definedName>
    <definedName name="BEx3RHC2ZD5UFS6QD4OPFCNNMWH1" localSheetId="19" hidden="1">#REF!</definedName>
    <definedName name="BEx3RHC2ZD5UFS6QD4OPFCNNMWH1" hidden="1">#REF!</definedName>
    <definedName name="BEx3RQ10QIWBAPHALAA91BUUCM2X" localSheetId="8" hidden="1">#REF!</definedName>
    <definedName name="BEx3RQ10QIWBAPHALAA91BUUCM2X" localSheetId="19" hidden="1">#REF!</definedName>
    <definedName name="BEx3RQ10QIWBAPHALAA91BUUCM2X" hidden="1">#REF!</definedName>
    <definedName name="BEx3RV4E1WT43SZBUN09RTB8EK1O" localSheetId="8" hidden="1">#REF!</definedName>
    <definedName name="BEx3RV4E1WT43SZBUN09RTB8EK1O" localSheetId="19" hidden="1">#REF!</definedName>
    <definedName name="BEx3RV4E1WT43SZBUN09RTB8EK1O" hidden="1">#REF!</definedName>
    <definedName name="BEx3RXYU0QLFXSFTM5EB20GD03W5" localSheetId="8" hidden="1">#REF!</definedName>
    <definedName name="BEx3RXYU0QLFXSFTM5EB20GD03W5" localSheetId="19" hidden="1">#REF!</definedName>
    <definedName name="BEx3RXYU0QLFXSFTM5EB20GD03W5" hidden="1">#REF!</definedName>
    <definedName name="BEx3RYKLC3QQO3XTUN7BEW2AQL98" localSheetId="8" hidden="1">#REF!</definedName>
    <definedName name="BEx3RYKLC3QQO3XTUN7BEW2AQL98" localSheetId="19" hidden="1">#REF!</definedName>
    <definedName name="BEx3RYKLC3QQO3XTUN7BEW2AQL98" hidden="1">#REF!</definedName>
    <definedName name="BEx3S37QNFSKW3DGRH5YVVEZLJI7" localSheetId="8" hidden="1">#REF!</definedName>
    <definedName name="BEx3S37QNFSKW3DGRH5YVVEZLJI7" localSheetId="19" hidden="1">#REF!</definedName>
    <definedName name="BEx3S37QNFSKW3DGRH5YVVEZLJI7" hidden="1">#REF!</definedName>
    <definedName name="BEx3SICJ45BYT6FHBER86PJT25FC" localSheetId="8" hidden="1">#REF!</definedName>
    <definedName name="BEx3SICJ45BYT6FHBER86PJT25FC" localSheetId="19" hidden="1">#REF!</definedName>
    <definedName name="BEx3SICJ45BYT6FHBER86PJT25FC" hidden="1">#REF!</definedName>
    <definedName name="BEx3SMUCMJVGQ2H4EHQI5ZFHEF0P" localSheetId="8" hidden="1">#REF!</definedName>
    <definedName name="BEx3SMUCMJVGQ2H4EHQI5ZFHEF0P" localSheetId="19" hidden="1">#REF!</definedName>
    <definedName name="BEx3SMUCMJVGQ2H4EHQI5ZFHEF0P" hidden="1">#REF!</definedName>
    <definedName name="BEx3SN56F03CPDRDA7LZ763V0N4I" localSheetId="8" hidden="1">#REF!</definedName>
    <definedName name="BEx3SN56F03CPDRDA7LZ763V0N4I" localSheetId="19" hidden="1">#REF!</definedName>
    <definedName name="BEx3SN56F03CPDRDA7LZ763V0N4I" hidden="1">#REF!</definedName>
    <definedName name="BEx3SPE6N1ORXPRCDL3JPZD73Z9F" localSheetId="8" hidden="1">#REF!</definedName>
    <definedName name="BEx3SPE6N1ORXPRCDL3JPZD73Z9F" localSheetId="19" hidden="1">#REF!</definedName>
    <definedName name="BEx3SPE6N1ORXPRCDL3JPZD73Z9F" hidden="1">#REF!</definedName>
    <definedName name="BEx3T29ZTULQE0OMSMWUMZDU9ZZ0" localSheetId="8" hidden="1">#REF!</definedName>
    <definedName name="BEx3T29ZTULQE0OMSMWUMZDU9ZZ0" localSheetId="19" hidden="1">#REF!</definedName>
    <definedName name="BEx3T29ZTULQE0OMSMWUMZDU9ZZ0" hidden="1">#REF!</definedName>
    <definedName name="BEx3T6MJ1QDJ929WMUDVZ0O3UW0Y" localSheetId="8" hidden="1">#REF!</definedName>
    <definedName name="BEx3T6MJ1QDJ929WMUDVZ0O3UW0Y" localSheetId="19" hidden="1">#REF!</definedName>
    <definedName name="BEx3T6MJ1QDJ929WMUDVZ0O3UW0Y" hidden="1">#REF!</definedName>
    <definedName name="BEx3TD7WH1NN1OH0MRS4T8ENRU32" localSheetId="8" hidden="1">#REF!</definedName>
    <definedName name="BEx3TD7WH1NN1OH0MRS4T8ENRU32" localSheetId="19" hidden="1">#REF!</definedName>
    <definedName name="BEx3TD7WH1NN1OH0MRS4T8ENRU32" hidden="1">#REF!</definedName>
    <definedName name="BEx3TPCSI16OAB2L9M9IULQMQ9J9" localSheetId="8" hidden="1">#REF!</definedName>
    <definedName name="BEx3TPCSI16OAB2L9M9IULQMQ9J9" localSheetId="19" hidden="1">#REF!</definedName>
    <definedName name="BEx3TPCSI16OAB2L9M9IULQMQ9J9" hidden="1">#REF!</definedName>
    <definedName name="BEx3TQ3SFJB2WTCV0OXDE56FB46K" localSheetId="8" hidden="1">#REF!</definedName>
    <definedName name="BEx3TQ3SFJB2WTCV0OXDE56FB46K" localSheetId="19" hidden="1">#REF!</definedName>
    <definedName name="BEx3TQ3SFJB2WTCV0OXDE56FB46K" hidden="1">#REF!</definedName>
    <definedName name="BEx3TX59M3456DDBXWFJ8X2TU37A" localSheetId="8" hidden="1">#REF!</definedName>
    <definedName name="BEx3TX59M3456DDBXWFJ8X2TU37A" localSheetId="19" hidden="1">#REF!</definedName>
    <definedName name="BEx3TX59M3456DDBXWFJ8X2TU37A" hidden="1">#REF!</definedName>
    <definedName name="BEx3U2UBY80GPGSTYFGI6F8TPKCV" localSheetId="8" hidden="1">#REF!</definedName>
    <definedName name="BEx3U2UBY80GPGSTYFGI6F8TPKCV" localSheetId="19" hidden="1">#REF!</definedName>
    <definedName name="BEx3U2UBY80GPGSTYFGI6F8TPKCV" hidden="1">#REF!</definedName>
    <definedName name="BEx3U64YUOZ419BAJS2W78UMATAW" localSheetId="8" hidden="1">#REF!</definedName>
    <definedName name="BEx3U64YUOZ419BAJS2W78UMATAW" localSheetId="19" hidden="1">#REF!</definedName>
    <definedName name="BEx3U64YUOZ419BAJS2W78UMATAW" hidden="1">#REF!</definedName>
    <definedName name="BEx3U94WCEA5DKMWBEX1GU0LKYG2" localSheetId="8" hidden="1">#REF!</definedName>
    <definedName name="BEx3U94WCEA5DKMWBEX1GU0LKYG2" localSheetId="19" hidden="1">#REF!</definedName>
    <definedName name="BEx3U94WCEA5DKMWBEX1GU0LKYG2" hidden="1">#REF!</definedName>
    <definedName name="BEx3U9VZ8SQVYS6ZA038J7AP7ZGW" localSheetId="8" hidden="1">#REF!</definedName>
    <definedName name="BEx3U9VZ8SQVYS6ZA038J7AP7ZGW" localSheetId="19" hidden="1">#REF!</definedName>
    <definedName name="BEx3U9VZ8SQVYS6ZA038J7AP7ZGW" hidden="1">#REF!</definedName>
    <definedName name="BEx3UIQ5WRJBGNTFCCLOR4N7B1OQ" localSheetId="8" hidden="1">#REF!</definedName>
    <definedName name="BEx3UIQ5WRJBGNTFCCLOR4N7B1OQ" localSheetId="19" hidden="1">#REF!</definedName>
    <definedName name="BEx3UIQ5WRJBGNTFCCLOR4N7B1OQ" hidden="1">#REF!</definedName>
    <definedName name="BEx3UJMIX2NUSSWGMSI25A5DM4CH" localSheetId="8" hidden="1">#REF!</definedName>
    <definedName name="BEx3UJMIX2NUSSWGMSI25A5DM4CH" localSheetId="19" hidden="1">#REF!</definedName>
    <definedName name="BEx3UJMIX2NUSSWGMSI25A5DM4CH" hidden="1">#REF!</definedName>
    <definedName name="BEx3UKIX0UULWP3BZA8VT2SQ8WI7" localSheetId="8" hidden="1">#REF!</definedName>
    <definedName name="BEx3UKIX0UULWP3BZA8VT2SQ8WI7" localSheetId="19" hidden="1">#REF!</definedName>
    <definedName name="BEx3UKIX0UULWP3BZA8VT2SQ8WI7" hidden="1">#REF!</definedName>
    <definedName name="BEx3UKOCOQG7S1YQ436S997K1KWV" localSheetId="8" hidden="1">#REF!</definedName>
    <definedName name="BEx3UKOCOQG7S1YQ436S997K1KWV" localSheetId="19" hidden="1">#REF!</definedName>
    <definedName name="BEx3UKOCOQG7S1YQ436S997K1KWV" hidden="1">#REF!</definedName>
    <definedName name="BEx3UNISOEXF3OFHT2BUA6P9RBIJ" localSheetId="8" hidden="1">#REF!</definedName>
    <definedName name="BEx3UNISOEXF3OFHT2BUA6P9RBIJ" localSheetId="19" hidden="1">#REF!</definedName>
    <definedName name="BEx3UNISOEXF3OFHT2BUA6P9RBIJ" hidden="1">#REF!</definedName>
    <definedName name="BEx3UYM19VIXLA0EU7LB9NHA77PB" localSheetId="8" hidden="1">#REF!</definedName>
    <definedName name="BEx3UYM19VIXLA0EU7LB9NHA77PB" localSheetId="19" hidden="1">#REF!</definedName>
    <definedName name="BEx3UYM19VIXLA0EU7LB9NHA77PB" hidden="1">#REF!</definedName>
    <definedName name="BEx3VML7CG70HPISMVYIUEN3711Q" localSheetId="8" hidden="1">#REF!</definedName>
    <definedName name="BEx3VML7CG70HPISMVYIUEN3711Q" localSheetId="19" hidden="1">#REF!</definedName>
    <definedName name="BEx3VML7CG70HPISMVYIUEN3711Q" hidden="1">#REF!</definedName>
    <definedName name="BEx56ZID5H04P9AIYLP1OASFGV56" localSheetId="8" hidden="1">#REF!</definedName>
    <definedName name="BEx56ZID5H04P9AIYLP1OASFGV56" localSheetId="19" hidden="1">#REF!</definedName>
    <definedName name="BEx56ZID5H04P9AIYLP1OASFGV56" hidden="1">#REF!</definedName>
    <definedName name="BEx57ROM8UIFKV5C1BOZWSQQLESO" localSheetId="8" hidden="1">#REF!</definedName>
    <definedName name="BEx57ROM8UIFKV5C1BOZWSQQLESO" localSheetId="19" hidden="1">#REF!</definedName>
    <definedName name="BEx57ROM8UIFKV5C1BOZWSQQLESO" hidden="1">#REF!</definedName>
    <definedName name="BEx587EYSS57E3PI8DT973HLJM9E" localSheetId="8" hidden="1">#REF!</definedName>
    <definedName name="BEx587EYSS57E3PI8DT973HLJM9E" localSheetId="19" hidden="1">#REF!</definedName>
    <definedName name="BEx587EYSS57E3PI8DT973HLJM9E" hidden="1">#REF!</definedName>
    <definedName name="BEx587KFQ3VKCOCY1SA5F24PQGUI" localSheetId="8" hidden="1">#REF!</definedName>
    <definedName name="BEx587KFQ3VKCOCY1SA5F24PQGUI" localSheetId="19" hidden="1">#REF!</definedName>
    <definedName name="BEx587KFQ3VKCOCY1SA5F24PQGUI" hidden="1">#REF!</definedName>
    <definedName name="BEx58O780PQ05NF0Z1SKKRB3N099" localSheetId="8" hidden="1">#REF!</definedName>
    <definedName name="BEx58O780PQ05NF0Z1SKKRB3N099" localSheetId="19" hidden="1">#REF!</definedName>
    <definedName name="BEx58O780PQ05NF0Z1SKKRB3N099" hidden="1">#REF!</definedName>
    <definedName name="BEx58W57CTL8HFK3U7ZRFYZR6MXE" localSheetId="8" hidden="1">#REF!</definedName>
    <definedName name="BEx58W57CTL8HFK3U7ZRFYZR6MXE" localSheetId="19" hidden="1">#REF!</definedName>
    <definedName name="BEx58W57CTL8HFK3U7ZRFYZR6MXE" hidden="1">#REF!</definedName>
    <definedName name="BEx58XHO7ZULLF2EUD7YIS0MGQJ5" localSheetId="8" hidden="1">#REF!</definedName>
    <definedName name="BEx58XHO7ZULLF2EUD7YIS0MGQJ5" localSheetId="19" hidden="1">#REF!</definedName>
    <definedName name="BEx58XHO7ZULLF2EUD7YIS0MGQJ5" hidden="1">#REF!</definedName>
    <definedName name="BEx58ZAFNTMGBNDH52VUYXLRJO7P" localSheetId="8" hidden="1">#REF!</definedName>
    <definedName name="BEx58ZAFNTMGBNDH52VUYXLRJO7P" localSheetId="19" hidden="1">#REF!</definedName>
    <definedName name="BEx58ZAFNTMGBNDH52VUYXLRJO7P" hidden="1">#REF!</definedName>
    <definedName name="BEx58ZW0HAIGIPEX9CVA1PQQTR6X" localSheetId="8" hidden="1">#REF!</definedName>
    <definedName name="BEx58ZW0HAIGIPEX9CVA1PQQTR6X" localSheetId="19" hidden="1">#REF!</definedName>
    <definedName name="BEx58ZW0HAIGIPEX9CVA1PQQTR6X" hidden="1">#REF!</definedName>
    <definedName name="BEx593SAFVYKW7V61D9COEZJXDA7" localSheetId="8" hidden="1">#REF!</definedName>
    <definedName name="BEx593SAFVYKW7V61D9COEZJXDA7" localSheetId="19" hidden="1">#REF!</definedName>
    <definedName name="BEx593SAFVYKW7V61D9COEZJXDA7" hidden="1">#REF!</definedName>
    <definedName name="BEx59BA1KH3RG6K1LHL7YS2VB79N" localSheetId="8" hidden="1">#REF!</definedName>
    <definedName name="BEx59BA1KH3RG6K1LHL7YS2VB79N" localSheetId="19" hidden="1">#REF!</definedName>
    <definedName name="BEx59BA1KH3RG6K1LHL7YS2VB79N" hidden="1">#REF!</definedName>
    <definedName name="BEx59DDIU0AMFOY94NSP1ULST8JD" localSheetId="8" hidden="1">#REF!</definedName>
    <definedName name="BEx59DDIU0AMFOY94NSP1ULST8JD" localSheetId="19" hidden="1">#REF!</definedName>
    <definedName name="BEx59DDIU0AMFOY94NSP1ULST8JD" hidden="1">#REF!</definedName>
    <definedName name="BEx59E9WABJP2TN71QAIKK79HPK9" localSheetId="8" hidden="1">#REF!</definedName>
    <definedName name="BEx59E9WABJP2TN71QAIKK79HPK9" localSheetId="19" hidden="1">#REF!</definedName>
    <definedName name="BEx59E9WABJP2TN71QAIKK79HPK9" hidden="1">#REF!</definedName>
    <definedName name="BEx59F0T17A80RNLNSZNFX8NAO8Y" localSheetId="8" hidden="1">#REF!</definedName>
    <definedName name="BEx59F0T17A80RNLNSZNFX8NAO8Y" localSheetId="19" hidden="1">#REF!</definedName>
    <definedName name="BEx59F0T17A80RNLNSZNFX8NAO8Y" hidden="1">#REF!</definedName>
    <definedName name="BEx59P7MAPNU129ZTC5H3EH892G1" localSheetId="8" hidden="1">#REF!</definedName>
    <definedName name="BEx59P7MAPNU129ZTC5H3EH892G1" localSheetId="19" hidden="1">#REF!</definedName>
    <definedName name="BEx59P7MAPNU129ZTC5H3EH892G1" hidden="1">#REF!</definedName>
    <definedName name="BEx5A11WZRQSIE089QE119AOX9ZG" localSheetId="8" hidden="1">#REF!</definedName>
    <definedName name="BEx5A11WZRQSIE089QE119AOX9ZG" localSheetId="19" hidden="1">#REF!</definedName>
    <definedName name="BEx5A11WZRQSIE089QE119AOX9ZG" hidden="1">#REF!</definedName>
    <definedName name="BEx5A7CIGCOTHJKHGUBDZG91JGPZ" localSheetId="8" hidden="1">#REF!</definedName>
    <definedName name="BEx5A7CIGCOTHJKHGUBDZG91JGPZ" localSheetId="19" hidden="1">#REF!</definedName>
    <definedName name="BEx5A7CIGCOTHJKHGUBDZG91JGPZ" hidden="1">#REF!</definedName>
    <definedName name="BEx5A8UFLT2SWVSG5COFA9B8P376" localSheetId="8" hidden="1">#REF!</definedName>
    <definedName name="BEx5A8UFLT2SWVSG5COFA9B8P376" localSheetId="19" hidden="1">#REF!</definedName>
    <definedName name="BEx5A8UFLT2SWVSG5COFA9B8P376" hidden="1">#REF!</definedName>
    <definedName name="BEx5ABUBK8WJV1WILGYU9A7CO0KI" localSheetId="8" hidden="1">#REF!</definedName>
    <definedName name="BEx5ABUBK8WJV1WILGYU9A7CO0KI" localSheetId="19" hidden="1">#REF!</definedName>
    <definedName name="BEx5ABUBK8WJV1WILGYU9A7CO0KI" hidden="1">#REF!</definedName>
    <definedName name="BEx5AFFTN3IXIBHDKM0FYC4OFL1S" localSheetId="8" hidden="1">#REF!</definedName>
    <definedName name="BEx5AFFTN3IXIBHDKM0FYC4OFL1S" localSheetId="19" hidden="1">#REF!</definedName>
    <definedName name="BEx5AFFTN3IXIBHDKM0FYC4OFL1S" hidden="1">#REF!</definedName>
    <definedName name="BEx5AOFIO8KVRHIZ1RII337AA8ML" localSheetId="8" hidden="1">#REF!</definedName>
    <definedName name="BEx5AOFIO8KVRHIZ1RII337AA8ML" localSheetId="19" hidden="1">#REF!</definedName>
    <definedName name="BEx5AOFIO8KVRHIZ1RII337AA8ML" hidden="1">#REF!</definedName>
    <definedName name="BEx5APRZ66L5BWHFE8E4YYNEDTI4" localSheetId="8" hidden="1">#REF!</definedName>
    <definedName name="BEx5APRZ66L5BWHFE8E4YYNEDTI4" localSheetId="19" hidden="1">#REF!</definedName>
    <definedName name="BEx5APRZ66L5BWHFE8E4YYNEDTI4" hidden="1">#REF!</definedName>
    <definedName name="BEx5AQJ1Z64KY10P8ZF1JKJUFEGN" localSheetId="8" hidden="1">#REF!</definedName>
    <definedName name="BEx5AQJ1Z64KY10P8ZF1JKJUFEGN" localSheetId="19" hidden="1">#REF!</definedName>
    <definedName name="BEx5AQJ1Z64KY10P8ZF1JKJUFEGN" hidden="1">#REF!</definedName>
    <definedName name="BEx5AY62R0TL82VHXE37SCZCINQC" localSheetId="8" hidden="1">#REF!</definedName>
    <definedName name="BEx5AY62R0TL82VHXE37SCZCINQC" localSheetId="19" hidden="1">#REF!</definedName>
    <definedName name="BEx5AY62R0TL82VHXE37SCZCINQC" hidden="1">#REF!</definedName>
    <definedName name="BEx5B0PV1FCOUSHWQTY94AO0B8P0" localSheetId="8" hidden="1">#REF!</definedName>
    <definedName name="BEx5B0PV1FCOUSHWQTY94AO0B8P0" localSheetId="19" hidden="1">#REF!</definedName>
    <definedName name="BEx5B0PV1FCOUSHWQTY94AO0B8P0" hidden="1">#REF!</definedName>
    <definedName name="BEx5B4RHHX0J1BF2FZKEA0SPP29O" localSheetId="8" hidden="1">#REF!</definedName>
    <definedName name="BEx5B4RHHX0J1BF2FZKEA0SPP29O" localSheetId="19" hidden="1">#REF!</definedName>
    <definedName name="BEx5B4RHHX0J1BF2FZKEA0SPP29O" hidden="1">#REF!</definedName>
    <definedName name="BEx5B5YMSWP0OVI5CIQRP5V18D0C" localSheetId="8" hidden="1">#REF!</definedName>
    <definedName name="BEx5B5YMSWP0OVI5CIQRP5V18D0C" localSheetId="19" hidden="1">#REF!</definedName>
    <definedName name="BEx5B5YMSWP0OVI5CIQRP5V18D0C" hidden="1">#REF!</definedName>
    <definedName name="BEx5B825RW35M5H0UB2IZGGRS4ER" localSheetId="8" hidden="1">#REF!</definedName>
    <definedName name="BEx5B825RW35M5H0UB2IZGGRS4ER" localSheetId="19" hidden="1">#REF!</definedName>
    <definedName name="BEx5B825RW35M5H0UB2IZGGRS4ER" hidden="1">#REF!</definedName>
    <definedName name="BEx5BAWPMY0TL684WDXX6KKJLRCN" localSheetId="8" hidden="1">#REF!</definedName>
    <definedName name="BEx5BAWPMY0TL684WDXX6KKJLRCN" localSheetId="19" hidden="1">#REF!</definedName>
    <definedName name="BEx5BAWPMY0TL684WDXX6KKJLRCN" hidden="1">#REF!</definedName>
    <definedName name="BEx5BBCUOWR6J9MZS2ML5XB0X7MW" localSheetId="8" hidden="1">#REF!</definedName>
    <definedName name="BEx5BBCUOWR6J9MZS2ML5XB0X7MW" localSheetId="19" hidden="1">#REF!</definedName>
    <definedName name="BEx5BBCUOWR6J9MZS2ML5XB0X7MW" hidden="1">#REF!</definedName>
    <definedName name="BEx5BBI61U4Y65GD0ARMTALPP7SJ" localSheetId="8" hidden="1">#REF!</definedName>
    <definedName name="BEx5BBI61U4Y65GD0ARMTALPP7SJ" localSheetId="19" hidden="1">#REF!</definedName>
    <definedName name="BEx5BBI61U4Y65GD0ARMTALPP7SJ" hidden="1">#REF!</definedName>
    <definedName name="BEx5BDR56MEV4IHY6CIH2SVNG1UB" localSheetId="8" hidden="1">#REF!</definedName>
    <definedName name="BEx5BDR56MEV4IHY6CIH2SVNG1UB" localSheetId="19" hidden="1">#REF!</definedName>
    <definedName name="BEx5BDR56MEV4IHY6CIH2SVNG1UB" hidden="1">#REF!</definedName>
    <definedName name="BEx5BESZC5H329SKHGJOHZFILYJJ" localSheetId="8" hidden="1">#REF!</definedName>
    <definedName name="BEx5BESZC5H329SKHGJOHZFILYJJ" localSheetId="19" hidden="1">#REF!</definedName>
    <definedName name="BEx5BESZC5H329SKHGJOHZFILYJJ" hidden="1">#REF!</definedName>
    <definedName name="BEx5BHSQ42B50IU1TEQFUXFX9XQD" localSheetId="8" hidden="1">#REF!</definedName>
    <definedName name="BEx5BHSQ42B50IU1TEQFUXFX9XQD" localSheetId="19" hidden="1">#REF!</definedName>
    <definedName name="BEx5BHSQ42B50IU1TEQFUXFX9XQD" hidden="1">#REF!</definedName>
    <definedName name="BEx5BKSM4UN4C1DM3EYKM79MRC5K" localSheetId="8" hidden="1">#REF!</definedName>
    <definedName name="BEx5BKSM4UN4C1DM3EYKM79MRC5K" localSheetId="19" hidden="1">#REF!</definedName>
    <definedName name="BEx5BKSM4UN4C1DM3EYKM79MRC5K" hidden="1">#REF!</definedName>
    <definedName name="BEx5BNN8NPH9KVOBARB9CDD9WLB6" localSheetId="8" hidden="1">#REF!</definedName>
    <definedName name="BEx5BNN8NPH9KVOBARB9CDD9WLB6" localSheetId="19" hidden="1">#REF!</definedName>
    <definedName name="BEx5BNN8NPH9KVOBARB9CDD9WLB6" hidden="1">#REF!</definedName>
    <definedName name="BEx5BPLEZ8XY6S89R7AZQSKLT4HK" localSheetId="8" hidden="1">#REF!</definedName>
    <definedName name="BEx5BPLEZ8XY6S89R7AZQSKLT4HK" localSheetId="19" hidden="1">#REF!</definedName>
    <definedName name="BEx5BPLEZ8XY6S89R7AZQSKLT4HK" hidden="1">#REF!</definedName>
    <definedName name="BEx5BYFMZ80TDDN2EZO8CF39AIAC" localSheetId="8" hidden="1">#REF!</definedName>
    <definedName name="BEx5BYFMZ80TDDN2EZO8CF39AIAC" localSheetId="19" hidden="1">#REF!</definedName>
    <definedName name="BEx5BYFMZ80TDDN2EZO8CF39AIAC" hidden="1">#REF!</definedName>
    <definedName name="BEx5C2BWFW6SHZBFDEISKGXHZCQW" localSheetId="8" hidden="1">#REF!</definedName>
    <definedName name="BEx5C2BWFW6SHZBFDEISKGXHZCQW" localSheetId="19" hidden="1">#REF!</definedName>
    <definedName name="BEx5C2BWFW6SHZBFDEISKGXHZCQW" hidden="1">#REF!</definedName>
    <definedName name="BEx5C44NK782B81CBGQUDS6Z8MV9" localSheetId="8" hidden="1">#REF!</definedName>
    <definedName name="BEx5C44NK782B81CBGQUDS6Z8MV9" localSheetId="19" hidden="1">#REF!</definedName>
    <definedName name="BEx5C44NK782B81CBGQUDS6Z8MV9" hidden="1">#REF!</definedName>
    <definedName name="BEx5C49ZFH8TO9ZU55729C3F7XG7" localSheetId="8" hidden="1">#REF!</definedName>
    <definedName name="BEx5C49ZFH8TO9ZU55729C3F7XG7" localSheetId="19" hidden="1">#REF!</definedName>
    <definedName name="BEx5C49ZFH8TO9ZU55729C3F7XG7" hidden="1">#REF!</definedName>
    <definedName name="BEx5C8GZQK13G60ZM70P63I5OS0L" localSheetId="8" hidden="1">#REF!</definedName>
    <definedName name="BEx5C8GZQK13G60ZM70P63I5OS0L" localSheetId="19" hidden="1">#REF!</definedName>
    <definedName name="BEx5C8GZQK13G60ZM70P63I5OS0L" hidden="1">#REF!</definedName>
    <definedName name="BEx5CAPTVN2NBT3UOMA1UFAL1C2R" localSheetId="8" hidden="1">#REF!</definedName>
    <definedName name="BEx5CAPTVN2NBT3UOMA1UFAL1C2R" localSheetId="19" hidden="1">#REF!</definedName>
    <definedName name="BEx5CAPTVN2NBT3UOMA1UFAL1C2R" hidden="1">#REF!</definedName>
    <definedName name="BEx5CEM3SYF9XP0ZZVE0GEPCLV3F" localSheetId="8" hidden="1">#REF!</definedName>
    <definedName name="BEx5CEM3SYF9XP0ZZVE0GEPCLV3F" localSheetId="19" hidden="1">#REF!</definedName>
    <definedName name="BEx5CEM3SYF9XP0ZZVE0GEPCLV3F" hidden="1">#REF!</definedName>
    <definedName name="BEx5CFYQ0F1Z6P8SCVJ0I3UPVFE4" localSheetId="8" hidden="1">#REF!</definedName>
    <definedName name="BEx5CFYQ0F1Z6P8SCVJ0I3UPVFE4" localSheetId="19" hidden="1">#REF!</definedName>
    <definedName name="BEx5CFYQ0F1Z6P8SCVJ0I3UPVFE4" hidden="1">#REF!</definedName>
    <definedName name="BEx5CPEKNSJORIPFQC2E1LTRYY8L" localSheetId="8" hidden="1">#REF!</definedName>
    <definedName name="BEx5CPEKNSJORIPFQC2E1LTRYY8L" localSheetId="19" hidden="1">#REF!</definedName>
    <definedName name="BEx5CPEKNSJORIPFQC2E1LTRYY8L" hidden="1">#REF!</definedName>
    <definedName name="BEx5CSUOL05D8PAM2TRDA9VRJT1O" localSheetId="8" hidden="1">#REF!</definedName>
    <definedName name="BEx5CSUOL05D8PAM2TRDA9VRJT1O" localSheetId="19" hidden="1">#REF!</definedName>
    <definedName name="BEx5CSUOL05D8PAM2TRDA9VRJT1O" hidden="1">#REF!</definedName>
    <definedName name="BEx5CUNFOO4YDFJ22HCMI2QKIGKM" localSheetId="8" hidden="1">#REF!</definedName>
    <definedName name="BEx5CUNFOO4YDFJ22HCMI2QKIGKM" localSheetId="19" hidden="1">#REF!</definedName>
    <definedName name="BEx5CUNFOO4YDFJ22HCMI2QKIGKM" hidden="1">#REF!</definedName>
    <definedName name="BEx5D01O3G6BXWXT7MZEVS1F4TE9" localSheetId="8" hidden="1">#REF!</definedName>
    <definedName name="BEx5D01O3G6BXWXT7MZEVS1F4TE9" localSheetId="19" hidden="1">#REF!</definedName>
    <definedName name="BEx5D01O3G6BXWXT7MZEVS1F4TE9" hidden="1">#REF!</definedName>
    <definedName name="BEx5D3HO5XE85AN0NGALZ4K4GE8J" localSheetId="8" hidden="1">#REF!</definedName>
    <definedName name="BEx5D3HO5XE85AN0NGALZ4K4GE8J" localSheetId="19" hidden="1">#REF!</definedName>
    <definedName name="BEx5D3HO5XE85AN0NGALZ4K4GE8J" hidden="1">#REF!</definedName>
    <definedName name="BEx5D8L47OF0WHBPFWXGZINZWUBZ" localSheetId="8" hidden="1">#REF!</definedName>
    <definedName name="BEx5D8L47OF0WHBPFWXGZINZWUBZ" localSheetId="19" hidden="1">#REF!</definedName>
    <definedName name="BEx5D8L47OF0WHBPFWXGZINZWUBZ" hidden="1">#REF!</definedName>
    <definedName name="BEx5DAJAHQ2SKUPCKSCR3PYML67L" localSheetId="8" hidden="1">#REF!</definedName>
    <definedName name="BEx5DAJAHQ2SKUPCKSCR3PYML67L" localSheetId="19" hidden="1">#REF!</definedName>
    <definedName name="BEx5DAJAHQ2SKUPCKSCR3PYML67L" hidden="1">#REF!</definedName>
    <definedName name="BEx5DC18JM1KJCV44PF18E0LNRKA" localSheetId="8" hidden="1">#REF!</definedName>
    <definedName name="BEx5DC18JM1KJCV44PF18E0LNRKA" localSheetId="19" hidden="1">#REF!</definedName>
    <definedName name="BEx5DC18JM1KJCV44PF18E0LNRKA" hidden="1">#REF!</definedName>
    <definedName name="BEx5DFH8EU3RCPUOTFY8S9G8SBCG" localSheetId="8" hidden="1">#REF!</definedName>
    <definedName name="BEx5DFH8EU3RCPUOTFY8S9G8SBCG" localSheetId="19" hidden="1">#REF!</definedName>
    <definedName name="BEx5DFH8EU3RCPUOTFY8S9G8SBCG" hidden="1">#REF!</definedName>
    <definedName name="BEx5DJIZBTNS011R9IIG2OQ2L6ZX" localSheetId="8" hidden="1">#REF!</definedName>
    <definedName name="BEx5DJIZBTNS011R9IIG2OQ2L6ZX" localSheetId="19" hidden="1">#REF!</definedName>
    <definedName name="BEx5DJIZBTNS011R9IIG2OQ2L6ZX" hidden="1">#REF!</definedName>
    <definedName name="BEx5DS2EKWFPC2UWI1W1QESX9QP5" localSheetId="8" hidden="1">#REF!</definedName>
    <definedName name="BEx5DS2EKWFPC2UWI1W1QESX9QP5" localSheetId="19" hidden="1">#REF!</definedName>
    <definedName name="BEx5DS2EKWFPC2UWI1W1QESX9QP5" hidden="1">#REF!</definedName>
    <definedName name="BEx5E123OLO9WQUOIRIDJ967KAGK" localSheetId="8" hidden="1">#REF!</definedName>
    <definedName name="BEx5E123OLO9WQUOIRIDJ967KAGK" localSheetId="19" hidden="1">#REF!</definedName>
    <definedName name="BEx5E123OLO9WQUOIRIDJ967KAGK" hidden="1">#REF!</definedName>
    <definedName name="BEx5E2UU5NES6W779W2OZTZOB4O7" localSheetId="8" hidden="1">#REF!</definedName>
    <definedName name="BEx5E2UU5NES6W779W2OZTZOB4O7" localSheetId="19" hidden="1">#REF!</definedName>
    <definedName name="BEx5E2UU5NES6W779W2OZTZOB4O7" hidden="1">#REF!</definedName>
    <definedName name="BEx5ELFT92WAQN3NW8COIMQHUL91" localSheetId="8" hidden="1">#REF!</definedName>
    <definedName name="BEx5ELFT92WAQN3NW8COIMQHUL91" localSheetId="19" hidden="1">#REF!</definedName>
    <definedName name="BEx5ELFT92WAQN3NW8COIMQHUL91" hidden="1">#REF!</definedName>
    <definedName name="BEx5ELQL9B0VR6UT18KP11DHOTFX" localSheetId="8" hidden="1">#REF!</definedName>
    <definedName name="BEx5ELQL9B0VR6UT18KP11DHOTFX" localSheetId="19" hidden="1">#REF!</definedName>
    <definedName name="BEx5ELQL9B0VR6UT18KP11DHOTFX" hidden="1">#REF!</definedName>
    <definedName name="BEx5ER4TJTFPN7IB1MNEB1ZFR5M6" localSheetId="8" hidden="1">#REF!</definedName>
    <definedName name="BEx5ER4TJTFPN7IB1MNEB1ZFR5M6" localSheetId="19" hidden="1">#REF!</definedName>
    <definedName name="BEx5ER4TJTFPN7IB1MNEB1ZFR5M6" hidden="1">#REF!</definedName>
    <definedName name="BEx5EYXB2LDMI4FLC3QFAOXC0FZ3" localSheetId="8" hidden="1">#REF!</definedName>
    <definedName name="BEx5EYXB2LDMI4FLC3QFAOXC0FZ3" localSheetId="19" hidden="1">#REF!</definedName>
    <definedName name="BEx5EYXB2LDMI4FLC3QFAOXC0FZ3" hidden="1">#REF!</definedName>
    <definedName name="BEx5F6V72QTCK7O39Y59R0EVM6CW" localSheetId="8" hidden="1">#REF!</definedName>
    <definedName name="BEx5F6V72QTCK7O39Y59R0EVM6CW" localSheetId="19" hidden="1">#REF!</definedName>
    <definedName name="BEx5F6V72QTCK7O39Y59R0EVM6CW" hidden="1">#REF!</definedName>
    <definedName name="BEx5FGLQVACD5F5YZG4DGSCHCGO2" localSheetId="8" hidden="1">#REF!</definedName>
    <definedName name="BEx5FGLQVACD5F5YZG4DGSCHCGO2" localSheetId="19" hidden="1">#REF!</definedName>
    <definedName name="BEx5FGLQVACD5F5YZG4DGSCHCGO2" hidden="1">#REF!</definedName>
    <definedName name="BEx5FHCTE8VTJEF7IK189AVLNYSY" localSheetId="8" hidden="1">#REF!</definedName>
    <definedName name="BEx5FHCTE8VTJEF7IK189AVLNYSY" localSheetId="19" hidden="1">#REF!</definedName>
    <definedName name="BEx5FHCTE8VTJEF7IK189AVLNYSY" hidden="1">#REF!</definedName>
    <definedName name="BEx5FLJWHLW3BTZILDPN5NMA449V" localSheetId="8" hidden="1">#REF!</definedName>
    <definedName name="BEx5FLJWHLW3BTZILDPN5NMA449V" localSheetId="19" hidden="1">#REF!</definedName>
    <definedName name="BEx5FLJWHLW3BTZILDPN5NMA449V" hidden="1">#REF!</definedName>
    <definedName name="BEx5FNI2O10YN2SI1NO4X5GP3GTF" localSheetId="8" hidden="1">#REF!</definedName>
    <definedName name="BEx5FNI2O10YN2SI1NO4X5GP3GTF" localSheetId="19" hidden="1">#REF!</definedName>
    <definedName name="BEx5FNI2O10YN2SI1NO4X5GP3GTF" hidden="1">#REF!</definedName>
    <definedName name="BEx5FO8YRFSZCG3L608EHIHIHFY4" localSheetId="8" hidden="1">#REF!</definedName>
    <definedName name="BEx5FO8YRFSZCG3L608EHIHIHFY4" localSheetId="19" hidden="1">#REF!</definedName>
    <definedName name="BEx5FO8YRFSZCG3L608EHIHIHFY4" hidden="1">#REF!</definedName>
    <definedName name="BEx5FQNA6V4CNYSH013K45RI4BCV" localSheetId="8" hidden="1">#REF!</definedName>
    <definedName name="BEx5FQNA6V4CNYSH013K45RI4BCV" localSheetId="19" hidden="1">#REF!</definedName>
    <definedName name="BEx5FQNA6V4CNYSH013K45RI4BCV" hidden="1">#REF!</definedName>
    <definedName name="BEx5FVQPPEU32CPNV9RRQ9MNLLVE" localSheetId="8" hidden="1">#REF!</definedName>
    <definedName name="BEx5FVQPPEU32CPNV9RRQ9MNLLVE" localSheetId="19" hidden="1">#REF!</definedName>
    <definedName name="BEx5FVQPPEU32CPNV9RRQ9MNLLVE" hidden="1">#REF!</definedName>
    <definedName name="BEx5G08KGMG5X2AQKDGPFYG5GH94" localSheetId="8" hidden="1">#REF!</definedName>
    <definedName name="BEx5G08KGMG5X2AQKDGPFYG5GH94" localSheetId="19" hidden="1">#REF!</definedName>
    <definedName name="BEx5G08KGMG5X2AQKDGPFYG5GH94" hidden="1">#REF!</definedName>
    <definedName name="BEx5G1A8TFN4C4QII35U9DKYNIS8" localSheetId="8" hidden="1">#REF!</definedName>
    <definedName name="BEx5G1A8TFN4C4QII35U9DKYNIS8" localSheetId="19" hidden="1">#REF!</definedName>
    <definedName name="BEx5G1A8TFN4C4QII35U9DKYNIS8" hidden="1">#REF!</definedName>
    <definedName name="BEx5G1L0QO91KEPDMV1D8OT4BT73" localSheetId="8" hidden="1">#REF!</definedName>
    <definedName name="BEx5G1L0QO91KEPDMV1D8OT4BT73" localSheetId="19" hidden="1">#REF!</definedName>
    <definedName name="BEx5G1L0QO91KEPDMV1D8OT4BT73" hidden="1">#REF!</definedName>
    <definedName name="BEx5G1QHX69GFUYHUZA5X74MTDMR" localSheetId="8" hidden="1">#REF!</definedName>
    <definedName name="BEx5G1QHX69GFUYHUZA5X74MTDMR" localSheetId="19" hidden="1">#REF!</definedName>
    <definedName name="BEx5G1QHX69GFUYHUZA5X74MTDMR" hidden="1">#REF!</definedName>
    <definedName name="BEx5G5S2C9JRD28ZQMMQLCBHWOHB" localSheetId="8" hidden="1">#REF!</definedName>
    <definedName name="BEx5G5S2C9JRD28ZQMMQLCBHWOHB" localSheetId="19" hidden="1">#REF!</definedName>
    <definedName name="BEx5G5S2C9JRD28ZQMMQLCBHWOHB" hidden="1">#REF!</definedName>
    <definedName name="BEx5G7KU3EGZQSYN2YNML8EW8NDC" localSheetId="8" hidden="1">#REF!</definedName>
    <definedName name="BEx5G7KU3EGZQSYN2YNML8EW8NDC" localSheetId="19" hidden="1">#REF!</definedName>
    <definedName name="BEx5G7KU3EGZQSYN2YNML8EW8NDC" hidden="1">#REF!</definedName>
    <definedName name="BEx5G86DZL1VYUX6KWODAP3WFAWP" localSheetId="8" hidden="1">#REF!</definedName>
    <definedName name="BEx5G86DZL1VYUX6KWODAP3WFAWP" localSheetId="19" hidden="1">#REF!</definedName>
    <definedName name="BEx5G86DZL1VYUX6KWODAP3WFAWP" hidden="1">#REF!</definedName>
    <definedName name="BEx5G8BV2GIOCM3C7IUFK8L04A6M" localSheetId="8" hidden="1">#REF!</definedName>
    <definedName name="BEx5G8BV2GIOCM3C7IUFK8L04A6M" localSheetId="19" hidden="1">#REF!</definedName>
    <definedName name="BEx5G8BV2GIOCM3C7IUFK8L04A6M" hidden="1">#REF!</definedName>
    <definedName name="BEx5GID9MVBUPFFT9M8K8B5MO9NV" localSheetId="8" hidden="1">#REF!</definedName>
    <definedName name="BEx5GID9MVBUPFFT9M8K8B5MO9NV" localSheetId="19" hidden="1">#REF!</definedName>
    <definedName name="BEx5GID9MVBUPFFT9M8K8B5MO9NV" hidden="1">#REF!</definedName>
    <definedName name="BEx5GN0EWA9SCQDPQ7NTUQH82QVK" localSheetId="8" hidden="1">#REF!</definedName>
    <definedName name="BEx5GN0EWA9SCQDPQ7NTUQH82QVK" localSheetId="19" hidden="1">#REF!</definedName>
    <definedName name="BEx5GN0EWA9SCQDPQ7NTUQH82QVK" hidden="1">#REF!</definedName>
    <definedName name="BEx5GNBCU4WZ74I0UXFL9ZG2XSGJ" localSheetId="8" hidden="1">#REF!</definedName>
    <definedName name="BEx5GNBCU4WZ74I0UXFL9ZG2XSGJ" localSheetId="19" hidden="1">#REF!</definedName>
    <definedName name="BEx5GNBCU4WZ74I0UXFL9ZG2XSGJ" hidden="1">#REF!</definedName>
    <definedName name="BEx5GUCTYC7QCWGWU5BTO7Y7HDZX" localSheetId="8" hidden="1">#REF!</definedName>
    <definedName name="BEx5GUCTYC7QCWGWU5BTO7Y7HDZX" localSheetId="19" hidden="1">#REF!</definedName>
    <definedName name="BEx5GUCTYC7QCWGWU5BTO7Y7HDZX" hidden="1">#REF!</definedName>
    <definedName name="BEx5GYUPJULJQ624TEESYFG1NFOH" localSheetId="8" hidden="1">#REF!</definedName>
    <definedName name="BEx5GYUPJULJQ624TEESYFG1NFOH" localSheetId="19" hidden="1">#REF!</definedName>
    <definedName name="BEx5GYUPJULJQ624TEESYFG1NFOH" hidden="1">#REF!</definedName>
    <definedName name="BEx5H0NEE0AIN5E2UHJ9J9ISU9N1" localSheetId="8" hidden="1">#REF!</definedName>
    <definedName name="BEx5H0NEE0AIN5E2UHJ9J9ISU9N1" localSheetId="19" hidden="1">#REF!</definedName>
    <definedName name="BEx5H0NEE0AIN5E2UHJ9J9ISU9N1" hidden="1">#REF!</definedName>
    <definedName name="BEx5H1UJSEUQM2K8QHQXO5THVHSO" localSheetId="8" hidden="1">#REF!</definedName>
    <definedName name="BEx5H1UJSEUQM2K8QHQXO5THVHSO" localSheetId="19" hidden="1">#REF!</definedName>
    <definedName name="BEx5H1UJSEUQM2K8QHQXO5THVHSO" hidden="1">#REF!</definedName>
    <definedName name="BEx5HAOT9XWUF7XIFRZZS8B9F5TZ" localSheetId="8" hidden="1">#REF!</definedName>
    <definedName name="BEx5HAOT9XWUF7XIFRZZS8B9F5TZ" localSheetId="19" hidden="1">#REF!</definedName>
    <definedName name="BEx5HAOT9XWUF7XIFRZZS8B9F5TZ" hidden="1">#REF!</definedName>
    <definedName name="BEx5HB534CO7TBSALKMD27WHMAQJ" localSheetId="8" hidden="1">#REF!</definedName>
    <definedName name="BEx5HB534CO7TBSALKMD27WHMAQJ" localSheetId="19" hidden="1">#REF!</definedName>
    <definedName name="BEx5HB534CO7TBSALKMD27WHMAQJ" hidden="1">#REF!</definedName>
    <definedName name="BEx5HE4XRF9BUY04MENWY9CHHN5H" localSheetId="8" hidden="1">#REF!</definedName>
    <definedName name="BEx5HE4XRF9BUY04MENWY9CHHN5H" localSheetId="19" hidden="1">#REF!</definedName>
    <definedName name="BEx5HE4XRF9BUY04MENWY9CHHN5H" hidden="1">#REF!</definedName>
    <definedName name="BEx5HFHMABAT0H9KKS754X4T304E" localSheetId="8" hidden="1">#REF!</definedName>
    <definedName name="BEx5HFHMABAT0H9KKS754X4T304E" localSheetId="19" hidden="1">#REF!</definedName>
    <definedName name="BEx5HFHMABAT0H9KKS754X4T304E" hidden="1">#REF!</definedName>
    <definedName name="BEx5HGDZ7MX1S3KNXLRL9WU565V4" localSheetId="8" hidden="1">#REF!</definedName>
    <definedName name="BEx5HGDZ7MX1S3KNXLRL9WU565V4" localSheetId="19" hidden="1">#REF!</definedName>
    <definedName name="BEx5HGDZ7MX1S3KNXLRL9WU565V4" hidden="1">#REF!</definedName>
    <definedName name="BEx5HJZ9FAVNZSSBTAYRPZDYM9NU" localSheetId="8" hidden="1">#REF!</definedName>
    <definedName name="BEx5HJZ9FAVNZSSBTAYRPZDYM9NU" localSheetId="19" hidden="1">#REF!</definedName>
    <definedName name="BEx5HJZ9FAVNZSSBTAYRPZDYM9NU" hidden="1">#REF!</definedName>
    <definedName name="BEx5HZ9JMKHNLFWLVUB1WP5B39BL" localSheetId="8" hidden="1">#REF!</definedName>
    <definedName name="BEx5HZ9JMKHNLFWLVUB1WP5B39BL" localSheetId="19" hidden="1">#REF!</definedName>
    <definedName name="BEx5HZ9JMKHNLFWLVUB1WP5B39BL" hidden="1">#REF!</definedName>
    <definedName name="BEx5I17QJ0PQ1OG1IMH69HMQWNEA" localSheetId="8" hidden="1">#REF!</definedName>
    <definedName name="BEx5I17QJ0PQ1OG1IMH69HMQWNEA" localSheetId="19" hidden="1">#REF!</definedName>
    <definedName name="BEx5I17QJ0PQ1OG1IMH69HMQWNEA" hidden="1">#REF!</definedName>
    <definedName name="BEx5I244LQHZTF3XI66J8705R9XX" localSheetId="8" hidden="1">#REF!</definedName>
    <definedName name="BEx5I244LQHZTF3XI66J8705R9XX" localSheetId="19" hidden="1">#REF!</definedName>
    <definedName name="BEx5I244LQHZTF3XI66J8705R9XX" hidden="1">#REF!</definedName>
    <definedName name="BEx5I8PBP4LIXDGID5BP0THLO0AQ" localSheetId="8" hidden="1">#REF!</definedName>
    <definedName name="BEx5I8PBP4LIXDGID5BP0THLO0AQ" localSheetId="19" hidden="1">#REF!</definedName>
    <definedName name="BEx5I8PBP4LIXDGID5BP0THLO0AQ" hidden="1">#REF!</definedName>
    <definedName name="BEx5I8USVUB3JP4S9OXGMZVMOQXR" localSheetId="8" hidden="1">#REF!</definedName>
    <definedName name="BEx5I8USVUB3JP4S9OXGMZVMOQXR" localSheetId="19" hidden="1">#REF!</definedName>
    <definedName name="BEx5I8USVUB3JP4S9OXGMZVMOQXR" hidden="1">#REF!</definedName>
    <definedName name="BEx5I9GDQSYIAL65UQNDMNFQCS9Y" localSheetId="8" hidden="1">#REF!</definedName>
    <definedName name="BEx5I9GDQSYIAL65UQNDMNFQCS9Y" localSheetId="19" hidden="1">#REF!</definedName>
    <definedName name="BEx5I9GDQSYIAL65UQNDMNFQCS9Y" hidden="1">#REF!</definedName>
    <definedName name="BEx5IBUPG9AWNW5PK7JGRGEJ4OLM" localSheetId="8" hidden="1">#REF!</definedName>
    <definedName name="BEx5IBUPG9AWNW5PK7JGRGEJ4OLM" localSheetId="19" hidden="1">#REF!</definedName>
    <definedName name="BEx5IBUPG9AWNW5PK7JGRGEJ4OLM" hidden="1">#REF!</definedName>
    <definedName name="BEx5IC06RVN8BSAEPREVKHKLCJ2L" localSheetId="8" hidden="1">#REF!</definedName>
    <definedName name="BEx5IC06RVN8BSAEPREVKHKLCJ2L" localSheetId="19" hidden="1">#REF!</definedName>
    <definedName name="BEx5IC06RVN8BSAEPREVKHKLCJ2L" hidden="1">#REF!</definedName>
    <definedName name="BEx5IGY4M04BPXSQF2J4GQYXF85O" localSheetId="8" hidden="1">#REF!</definedName>
    <definedName name="BEx5IGY4M04BPXSQF2J4GQYXF85O" localSheetId="19" hidden="1">#REF!</definedName>
    <definedName name="BEx5IGY4M04BPXSQF2J4GQYXF85O" hidden="1">#REF!</definedName>
    <definedName name="BEx5IWTZDCLZ5CCDG108STY04SAJ" localSheetId="8" hidden="1">#REF!</definedName>
    <definedName name="BEx5IWTZDCLZ5CCDG108STY04SAJ" localSheetId="19" hidden="1">#REF!</definedName>
    <definedName name="BEx5IWTZDCLZ5CCDG108STY04SAJ" hidden="1">#REF!</definedName>
    <definedName name="BEx5J0FFP1KS4NGY20AEJI8VREEA" localSheetId="8" hidden="1">#REF!</definedName>
    <definedName name="BEx5J0FFP1KS4NGY20AEJI8VREEA" localSheetId="19" hidden="1">#REF!</definedName>
    <definedName name="BEx5J0FFP1KS4NGY20AEJI8VREEA" hidden="1">#REF!</definedName>
    <definedName name="BEx5J1XE5FVWL6IJV6CWKPN24UBK" localSheetId="8" hidden="1">#REF!</definedName>
    <definedName name="BEx5J1XE5FVWL6IJV6CWKPN24UBK" localSheetId="19" hidden="1">#REF!</definedName>
    <definedName name="BEx5J1XE5FVWL6IJV6CWKPN24UBK" hidden="1">#REF!</definedName>
    <definedName name="BEx5JF3ZXLDIS8VNKDCY7ZI7H1CI" localSheetId="8" hidden="1">#REF!</definedName>
    <definedName name="BEx5JF3ZXLDIS8VNKDCY7ZI7H1CI" localSheetId="19" hidden="1">#REF!</definedName>
    <definedName name="BEx5JF3ZXLDIS8VNKDCY7ZI7H1CI" hidden="1">#REF!</definedName>
    <definedName name="BEx5JHCZJ8G6OOOW6EF3GABXKH6F" localSheetId="8" hidden="1">#REF!</definedName>
    <definedName name="BEx5JHCZJ8G6OOOW6EF3GABXKH6F" localSheetId="19" hidden="1">#REF!</definedName>
    <definedName name="BEx5JHCZJ8G6OOOW6EF3GABXKH6F" hidden="1">#REF!</definedName>
    <definedName name="BEx5JJB6W446THXQCRUKD3I7RKLP" localSheetId="8" hidden="1">#REF!</definedName>
    <definedName name="BEx5JJB6W446THXQCRUKD3I7RKLP" localSheetId="19" hidden="1">#REF!</definedName>
    <definedName name="BEx5JJB6W446THXQCRUKD3I7RKLP" hidden="1">#REF!</definedName>
    <definedName name="BEx5JNCT8Z7XSSPD5EMNAJELCU2V" localSheetId="8" hidden="1">#REF!</definedName>
    <definedName name="BEx5JNCT8Z7XSSPD5EMNAJELCU2V" localSheetId="19" hidden="1">#REF!</definedName>
    <definedName name="BEx5JNCT8Z7XSSPD5EMNAJELCU2V" hidden="1">#REF!</definedName>
    <definedName name="BEx5JQCNT9Y4RM306CHC8IPY3HBZ" localSheetId="8" hidden="1">#REF!</definedName>
    <definedName name="BEx5JQCNT9Y4RM306CHC8IPY3HBZ" localSheetId="19" hidden="1">#REF!</definedName>
    <definedName name="BEx5JQCNT9Y4RM306CHC8IPY3HBZ" hidden="1">#REF!</definedName>
    <definedName name="BEx5K08PYKE6JOKBYIB006TX619P" localSheetId="8" hidden="1">#REF!</definedName>
    <definedName name="BEx5K08PYKE6JOKBYIB006TX619P" localSheetId="19" hidden="1">#REF!</definedName>
    <definedName name="BEx5K08PYKE6JOKBYIB006TX619P" hidden="1">#REF!</definedName>
    <definedName name="BEx5K4W2S2K7M9V2M304KW93LK8Q" localSheetId="8" hidden="1">#REF!</definedName>
    <definedName name="BEx5K4W2S2K7M9V2M304KW93LK8Q" localSheetId="19" hidden="1">#REF!</definedName>
    <definedName name="BEx5K4W2S2K7M9V2M304KW93LK8Q" hidden="1">#REF!</definedName>
    <definedName name="BEx5K51DSERT1TR7B4A29R41W4NX" localSheetId="8" hidden="1">#REF!</definedName>
    <definedName name="BEx5K51DSERT1TR7B4A29R41W4NX" localSheetId="19" hidden="1">#REF!</definedName>
    <definedName name="BEx5K51DSERT1TR7B4A29R41W4NX" hidden="1">#REF!</definedName>
    <definedName name="BEx5KBBZ8KCEQK36ARG4ERYOFD4G" localSheetId="8" hidden="1">#REF!</definedName>
    <definedName name="BEx5KBBZ8KCEQK36ARG4ERYOFD4G" localSheetId="19" hidden="1">#REF!</definedName>
    <definedName name="BEx5KBBZ8KCEQK36ARG4ERYOFD4G" hidden="1">#REF!</definedName>
    <definedName name="BEx5KCOET0DYMY4VILOLGVBX7E3C" localSheetId="8" hidden="1">#REF!</definedName>
    <definedName name="BEx5KCOET0DYMY4VILOLGVBX7E3C" localSheetId="19" hidden="1">#REF!</definedName>
    <definedName name="BEx5KCOET0DYMY4VILOLGVBX7E3C" hidden="1">#REF!</definedName>
    <definedName name="BEx5KYER580I4T7WTLMUN7NLNP5K" localSheetId="8" hidden="1">#REF!</definedName>
    <definedName name="BEx5KYER580I4T7WTLMUN7NLNP5K" localSheetId="19" hidden="1">#REF!</definedName>
    <definedName name="BEx5KYER580I4T7WTLMUN7NLNP5K" hidden="1">#REF!</definedName>
    <definedName name="BEx5LHLB3M6K4ZKY2F42QBZT30ZH" localSheetId="8" hidden="1">#REF!</definedName>
    <definedName name="BEx5LHLB3M6K4ZKY2F42QBZT30ZH" localSheetId="19" hidden="1">#REF!</definedName>
    <definedName name="BEx5LHLB3M6K4ZKY2F42QBZT30ZH" hidden="1">#REF!</definedName>
    <definedName name="BEx5LKQJG40DO2JR1ZF6KD3PON9K" localSheetId="8" hidden="1">#REF!</definedName>
    <definedName name="BEx5LKQJG40DO2JR1ZF6KD3PON9K" localSheetId="19" hidden="1">#REF!</definedName>
    <definedName name="BEx5LKQJG40DO2JR1ZF6KD3PON9K" hidden="1">#REF!</definedName>
    <definedName name="BEx5LQA84QRPGAR4FLC7MCT3H9EN" localSheetId="8" hidden="1">#REF!</definedName>
    <definedName name="BEx5LQA84QRPGAR4FLC7MCT3H9EN" localSheetId="19" hidden="1">#REF!</definedName>
    <definedName name="BEx5LQA84QRPGAR4FLC7MCT3H9EN" hidden="1">#REF!</definedName>
    <definedName name="BEx5LRMNU3HXIE1BUMDHRU31F7JJ" localSheetId="8" hidden="1">#REF!</definedName>
    <definedName name="BEx5LRMNU3HXIE1BUMDHRU31F7JJ" localSheetId="19" hidden="1">#REF!</definedName>
    <definedName name="BEx5LRMNU3HXIE1BUMDHRU31F7JJ" hidden="1">#REF!</definedName>
    <definedName name="BEx5LSJ1LPUAX3ENSPECWPG4J7D1" localSheetId="8" hidden="1">#REF!</definedName>
    <definedName name="BEx5LSJ1LPUAX3ENSPECWPG4J7D1" localSheetId="19" hidden="1">#REF!</definedName>
    <definedName name="BEx5LSJ1LPUAX3ENSPECWPG4J7D1" hidden="1">#REF!</definedName>
    <definedName name="BEx5LTKQ8RQWJE4BC88OP928893U" localSheetId="8" hidden="1">#REF!</definedName>
    <definedName name="BEx5LTKQ8RQWJE4BC88OP928893U" localSheetId="19" hidden="1">#REF!</definedName>
    <definedName name="BEx5LTKQ8RQWJE4BC88OP928893U" hidden="1">#REF!</definedName>
    <definedName name="BEx5M4D4KHXU4JXKDEHZZNRG7NRA" localSheetId="8" hidden="1">#REF!</definedName>
    <definedName name="BEx5M4D4KHXU4JXKDEHZZNRG7NRA" localSheetId="19" hidden="1">#REF!</definedName>
    <definedName name="BEx5M4D4KHXU4JXKDEHZZNRG7NRA" hidden="1">#REF!</definedName>
    <definedName name="BEx5MB9BR71LZDG7XXQ2EO58JC5F" localSheetId="8" hidden="1">#REF!</definedName>
    <definedName name="BEx5MB9BR71LZDG7XXQ2EO58JC5F" localSheetId="19" hidden="1">#REF!</definedName>
    <definedName name="BEx5MB9BR71LZDG7XXQ2EO58JC5F" hidden="1">#REF!</definedName>
    <definedName name="BEx5MHEF05EVRV5DPTG4KMPWZSUS" localSheetId="8" hidden="1">#REF!</definedName>
    <definedName name="BEx5MHEF05EVRV5DPTG4KMPWZSUS" localSheetId="19" hidden="1">#REF!</definedName>
    <definedName name="BEx5MHEF05EVRV5DPTG4KMPWZSUS" hidden="1">#REF!</definedName>
    <definedName name="BEx5MLQZM68YQSKARVWTTPINFQ2C" localSheetId="8" hidden="1">#REF!</definedName>
    <definedName name="BEx5MLQZM68YQSKARVWTTPINFQ2C" localSheetId="19" hidden="1">#REF!</definedName>
    <definedName name="BEx5MLQZM68YQSKARVWTTPINFQ2C" hidden="1">#REF!</definedName>
    <definedName name="BEx5MMCJMU7FOOWUCW9EA13B7V5F" localSheetId="8" hidden="1">#REF!</definedName>
    <definedName name="BEx5MMCJMU7FOOWUCW9EA13B7V5F" localSheetId="19" hidden="1">#REF!</definedName>
    <definedName name="BEx5MMCJMU7FOOWUCW9EA13B7V5F" hidden="1">#REF!</definedName>
    <definedName name="BEx5MVXTKNBXHNWTL43C670E4KXC" localSheetId="8" hidden="1">#REF!</definedName>
    <definedName name="BEx5MVXTKNBXHNWTL43C670E4KXC" localSheetId="19" hidden="1">#REF!</definedName>
    <definedName name="BEx5MVXTKNBXHNWTL43C670E4KXC" hidden="1">#REF!</definedName>
    <definedName name="BEx5MWZGZ3VRB5418C2RNF9H17BQ" localSheetId="8" hidden="1">#REF!</definedName>
    <definedName name="BEx5MWZGZ3VRB5418C2RNF9H17BQ" localSheetId="19" hidden="1">#REF!</definedName>
    <definedName name="BEx5MWZGZ3VRB5418C2RNF9H17BQ" hidden="1">#REF!</definedName>
    <definedName name="BEx5MX4YD2QV39W04QH9C6AOA0FB" localSheetId="8" hidden="1">#REF!</definedName>
    <definedName name="BEx5MX4YD2QV39W04QH9C6AOA0FB" localSheetId="19" hidden="1">#REF!</definedName>
    <definedName name="BEx5MX4YD2QV39W04QH9C6AOA0FB" hidden="1">#REF!</definedName>
    <definedName name="BEx5N3A8LULD7YBJH5J83X27PZSW" localSheetId="8" hidden="1">#REF!</definedName>
    <definedName name="BEx5N3A8LULD7YBJH5J83X27PZSW" localSheetId="19" hidden="1">#REF!</definedName>
    <definedName name="BEx5N3A8LULD7YBJH5J83X27PZSW" hidden="1">#REF!</definedName>
    <definedName name="BEx5N4XI4PWB1W9PMZ4O5R0HWTYD" localSheetId="8" hidden="1">#REF!</definedName>
    <definedName name="BEx5N4XI4PWB1W9PMZ4O5R0HWTYD" localSheetId="19" hidden="1">#REF!</definedName>
    <definedName name="BEx5N4XI4PWB1W9PMZ4O5R0HWTYD" hidden="1">#REF!</definedName>
    <definedName name="BEx5N8DH1SY888WI2GZ2D6E9XCXB" localSheetId="8" hidden="1">#REF!</definedName>
    <definedName name="BEx5N8DH1SY888WI2GZ2D6E9XCXB" localSheetId="19" hidden="1">#REF!</definedName>
    <definedName name="BEx5N8DH1SY888WI2GZ2D6E9XCXB" hidden="1">#REF!</definedName>
    <definedName name="BEx5NA68N6FJFX9UJXK4M14U487F" localSheetId="8" hidden="1">#REF!</definedName>
    <definedName name="BEx5NA68N6FJFX9UJXK4M14U487F" localSheetId="19" hidden="1">#REF!</definedName>
    <definedName name="BEx5NA68N6FJFX9UJXK4M14U487F" hidden="1">#REF!</definedName>
    <definedName name="BEx5NIKBG2GDJOYGE3WCXKU7YY51" localSheetId="8" hidden="1">#REF!</definedName>
    <definedName name="BEx5NIKBG2GDJOYGE3WCXKU7YY51" localSheetId="19" hidden="1">#REF!</definedName>
    <definedName name="BEx5NIKBG2GDJOYGE3WCXKU7YY51" hidden="1">#REF!</definedName>
    <definedName name="BEx5NV06L5J5IMKGOMGKGJ4PBZCD" localSheetId="8" hidden="1">#REF!</definedName>
    <definedName name="BEx5NV06L5J5IMKGOMGKGJ4PBZCD" localSheetId="19" hidden="1">#REF!</definedName>
    <definedName name="BEx5NV06L5J5IMKGOMGKGJ4PBZCD" hidden="1">#REF!</definedName>
    <definedName name="BEx5NW1V6AB25NEEX9VPHRXWJDSS" localSheetId="8" hidden="1">#REF!</definedName>
    <definedName name="BEx5NW1V6AB25NEEX9VPHRXWJDSS" localSheetId="19" hidden="1">#REF!</definedName>
    <definedName name="BEx5NW1V6AB25NEEX9VPHRXWJDSS" hidden="1">#REF!</definedName>
    <definedName name="BEx5NWSXWACAUHWVZAI57DGZ8OCQ" localSheetId="8" hidden="1">#REF!</definedName>
    <definedName name="BEx5NWSXWACAUHWVZAI57DGZ8OCQ" localSheetId="19" hidden="1">#REF!</definedName>
    <definedName name="BEx5NWSXWACAUHWVZAI57DGZ8OCQ" hidden="1">#REF!</definedName>
    <definedName name="BEx5NZSSQ6PY99ZX2D7Q9IGOR34W" localSheetId="8" hidden="1">#REF!</definedName>
    <definedName name="BEx5NZSSQ6PY99ZX2D7Q9IGOR34W" localSheetId="19" hidden="1">#REF!</definedName>
    <definedName name="BEx5NZSSQ6PY99ZX2D7Q9IGOR34W" hidden="1">#REF!</definedName>
    <definedName name="BEx5O2N9HTGG4OJHR62PKFMNZTTW" localSheetId="8" hidden="1">#REF!</definedName>
    <definedName name="BEx5O2N9HTGG4OJHR62PKFMNZTTW" localSheetId="19" hidden="1">#REF!</definedName>
    <definedName name="BEx5O2N9HTGG4OJHR62PKFMNZTTW" hidden="1">#REF!</definedName>
    <definedName name="BEx5O3ZUQ2OARA1CDOZ3NC4UE5AA" localSheetId="8" hidden="1">#REF!</definedName>
    <definedName name="BEx5O3ZUQ2OARA1CDOZ3NC4UE5AA" localSheetId="19" hidden="1">#REF!</definedName>
    <definedName name="BEx5O3ZUQ2OARA1CDOZ3NC4UE5AA" hidden="1">#REF!</definedName>
    <definedName name="BEx5OAFS0NJ2CB86A02E1JYHMLQ1" localSheetId="8" hidden="1">#REF!</definedName>
    <definedName name="BEx5OAFS0NJ2CB86A02E1JYHMLQ1" localSheetId="19" hidden="1">#REF!</definedName>
    <definedName name="BEx5OAFS0NJ2CB86A02E1JYHMLQ1" hidden="1">#REF!</definedName>
    <definedName name="BEx5OG4RPU8W1ETWDWM234NYYYEN" localSheetId="8" hidden="1">#REF!</definedName>
    <definedName name="BEx5OG4RPU8W1ETWDWM234NYYYEN" localSheetId="19" hidden="1">#REF!</definedName>
    <definedName name="BEx5OG4RPU8W1ETWDWM234NYYYEN" hidden="1">#REF!</definedName>
    <definedName name="BEx5OP9Y43F99O2IT69MKCCXGL61" localSheetId="8" hidden="1">#REF!</definedName>
    <definedName name="BEx5OP9Y43F99O2IT69MKCCXGL61" localSheetId="19" hidden="1">#REF!</definedName>
    <definedName name="BEx5OP9Y43F99O2IT69MKCCXGL61" hidden="1">#REF!</definedName>
    <definedName name="BEx5P9Y9RDXNUAJ6CZ2LHMM8IM7T" localSheetId="8" hidden="1">#REF!</definedName>
    <definedName name="BEx5P9Y9RDXNUAJ6CZ2LHMM8IM7T" localSheetId="19" hidden="1">#REF!</definedName>
    <definedName name="BEx5P9Y9RDXNUAJ6CZ2LHMM8IM7T" hidden="1">#REF!</definedName>
    <definedName name="BEx5PHWB2C0D5QLP3BZIP3UO7DIZ" localSheetId="8" hidden="1">#REF!</definedName>
    <definedName name="BEx5PHWB2C0D5QLP3BZIP3UO7DIZ" localSheetId="19" hidden="1">#REF!</definedName>
    <definedName name="BEx5PHWB2C0D5QLP3BZIP3UO7DIZ" hidden="1">#REF!</definedName>
    <definedName name="BEx5PJP02W68K2E46L5C5YBSNU6T" localSheetId="8" hidden="1">#REF!</definedName>
    <definedName name="BEx5PJP02W68K2E46L5C5YBSNU6T" localSheetId="19" hidden="1">#REF!</definedName>
    <definedName name="BEx5PJP02W68K2E46L5C5YBSNU6T" hidden="1">#REF!</definedName>
    <definedName name="BEx5PLCA8DOMAU315YCS5275L2HS" localSheetId="8" hidden="1">#REF!</definedName>
    <definedName name="BEx5PLCA8DOMAU315YCS5275L2HS" localSheetId="19" hidden="1">#REF!</definedName>
    <definedName name="BEx5PLCA8DOMAU315YCS5275L2HS" hidden="1">#REF!</definedName>
    <definedName name="BEx5PRXMZ5M65Z732WNNGV564C2J" localSheetId="8" hidden="1">#REF!</definedName>
    <definedName name="BEx5PRXMZ5M65Z732WNNGV564C2J" localSheetId="19" hidden="1">#REF!</definedName>
    <definedName name="BEx5PRXMZ5M65Z732WNNGV564C2J" hidden="1">#REF!</definedName>
    <definedName name="BEx5Q29Y91E64DPE0YY53A6YHF3Y" localSheetId="8" hidden="1">#REF!</definedName>
    <definedName name="BEx5Q29Y91E64DPE0YY53A6YHF3Y" localSheetId="19" hidden="1">#REF!</definedName>
    <definedName name="BEx5Q29Y91E64DPE0YY53A6YHF3Y" hidden="1">#REF!</definedName>
    <definedName name="BEx5QPSW4IPLH50WSR87HRER05RF" localSheetId="8" hidden="1">#REF!</definedName>
    <definedName name="BEx5QPSW4IPLH50WSR87HRER05RF" localSheetId="19" hidden="1">#REF!</definedName>
    <definedName name="BEx5QPSW4IPLH50WSR87HRER05RF" hidden="1">#REF!</definedName>
    <definedName name="BEx73V0EP8EMNRC3EZJJKKVKWQVB" localSheetId="8" hidden="1">#REF!</definedName>
    <definedName name="BEx73V0EP8EMNRC3EZJJKKVKWQVB" localSheetId="19" hidden="1">#REF!</definedName>
    <definedName name="BEx73V0EP8EMNRC3EZJJKKVKWQVB" hidden="1">#REF!</definedName>
    <definedName name="BEx741WJHIJVXUX131SBXTVW8D71" localSheetId="8" hidden="1">#REF!</definedName>
    <definedName name="BEx741WJHIJVXUX131SBXTVW8D71" localSheetId="19" hidden="1">#REF!</definedName>
    <definedName name="BEx741WJHIJVXUX131SBXTVW8D71" hidden="1">#REF!</definedName>
    <definedName name="BEx74Q6H3O7133AWQXWC21MI2UFT" localSheetId="8" hidden="1">#REF!</definedName>
    <definedName name="BEx74Q6H3O7133AWQXWC21MI2UFT" localSheetId="19" hidden="1">#REF!</definedName>
    <definedName name="BEx74Q6H3O7133AWQXWC21MI2UFT" hidden="1">#REF!</definedName>
    <definedName name="BEx74R2VQ8BSMKPX25262AU3VZF7" localSheetId="8" hidden="1">#REF!</definedName>
    <definedName name="BEx74R2VQ8BSMKPX25262AU3VZF7" localSheetId="19" hidden="1">#REF!</definedName>
    <definedName name="BEx74R2VQ8BSMKPX25262AU3VZF7" hidden="1">#REF!</definedName>
    <definedName name="BEx74W6BJ8ENO3J25WNM5H5APKA3" localSheetId="8" hidden="1">#REF!</definedName>
    <definedName name="BEx74W6BJ8ENO3J25WNM5H5APKA3" localSheetId="19" hidden="1">#REF!</definedName>
    <definedName name="BEx74W6BJ8ENO3J25WNM5H5APKA3" hidden="1">#REF!</definedName>
    <definedName name="BEx74YKLW1FKLWC3DJ2ELZBZBY1M" localSheetId="8" hidden="1">#REF!</definedName>
    <definedName name="BEx74YKLW1FKLWC3DJ2ELZBZBY1M" localSheetId="19" hidden="1">#REF!</definedName>
    <definedName name="BEx74YKLW1FKLWC3DJ2ELZBZBY1M" hidden="1">#REF!</definedName>
    <definedName name="BEx755GRRD9BL27YHLH5QWIYLWB7" localSheetId="8" hidden="1">#REF!</definedName>
    <definedName name="BEx755GRRD9BL27YHLH5QWIYLWB7" localSheetId="19" hidden="1">#REF!</definedName>
    <definedName name="BEx755GRRD9BL27YHLH5QWIYLWB7" hidden="1">#REF!</definedName>
    <definedName name="BEx759D1D5SXS5ELLZVBI0SXYUNF" localSheetId="8" hidden="1">#REF!</definedName>
    <definedName name="BEx759D1D5SXS5ELLZVBI0SXYUNF" localSheetId="19" hidden="1">#REF!</definedName>
    <definedName name="BEx759D1D5SXS5ELLZVBI0SXYUNF" hidden="1">#REF!</definedName>
    <definedName name="BEx75DPEQTX055IZ2L8UVLJOT1DD" localSheetId="8" hidden="1">#REF!</definedName>
    <definedName name="BEx75DPEQTX055IZ2L8UVLJOT1DD" localSheetId="19" hidden="1">#REF!</definedName>
    <definedName name="BEx75DPEQTX055IZ2L8UVLJOT1DD" hidden="1">#REF!</definedName>
    <definedName name="BEx75GJZSZHUDN6OOAGQYFUDA2LP" localSheetId="8" hidden="1">#REF!</definedName>
    <definedName name="BEx75GJZSZHUDN6OOAGQYFUDA2LP" localSheetId="19" hidden="1">#REF!</definedName>
    <definedName name="BEx75GJZSZHUDN6OOAGQYFUDA2LP" hidden="1">#REF!</definedName>
    <definedName name="BEx75HGCCV5K4UCJWYV8EV9AG5YT" localSheetId="8" hidden="1">#REF!</definedName>
    <definedName name="BEx75HGCCV5K4UCJWYV8EV9AG5YT" localSheetId="19" hidden="1">#REF!</definedName>
    <definedName name="BEx75HGCCV5K4UCJWYV8EV9AG5YT" hidden="1">#REF!</definedName>
    <definedName name="BEx75PZT8TY5P13U978NVBUXKHT4" localSheetId="8" hidden="1">#REF!</definedName>
    <definedName name="BEx75PZT8TY5P13U978NVBUXKHT4" localSheetId="19" hidden="1">#REF!</definedName>
    <definedName name="BEx75PZT8TY5P13U978NVBUXKHT4" hidden="1">#REF!</definedName>
    <definedName name="BEx75T55F7GML8V1DMWL26WRT006" localSheetId="8" hidden="1">#REF!</definedName>
    <definedName name="BEx75T55F7GML8V1DMWL26WRT006" localSheetId="19" hidden="1">#REF!</definedName>
    <definedName name="BEx75T55F7GML8V1DMWL26WRT006" hidden="1">#REF!</definedName>
    <definedName name="BEx75VJGR07JY6UUWURQ4PJ29UKC" localSheetId="8" hidden="1">#REF!</definedName>
    <definedName name="BEx75VJGR07JY6UUWURQ4PJ29UKC" localSheetId="19" hidden="1">#REF!</definedName>
    <definedName name="BEx75VJGR07JY6UUWURQ4PJ29UKC" hidden="1">#REF!</definedName>
    <definedName name="BEx7696AZUPB1PK30JJQUWUELQPJ" localSheetId="8" hidden="1">#REF!</definedName>
    <definedName name="BEx7696AZUPB1PK30JJQUWUELQPJ" localSheetId="19" hidden="1">#REF!</definedName>
    <definedName name="BEx7696AZUPB1PK30JJQUWUELQPJ" hidden="1">#REF!</definedName>
    <definedName name="BEx76PNR8S4T4VUQS0KU58SEX0VN" localSheetId="8" hidden="1">#REF!</definedName>
    <definedName name="BEx76PNR8S4T4VUQS0KU58SEX0VN" localSheetId="19" hidden="1">#REF!</definedName>
    <definedName name="BEx76PNR8S4T4VUQS0KU58SEX0VN" hidden="1">#REF!</definedName>
    <definedName name="BEx76YY7ODSIKDD9VDF9TLTDM18I" localSheetId="8" hidden="1">#REF!</definedName>
    <definedName name="BEx76YY7ODSIKDD9VDF9TLTDM18I" localSheetId="19" hidden="1">#REF!</definedName>
    <definedName name="BEx76YY7ODSIKDD9VDF9TLTDM18I" hidden="1">#REF!</definedName>
    <definedName name="BEx7705E86I9B7DTKMMJMAFSYMUL" localSheetId="8" hidden="1">#REF!</definedName>
    <definedName name="BEx7705E86I9B7DTKMMJMAFSYMUL" localSheetId="19" hidden="1">#REF!</definedName>
    <definedName name="BEx7705E86I9B7DTKMMJMAFSYMUL" hidden="1">#REF!</definedName>
    <definedName name="BEx7741OUGLA0WJQLQRUJSL4DE00" localSheetId="8" hidden="1">#REF!</definedName>
    <definedName name="BEx7741OUGLA0WJQLQRUJSL4DE00" localSheetId="19" hidden="1">#REF!</definedName>
    <definedName name="BEx7741OUGLA0WJQLQRUJSL4DE00" hidden="1">#REF!</definedName>
    <definedName name="BEx774N83DXLJZ54Q42PWIJZ2DN1" localSheetId="8" hidden="1">#REF!</definedName>
    <definedName name="BEx774N83DXLJZ54Q42PWIJZ2DN1" localSheetId="19" hidden="1">#REF!</definedName>
    <definedName name="BEx774N83DXLJZ54Q42PWIJZ2DN1" hidden="1">#REF!</definedName>
    <definedName name="BEx779QNIY3061ZV9BR462WKEGRW" localSheetId="8" hidden="1">#REF!</definedName>
    <definedName name="BEx779QNIY3061ZV9BR462WKEGRW" localSheetId="19" hidden="1">#REF!</definedName>
    <definedName name="BEx779QNIY3061ZV9BR462WKEGRW" hidden="1">#REF!</definedName>
    <definedName name="BEx77G19QU9A95CNHE6QMVSQR2T3" localSheetId="8" hidden="1">#REF!</definedName>
    <definedName name="BEx77G19QU9A95CNHE6QMVSQR2T3" localSheetId="19" hidden="1">#REF!</definedName>
    <definedName name="BEx77G19QU9A95CNHE6QMVSQR2T3" hidden="1">#REF!</definedName>
    <definedName name="BEx77P0S3GVMS7BJUL9OWUGJ1B02" localSheetId="8" hidden="1">#REF!</definedName>
    <definedName name="BEx77P0S3GVMS7BJUL9OWUGJ1B02" localSheetId="19" hidden="1">#REF!</definedName>
    <definedName name="BEx77P0S3GVMS7BJUL9OWUGJ1B02" hidden="1">#REF!</definedName>
    <definedName name="BEx77QDESURI6WW5582YXSK3A972" localSheetId="8" hidden="1">#REF!</definedName>
    <definedName name="BEx77QDESURI6WW5582YXSK3A972" localSheetId="19" hidden="1">#REF!</definedName>
    <definedName name="BEx77QDESURI6WW5582YXSK3A972" hidden="1">#REF!</definedName>
    <definedName name="BEx77VBI9XOPFHKEWU5EHQ9J675Y" localSheetId="8" hidden="1">#REF!</definedName>
    <definedName name="BEx77VBI9XOPFHKEWU5EHQ9J675Y" localSheetId="19" hidden="1">#REF!</definedName>
    <definedName name="BEx77VBI9XOPFHKEWU5EHQ9J675Y" hidden="1">#REF!</definedName>
    <definedName name="BEx7809GQOCLHSNH95VOYIX7P1TV" localSheetId="8" hidden="1">#REF!</definedName>
    <definedName name="BEx7809GQOCLHSNH95VOYIX7P1TV" localSheetId="19" hidden="1">#REF!</definedName>
    <definedName name="BEx7809GQOCLHSNH95VOYIX7P1TV" hidden="1">#REF!</definedName>
    <definedName name="BEx780K8XAXUHGVZGZWQ74DK4CI3" localSheetId="8" hidden="1">#REF!</definedName>
    <definedName name="BEx780K8XAXUHGVZGZWQ74DK4CI3" localSheetId="19" hidden="1">#REF!</definedName>
    <definedName name="BEx780K8XAXUHGVZGZWQ74DK4CI3" hidden="1">#REF!</definedName>
    <definedName name="BEx78226TN58UE0CTY98YEDU0LSL" localSheetId="8" hidden="1">#REF!</definedName>
    <definedName name="BEx78226TN58UE0CTY98YEDU0LSL" localSheetId="19" hidden="1">#REF!</definedName>
    <definedName name="BEx78226TN58UE0CTY98YEDU0LSL" hidden="1">#REF!</definedName>
    <definedName name="BEx7881ZZBWHRAX6W2GY19J8MGEQ" localSheetId="8" hidden="1">#REF!</definedName>
    <definedName name="BEx7881ZZBWHRAX6W2GY19J8MGEQ" localSheetId="19" hidden="1">#REF!</definedName>
    <definedName name="BEx7881ZZBWHRAX6W2GY19J8MGEQ" hidden="1">#REF!</definedName>
    <definedName name="BEx78BSYINF85GYNSCIRD95PH86Q" localSheetId="8" hidden="1">#REF!</definedName>
    <definedName name="BEx78BSYINF85GYNSCIRD95PH86Q" localSheetId="19" hidden="1">#REF!</definedName>
    <definedName name="BEx78BSYINF85GYNSCIRD95PH86Q" hidden="1">#REF!</definedName>
    <definedName name="BEx78HHRIWDLHQX2LG0HWFRYEL1T" localSheetId="8" hidden="1">#REF!</definedName>
    <definedName name="BEx78HHRIWDLHQX2LG0HWFRYEL1T" localSheetId="19" hidden="1">#REF!</definedName>
    <definedName name="BEx78HHRIWDLHQX2LG0HWFRYEL1T" hidden="1">#REF!</definedName>
    <definedName name="BEx78QC4X2YVM9K6MQRB2WJG36N3" localSheetId="8" hidden="1">#REF!</definedName>
    <definedName name="BEx78QC4X2YVM9K6MQRB2WJG36N3" localSheetId="19" hidden="1">#REF!</definedName>
    <definedName name="BEx78QC4X2YVM9K6MQRB2WJG36N3" hidden="1">#REF!</definedName>
    <definedName name="BEx78QMXZ2P1ZB3HJ9O50DWHCMXR" localSheetId="8" hidden="1">#REF!</definedName>
    <definedName name="BEx78QMXZ2P1ZB3HJ9O50DWHCMXR" localSheetId="19" hidden="1">#REF!</definedName>
    <definedName name="BEx78QMXZ2P1ZB3HJ9O50DWHCMXR" hidden="1">#REF!</definedName>
    <definedName name="BEx78SFO5VR28677DWZEMDN7G86X" localSheetId="8" hidden="1">#REF!</definedName>
    <definedName name="BEx78SFO5VR28677DWZEMDN7G86X" localSheetId="19" hidden="1">#REF!</definedName>
    <definedName name="BEx78SFO5VR28677DWZEMDN7G86X" hidden="1">#REF!</definedName>
    <definedName name="BEx78SFOYH1Z0ZDTO47W2M60TW6K" localSheetId="8" hidden="1">#REF!</definedName>
    <definedName name="BEx78SFOYH1Z0ZDTO47W2M60TW6K" localSheetId="19" hidden="1">#REF!</definedName>
    <definedName name="BEx78SFOYH1Z0ZDTO47W2M60TW6K" hidden="1">#REF!</definedName>
    <definedName name="BEx7974EARYYX2ICWU0YC50VO5D8" localSheetId="8" hidden="1">#REF!</definedName>
    <definedName name="BEx7974EARYYX2ICWU0YC50VO5D8" localSheetId="19" hidden="1">#REF!</definedName>
    <definedName name="BEx7974EARYYX2ICWU0YC50VO5D8" hidden="1">#REF!</definedName>
    <definedName name="BEx79JK3E6JO8MX4O35A5G8NZCC8" localSheetId="8" hidden="1">#REF!</definedName>
    <definedName name="BEx79JK3E6JO8MX4O35A5G8NZCC8" localSheetId="19" hidden="1">#REF!</definedName>
    <definedName name="BEx79JK3E6JO8MX4O35A5G8NZCC8" hidden="1">#REF!</definedName>
    <definedName name="BEx79OCP4HQ6XP8EWNGEUDLOZBBS" localSheetId="8" hidden="1">#REF!</definedName>
    <definedName name="BEx79OCP4HQ6XP8EWNGEUDLOZBBS" localSheetId="19" hidden="1">#REF!</definedName>
    <definedName name="BEx79OCP4HQ6XP8EWNGEUDLOZBBS" hidden="1">#REF!</definedName>
    <definedName name="BEx79SEAYKUZB0H4LYBCD6WWJBG2" localSheetId="8" hidden="1">#REF!</definedName>
    <definedName name="BEx79SEAYKUZB0H4LYBCD6WWJBG2" localSheetId="19" hidden="1">#REF!</definedName>
    <definedName name="BEx79SEAYKUZB0H4LYBCD6WWJBG2" hidden="1">#REF!</definedName>
    <definedName name="BEx79SJRHTLS9PYM69O9BWW1FMJK" localSheetId="8" hidden="1">#REF!</definedName>
    <definedName name="BEx79SJRHTLS9PYM69O9BWW1FMJK" localSheetId="19" hidden="1">#REF!</definedName>
    <definedName name="BEx79SJRHTLS9PYM69O9BWW1FMJK" hidden="1">#REF!</definedName>
    <definedName name="BEx79YJJLBELICW9F9FRYSCQ101L" localSheetId="8" hidden="1">#REF!</definedName>
    <definedName name="BEx79YJJLBELICW9F9FRYSCQ101L" localSheetId="19" hidden="1">#REF!</definedName>
    <definedName name="BEx79YJJLBELICW9F9FRYSCQ101L" hidden="1">#REF!</definedName>
    <definedName name="BEx79YUC7B0V77FSBGIRCY1BR4VK" localSheetId="8" hidden="1">#REF!</definedName>
    <definedName name="BEx79YUC7B0V77FSBGIRCY1BR4VK" localSheetId="19" hidden="1">#REF!</definedName>
    <definedName name="BEx79YUC7B0V77FSBGIRCY1BR4VK" hidden="1">#REF!</definedName>
    <definedName name="BEx7A06T3RC2891FUX05G3QPRAUE" localSheetId="8" hidden="1">#REF!</definedName>
    <definedName name="BEx7A06T3RC2891FUX05G3QPRAUE" localSheetId="19" hidden="1">#REF!</definedName>
    <definedName name="BEx7A06T3RC2891FUX05G3QPRAUE" hidden="1">#REF!</definedName>
    <definedName name="BEx7A9S3JA1X7FH4CFSQLTZC4691" localSheetId="8" hidden="1">#REF!</definedName>
    <definedName name="BEx7A9S3JA1X7FH4CFSQLTZC4691" localSheetId="19" hidden="1">#REF!</definedName>
    <definedName name="BEx7A9S3JA1X7FH4CFSQLTZC4691" hidden="1">#REF!</definedName>
    <definedName name="BEx7ABA2C9IWH5VSLVLLLCY62161" localSheetId="8" hidden="1">#REF!</definedName>
    <definedName name="BEx7ABA2C9IWH5VSLVLLLCY62161" localSheetId="19" hidden="1">#REF!</definedName>
    <definedName name="BEx7ABA2C9IWH5VSLVLLLCY62161" hidden="1">#REF!</definedName>
    <definedName name="BEx7AE4LPLX8N85BYB0WCO5S7ZPV" localSheetId="8" hidden="1">#REF!</definedName>
    <definedName name="BEx7AE4LPLX8N85BYB0WCO5S7ZPV" localSheetId="19" hidden="1">#REF!</definedName>
    <definedName name="BEx7AE4LPLX8N85BYB0WCO5S7ZPV" hidden="1">#REF!</definedName>
    <definedName name="BEx7AR0EEP9O5JPPEKQWG1TC860T" localSheetId="8" hidden="1">#REF!</definedName>
    <definedName name="BEx7AR0EEP9O5JPPEKQWG1TC860T" localSheetId="19" hidden="1">#REF!</definedName>
    <definedName name="BEx7AR0EEP9O5JPPEKQWG1TC860T" hidden="1">#REF!</definedName>
    <definedName name="BEx7ASD1I654MEDCO6GGWA95PXSC" localSheetId="8" hidden="1">#REF!</definedName>
    <definedName name="BEx7ASD1I654MEDCO6GGWA95PXSC" localSheetId="19" hidden="1">#REF!</definedName>
    <definedName name="BEx7ASD1I654MEDCO6GGWA95PXSC" hidden="1">#REF!</definedName>
    <definedName name="BEx7AURD3S7JGN4D3YK1QAG6TAFA" localSheetId="8" hidden="1">#REF!</definedName>
    <definedName name="BEx7AURD3S7JGN4D3YK1QAG6TAFA" localSheetId="19" hidden="1">#REF!</definedName>
    <definedName name="BEx7AURD3S7JGN4D3YK1QAG6TAFA" hidden="1">#REF!</definedName>
    <definedName name="BEx7AVCX9S5RJP3NSZ4QM4E6ERDT" localSheetId="8" hidden="1">#REF!</definedName>
    <definedName name="BEx7AVCX9S5RJP3NSZ4QM4E6ERDT" localSheetId="19" hidden="1">#REF!</definedName>
    <definedName name="BEx7AVCX9S5RJP3NSZ4QM4E6ERDT" hidden="1">#REF!</definedName>
    <definedName name="BEx7AVYIGP0930MV5JEBWRYCJN68" localSheetId="8" hidden="1">#REF!</definedName>
    <definedName name="BEx7AVYIGP0930MV5JEBWRYCJN68" localSheetId="19" hidden="1">#REF!</definedName>
    <definedName name="BEx7AVYIGP0930MV5JEBWRYCJN68" hidden="1">#REF!</definedName>
    <definedName name="BEx7B6LH6917TXOSAAQ6U7HVF018" localSheetId="8" hidden="1">#REF!</definedName>
    <definedName name="BEx7B6LH6917TXOSAAQ6U7HVF018" localSheetId="19" hidden="1">#REF!</definedName>
    <definedName name="BEx7B6LH6917TXOSAAQ6U7HVF018" hidden="1">#REF!</definedName>
    <definedName name="BEx7BN8E88JR3K1BSLAZRPSFPQ9L" localSheetId="8" hidden="1">#REF!</definedName>
    <definedName name="BEx7BN8E88JR3K1BSLAZRPSFPQ9L" localSheetId="19" hidden="1">#REF!</definedName>
    <definedName name="BEx7BN8E88JR3K1BSLAZRPSFPQ9L" hidden="1">#REF!</definedName>
    <definedName name="BEx7BP14RMS3638K85OM4NCYLRHG" localSheetId="8" hidden="1">#REF!</definedName>
    <definedName name="BEx7BP14RMS3638K85OM4NCYLRHG" localSheetId="19" hidden="1">#REF!</definedName>
    <definedName name="BEx7BP14RMS3638K85OM4NCYLRHG" hidden="1">#REF!</definedName>
    <definedName name="BEx7BPXFZXJ79FQ0E8AQE21PGVHA" localSheetId="8" hidden="1">#REF!</definedName>
    <definedName name="BEx7BPXFZXJ79FQ0E8AQE21PGVHA" localSheetId="19" hidden="1">#REF!</definedName>
    <definedName name="BEx7BPXFZXJ79FQ0E8AQE21PGVHA" hidden="1">#REF!</definedName>
    <definedName name="BEx7C04AM39DQMC1TIX7CFZ2ADHX" localSheetId="8" hidden="1">#REF!</definedName>
    <definedName name="BEx7C04AM39DQMC1TIX7CFZ2ADHX" localSheetId="19" hidden="1">#REF!</definedName>
    <definedName name="BEx7C04AM39DQMC1TIX7CFZ2ADHX" hidden="1">#REF!</definedName>
    <definedName name="BEx7C346X4AX2J1QPM4NBC7JL5W9" localSheetId="8" hidden="1">#REF!</definedName>
    <definedName name="BEx7C346X4AX2J1QPM4NBC7JL5W9" localSheetId="19" hidden="1">#REF!</definedName>
    <definedName name="BEx7C346X4AX2J1QPM4NBC7JL5W9" hidden="1">#REF!</definedName>
    <definedName name="BEx7C40F0PQURHPI6YQ39NFIR86Z" localSheetId="8" hidden="1">#REF!</definedName>
    <definedName name="BEx7C40F0PQURHPI6YQ39NFIR86Z" localSheetId="19" hidden="1">#REF!</definedName>
    <definedName name="BEx7C40F0PQURHPI6YQ39NFIR86Z" hidden="1">#REF!</definedName>
    <definedName name="BEx7C7B9VCY7N0H7N1NH6HNNH724" localSheetId="8" hidden="1">#REF!</definedName>
    <definedName name="BEx7C7B9VCY7N0H7N1NH6HNNH724" localSheetId="19" hidden="1">#REF!</definedName>
    <definedName name="BEx7C7B9VCY7N0H7N1NH6HNNH724" hidden="1">#REF!</definedName>
    <definedName name="BEx7C93VR7SYRIJS1JO8YZKSFAW9" localSheetId="8" hidden="1">#REF!</definedName>
    <definedName name="BEx7C93VR7SYRIJS1JO8YZKSFAW9" localSheetId="19" hidden="1">#REF!</definedName>
    <definedName name="BEx7C93VR7SYRIJS1JO8YZKSFAW9" hidden="1">#REF!</definedName>
    <definedName name="BEx7CCPC6R1KQQZ2JQU6EFI1G0RM" localSheetId="8" hidden="1">#REF!</definedName>
    <definedName name="BEx7CCPC6R1KQQZ2JQU6EFI1G0RM" localSheetId="19" hidden="1">#REF!</definedName>
    <definedName name="BEx7CCPC6R1KQQZ2JQU6EFI1G0RM" hidden="1">#REF!</definedName>
    <definedName name="BEx7CIJST9GLS2QD383UK7VUDTGL" localSheetId="8" hidden="1">#REF!</definedName>
    <definedName name="BEx7CIJST9GLS2QD383UK7VUDTGL" localSheetId="19" hidden="1">#REF!</definedName>
    <definedName name="BEx7CIJST9GLS2QD383UK7VUDTGL" hidden="1">#REF!</definedName>
    <definedName name="BEx7CO8T2XKC7GHDSYNAWTZ9L7YR" localSheetId="8" hidden="1">#REF!</definedName>
    <definedName name="BEx7CO8T2XKC7GHDSYNAWTZ9L7YR" localSheetId="19" hidden="1">#REF!</definedName>
    <definedName name="BEx7CO8T2XKC7GHDSYNAWTZ9L7YR" hidden="1">#REF!</definedName>
    <definedName name="BEx7CW1CF00DO8A36UNC2X7K65C2" localSheetId="8" hidden="1">#REF!</definedName>
    <definedName name="BEx7CW1CF00DO8A36UNC2X7K65C2" localSheetId="19" hidden="1">#REF!</definedName>
    <definedName name="BEx7CW1CF00DO8A36UNC2X7K65C2" hidden="1">#REF!</definedName>
    <definedName name="BEx7CW6NFRL2P4XWP0MWHIYA97KF" localSheetId="8" hidden="1">#REF!</definedName>
    <definedName name="BEx7CW6NFRL2P4XWP0MWHIYA97KF" localSheetId="19" hidden="1">#REF!</definedName>
    <definedName name="BEx7CW6NFRL2P4XWP0MWHIYA97KF" hidden="1">#REF!</definedName>
    <definedName name="BEx7CZXN83U7XFVGG1P1N6ZCQK7U" localSheetId="8" hidden="1">#REF!</definedName>
    <definedName name="BEx7CZXN83U7XFVGG1P1N6ZCQK7U" localSheetId="19" hidden="1">#REF!</definedName>
    <definedName name="BEx7CZXN83U7XFVGG1P1N6ZCQK7U" hidden="1">#REF!</definedName>
    <definedName name="BEx7D14R4J25CLH301NHMGU8FSWM" localSheetId="8" hidden="1">#REF!</definedName>
    <definedName name="BEx7D14R4J25CLH301NHMGU8FSWM" localSheetId="19" hidden="1">#REF!</definedName>
    <definedName name="BEx7D14R4J25CLH301NHMGU8FSWM" hidden="1">#REF!</definedName>
    <definedName name="BEx7D38BE0Z9QLQBDMGARM9USFPM" localSheetId="8" hidden="1">#REF!</definedName>
    <definedName name="BEx7D38BE0Z9QLQBDMGARM9USFPM" localSheetId="19" hidden="1">#REF!</definedName>
    <definedName name="BEx7D38BE0Z9QLQBDMGARM9USFPM" hidden="1">#REF!</definedName>
    <definedName name="BEx7D5RWKRS4W71J4NZ6ZSFHPKFT" localSheetId="8" hidden="1">#REF!</definedName>
    <definedName name="BEx7D5RWKRS4W71J4NZ6ZSFHPKFT" localSheetId="19" hidden="1">#REF!</definedName>
    <definedName name="BEx7D5RWKRS4W71J4NZ6ZSFHPKFT" hidden="1">#REF!</definedName>
    <definedName name="BEx7D8H1TPOX1UN17QZYEV7Q58GA" localSheetId="8" hidden="1">#REF!</definedName>
    <definedName name="BEx7D8H1TPOX1UN17QZYEV7Q58GA" localSheetId="19" hidden="1">#REF!</definedName>
    <definedName name="BEx7D8H1TPOX1UN17QZYEV7Q58GA" hidden="1">#REF!</definedName>
    <definedName name="BEx7DGF13H2074LRWFZQ45PZ6JPX" localSheetId="8" hidden="1">#REF!</definedName>
    <definedName name="BEx7DGF13H2074LRWFZQ45PZ6JPX" localSheetId="19" hidden="1">#REF!</definedName>
    <definedName name="BEx7DGF13H2074LRWFZQ45PZ6JPX" hidden="1">#REF!</definedName>
    <definedName name="BEx7DHBE0SOC5KXWWQ73WUDBRX8J" localSheetId="8" hidden="1">#REF!</definedName>
    <definedName name="BEx7DHBE0SOC5KXWWQ73WUDBRX8J" localSheetId="19" hidden="1">#REF!</definedName>
    <definedName name="BEx7DHBE0SOC5KXWWQ73WUDBRX8J" hidden="1">#REF!</definedName>
    <definedName name="BEx7DKWUXEDIISSX4GDD4YYT887F" localSheetId="8" hidden="1">#REF!</definedName>
    <definedName name="BEx7DKWUXEDIISSX4GDD4YYT887F" localSheetId="19" hidden="1">#REF!</definedName>
    <definedName name="BEx7DKWUXEDIISSX4GDD4YYT887F" hidden="1">#REF!</definedName>
    <definedName name="BEx7DMUYR2HC26WW7AOB1TULERMB" localSheetId="8" hidden="1">#REF!</definedName>
    <definedName name="BEx7DMUYR2HC26WW7AOB1TULERMB" localSheetId="19" hidden="1">#REF!</definedName>
    <definedName name="BEx7DMUYR2HC26WW7AOB1TULERMB" hidden="1">#REF!</definedName>
    <definedName name="BEx7DVJTRV44IMJIBFXELE67SZ7S" localSheetId="8" hidden="1">#REF!</definedName>
    <definedName name="BEx7DVJTRV44IMJIBFXELE67SZ7S" localSheetId="19" hidden="1">#REF!</definedName>
    <definedName name="BEx7DVJTRV44IMJIBFXELE67SZ7S" hidden="1">#REF!</definedName>
    <definedName name="BEx7DVUMFCI5INHMVFIJ44RTTSTT" localSheetId="8" hidden="1">#REF!</definedName>
    <definedName name="BEx7DVUMFCI5INHMVFIJ44RTTSTT" localSheetId="19" hidden="1">#REF!</definedName>
    <definedName name="BEx7DVUMFCI5INHMVFIJ44RTTSTT" hidden="1">#REF!</definedName>
    <definedName name="BEx7E2QT2U8THYOKBPXONB1B47WH" localSheetId="8" hidden="1">#REF!</definedName>
    <definedName name="BEx7E2QT2U8THYOKBPXONB1B47WH" localSheetId="19" hidden="1">#REF!</definedName>
    <definedName name="BEx7E2QT2U8THYOKBPXONB1B47WH" hidden="1">#REF!</definedName>
    <definedName name="BEx7E5QP7W6UKO74F5Y0VJ741HS5" localSheetId="8" hidden="1">#REF!</definedName>
    <definedName name="BEx7E5QP7W6UKO74F5Y0VJ741HS5" localSheetId="19" hidden="1">#REF!</definedName>
    <definedName name="BEx7E5QP7W6UKO74F5Y0VJ741HS5" hidden="1">#REF!</definedName>
    <definedName name="BEx7E6N29HGH3I47AFB2DCS6MVS6" localSheetId="8" hidden="1">#REF!</definedName>
    <definedName name="BEx7E6N29HGH3I47AFB2DCS6MVS6" localSheetId="19" hidden="1">#REF!</definedName>
    <definedName name="BEx7E6N29HGH3I47AFB2DCS6MVS6" hidden="1">#REF!</definedName>
    <definedName name="BEx7EBA8IYHQKT7IQAOAML660SYA" localSheetId="8" hidden="1">#REF!</definedName>
    <definedName name="BEx7EBA8IYHQKT7IQAOAML660SYA" localSheetId="19" hidden="1">#REF!</definedName>
    <definedName name="BEx7EBA8IYHQKT7IQAOAML660SYA" hidden="1">#REF!</definedName>
    <definedName name="BEx7EI6C8MCRZFEQYUBE5FSUTIHK" localSheetId="8" hidden="1">#REF!</definedName>
    <definedName name="BEx7EI6C8MCRZFEQYUBE5FSUTIHK" localSheetId="19" hidden="1">#REF!</definedName>
    <definedName name="BEx7EI6C8MCRZFEQYUBE5FSUTIHK" hidden="1">#REF!</definedName>
    <definedName name="BEx7EI6DL1Z6UWLFBXAKVGZTKHWJ" localSheetId="8" hidden="1">#REF!</definedName>
    <definedName name="BEx7EI6DL1Z6UWLFBXAKVGZTKHWJ" localSheetId="19" hidden="1">#REF!</definedName>
    <definedName name="BEx7EI6DL1Z6UWLFBXAKVGZTKHWJ" hidden="1">#REF!</definedName>
    <definedName name="BEx7EQKHX7GZYOLXRDU534TT4H64" localSheetId="8" hidden="1">#REF!</definedName>
    <definedName name="BEx7EQKHX7GZYOLXRDU534TT4H64" localSheetId="19" hidden="1">#REF!</definedName>
    <definedName name="BEx7EQKHX7GZYOLXRDU534TT4H64" hidden="1">#REF!</definedName>
    <definedName name="BEx7ETV6L1TM7JSXJIGK3FC6RVZW" localSheetId="8" hidden="1">#REF!</definedName>
    <definedName name="BEx7ETV6L1TM7JSXJIGK3FC6RVZW" localSheetId="19" hidden="1">#REF!</definedName>
    <definedName name="BEx7ETV6L1TM7JSXJIGK3FC6RVZW" hidden="1">#REF!</definedName>
    <definedName name="BEx7EYYLHMBYQTH6I377FCQS7CSX" localSheetId="8" hidden="1">#REF!</definedName>
    <definedName name="BEx7EYYLHMBYQTH6I377FCQS7CSX" localSheetId="19" hidden="1">#REF!</definedName>
    <definedName name="BEx7EYYLHMBYQTH6I377FCQS7CSX" hidden="1">#REF!</definedName>
    <definedName name="BEx7FCLG1RYI2SNOU1Y2GQZNZSWA" localSheetId="8" hidden="1">#REF!</definedName>
    <definedName name="BEx7FCLG1RYI2SNOU1Y2GQZNZSWA" localSheetId="19" hidden="1">#REF!</definedName>
    <definedName name="BEx7FCLG1RYI2SNOU1Y2GQZNZSWA" hidden="1">#REF!</definedName>
    <definedName name="BEx7FN32ZGWOAA4TTH79KINTDWR9" localSheetId="8" hidden="1">#REF!</definedName>
    <definedName name="BEx7FN32ZGWOAA4TTH79KINTDWR9" localSheetId="19" hidden="1">#REF!</definedName>
    <definedName name="BEx7FN32ZGWOAA4TTH79KINTDWR9" hidden="1">#REF!</definedName>
    <definedName name="BEx7FV0WJHXL6X5JNQ2ZX45PX49P" localSheetId="8" hidden="1">#REF!</definedName>
    <definedName name="BEx7FV0WJHXL6X5JNQ2ZX45PX49P" localSheetId="19" hidden="1">#REF!</definedName>
    <definedName name="BEx7FV0WJHXL6X5JNQ2ZX45PX49P" hidden="1">#REF!</definedName>
    <definedName name="BEx7G82CKM3NIY1PHNFK28M09PCH" localSheetId="8" hidden="1">#REF!</definedName>
    <definedName name="BEx7G82CKM3NIY1PHNFK28M09PCH" localSheetId="19" hidden="1">#REF!</definedName>
    <definedName name="BEx7G82CKM3NIY1PHNFK28M09PCH" hidden="1">#REF!</definedName>
    <definedName name="BEx7GR3ENYWRXXS5IT0UMEGOLGUH" localSheetId="8" hidden="1">#REF!</definedName>
    <definedName name="BEx7GR3ENYWRXXS5IT0UMEGOLGUH" localSheetId="19" hidden="1">#REF!</definedName>
    <definedName name="BEx7GR3ENYWRXXS5IT0UMEGOLGUH" hidden="1">#REF!</definedName>
    <definedName name="BEx7GSAL6P7TASL8MB63RFST1LJL" localSheetId="8" hidden="1">#REF!</definedName>
    <definedName name="BEx7GSAL6P7TASL8MB63RFST1LJL" localSheetId="19" hidden="1">#REF!</definedName>
    <definedName name="BEx7GSAL6P7TASL8MB63RFST1LJL" hidden="1">#REF!</definedName>
    <definedName name="BEx7H0JD6I5I8WQLLWOYWY5YWPQE" localSheetId="8" hidden="1">#REF!</definedName>
    <definedName name="BEx7H0JD6I5I8WQLLWOYWY5YWPQE" localSheetId="19" hidden="1">#REF!</definedName>
    <definedName name="BEx7H0JD6I5I8WQLLWOYWY5YWPQE" hidden="1">#REF!</definedName>
    <definedName name="BEx7H14XCXH7WEXEY1HVO53A6AGH" localSheetId="8" hidden="1">#REF!</definedName>
    <definedName name="BEx7H14XCXH7WEXEY1HVO53A6AGH" localSheetId="19" hidden="1">#REF!</definedName>
    <definedName name="BEx7H14XCXH7WEXEY1HVO53A6AGH" hidden="1">#REF!</definedName>
    <definedName name="BEx7HGVBEF4LEIF6RC14N3PSU461" localSheetId="8" hidden="1">#REF!</definedName>
    <definedName name="BEx7HGVBEF4LEIF6RC14N3PSU461" localSheetId="19" hidden="1">#REF!</definedName>
    <definedName name="BEx7HGVBEF4LEIF6RC14N3PSU461" hidden="1">#REF!</definedName>
    <definedName name="BEx7HQ5T9FZ42QWS09UO4DT42Y0R" localSheetId="8" hidden="1">#REF!</definedName>
    <definedName name="BEx7HQ5T9FZ42QWS09UO4DT42Y0R" localSheetId="19" hidden="1">#REF!</definedName>
    <definedName name="BEx7HQ5T9FZ42QWS09UO4DT42Y0R" hidden="1">#REF!</definedName>
    <definedName name="BEx7HRCZE3CVGON1HV07MT5MNDZ3" localSheetId="8" hidden="1">#REF!</definedName>
    <definedName name="BEx7HRCZE3CVGON1HV07MT5MNDZ3" localSheetId="19" hidden="1">#REF!</definedName>
    <definedName name="BEx7HRCZE3CVGON1HV07MT5MNDZ3" hidden="1">#REF!</definedName>
    <definedName name="BEx7HWGE2CANG5M17X4C8YNC3N8F" localSheetId="8" hidden="1">#REF!</definedName>
    <definedName name="BEx7HWGE2CANG5M17X4C8YNC3N8F" localSheetId="19" hidden="1">#REF!</definedName>
    <definedName name="BEx7HWGE2CANG5M17X4C8YNC3N8F" hidden="1">#REF!</definedName>
    <definedName name="BEx7IB54GU5UCTJS549UBDW43EJL" localSheetId="8" hidden="1">#REF!</definedName>
    <definedName name="BEx7IB54GU5UCTJS549UBDW43EJL" localSheetId="19" hidden="1">#REF!</definedName>
    <definedName name="BEx7IB54GU5UCTJS549UBDW43EJL" hidden="1">#REF!</definedName>
    <definedName name="BEx7IBVYN47SFZIA0K4MDKQZNN9V" localSheetId="8" hidden="1">#REF!</definedName>
    <definedName name="BEx7IBVYN47SFZIA0K4MDKQZNN9V" localSheetId="19" hidden="1">#REF!</definedName>
    <definedName name="BEx7IBVYN47SFZIA0K4MDKQZNN9V" hidden="1">#REF!</definedName>
    <definedName name="BEx7IGOMJB39HUONENRXTK1MFHGE" localSheetId="8" hidden="1">#REF!</definedName>
    <definedName name="BEx7IGOMJB39HUONENRXTK1MFHGE" localSheetId="19" hidden="1">#REF!</definedName>
    <definedName name="BEx7IGOMJB39HUONENRXTK1MFHGE" hidden="1">#REF!</definedName>
    <definedName name="BEx7ISO6LTCYYDK0J6IN4PG2P6SW" localSheetId="8" hidden="1">#REF!</definedName>
    <definedName name="BEx7ISO6LTCYYDK0J6IN4PG2P6SW" localSheetId="19" hidden="1">#REF!</definedName>
    <definedName name="BEx7ISO6LTCYYDK0J6IN4PG2P6SW" hidden="1">#REF!</definedName>
    <definedName name="BEx7IV2IJ5WT7UC0UG7WP0WF2JZI" localSheetId="8" hidden="1">#REF!</definedName>
    <definedName name="BEx7IV2IJ5WT7UC0UG7WP0WF2JZI" localSheetId="19" hidden="1">#REF!</definedName>
    <definedName name="BEx7IV2IJ5WT7UC0UG7WP0WF2JZI" hidden="1">#REF!</definedName>
    <definedName name="BEx7IXGU74GE5E4S6W4Z13AR092Y" localSheetId="8" hidden="1">#REF!</definedName>
    <definedName name="BEx7IXGU74GE5E4S6W4Z13AR092Y" localSheetId="19" hidden="1">#REF!</definedName>
    <definedName name="BEx7IXGU74GE5E4S6W4Z13AR092Y" hidden="1">#REF!</definedName>
    <definedName name="BEx7J4YL8Q3BI1MLH16YYQ18IJRD" localSheetId="8" hidden="1">#REF!</definedName>
    <definedName name="BEx7J4YL8Q3BI1MLH16YYQ18IJRD" localSheetId="19" hidden="1">#REF!</definedName>
    <definedName name="BEx7J4YL8Q3BI1MLH16YYQ18IJRD" hidden="1">#REF!</definedName>
    <definedName name="BEx7J5K5QVUOXI6A663KUWL6PO3O" localSheetId="8" hidden="1">#REF!</definedName>
    <definedName name="BEx7J5K5QVUOXI6A663KUWL6PO3O" localSheetId="19" hidden="1">#REF!</definedName>
    <definedName name="BEx7J5K5QVUOXI6A663KUWL6PO3O" hidden="1">#REF!</definedName>
    <definedName name="BEx7JH3HGBPI07OHZ5LFYK0UFZQR" localSheetId="8" hidden="1">#REF!</definedName>
    <definedName name="BEx7JH3HGBPI07OHZ5LFYK0UFZQR" localSheetId="19" hidden="1">#REF!</definedName>
    <definedName name="BEx7JH3HGBPI07OHZ5LFYK0UFZQR" hidden="1">#REF!</definedName>
    <definedName name="BEx7JRL3MHRMVLQF3EN15MXRPN68" localSheetId="8" hidden="1">#REF!</definedName>
    <definedName name="BEx7JRL3MHRMVLQF3EN15MXRPN68" localSheetId="19" hidden="1">#REF!</definedName>
    <definedName name="BEx7JRL3MHRMVLQF3EN15MXRPN68" hidden="1">#REF!</definedName>
    <definedName name="BEx7JV194190CNM6WWGQ3UBJ3CHH" localSheetId="8" hidden="1">#REF!</definedName>
    <definedName name="BEx7JV194190CNM6WWGQ3UBJ3CHH" localSheetId="19" hidden="1">#REF!</definedName>
    <definedName name="BEx7JV194190CNM6WWGQ3UBJ3CHH" hidden="1">#REF!</definedName>
    <definedName name="BEx7JZJ4AE8AGMWPK3XPBTBUBZ48" localSheetId="8" hidden="1">#REF!</definedName>
    <definedName name="BEx7JZJ4AE8AGMWPK3XPBTBUBZ48" localSheetId="19" hidden="1">#REF!</definedName>
    <definedName name="BEx7JZJ4AE8AGMWPK3XPBTBUBZ48" hidden="1">#REF!</definedName>
    <definedName name="BEx7K7GZ607XQOGB81A1HINBTGOZ" localSheetId="8" hidden="1">#REF!</definedName>
    <definedName name="BEx7K7GZ607XQOGB81A1HINBTGOZ" localSheetId="19" hidden="1">#REF!</definedName>
    <definedName name="BEx7K7GZ607XQOGB81A1HINBTGOZ" hidden="1">#REF!</definedName>
    <definedName name="BEx7KEYPBDXSNROH8M6CDCBN6B50" localSheetId="8" hidden="1">#REF!</definedName>
    <definedName name="BEx7KEYPBDXSNROH8M6CDCBN6B50" localSheetId="19" hidden="1">#REF!</definedName>
    <definedName name="BEx7KEYPBDXSNROH8M6CDCBN6B50" hidden="1">#REF!</definedName>
    <definedName name="BEx7KH7PZ0A6FSWA4LAN2CMZ0WSF" localSheetId="8" hidden="1">#REF!</definedName>
    <definedName name="BEx7KH7PZ0A6FSWA4LAN2CMZ0WSF" localSheetId="19" hidden="1">#REF!</definedName>
    <definedName name="BEx7KH7PZ0A6FSWA4LAN2CMZ0WSF" hidden="1">#REF!</definedName>
    <definedName name="BEx7KNCTL6VMNQP4MFMHOMV1WI1Y" localSheetId="8" hidden="1">#REF!</definedName>
    <definedName name="BEx7KNCTL6VMNQP4MFMHOMV1WI1Y" localSheetId="19" hidden="1">#REF!</definedName>
    <definedName name="BEx7KNCTL6VMNQP4MFMHOMV1WI1Y" hidden="1">#REF!</definedName>
    <definedName name="BEx7KSAS8BZT6H8OQCZ5DNSTMO07" localSheetId="8" hidden="1">#REF!</definedName>
    <definedName name="BEx7KSAS8BZT6H8OQCZ5DNSTMO07" localSheetId="19" hidden="1">#REF!</definedName>
    <definedName name="BEx7KSAS8BZT6H8OQCZ5DNSTMO07" hidden="1">#REF!</definedName>
    <definedName name="BEx7KWHTBD21COXVI4HNEQH0Z3L8" localSheetId="8" hidden="1">#REF!</definedName>
    <definedName name="BEx7KWHTBD21COXVI4HNEQH0Z3L8" localSheetId="19" hidden="1">#REF!</definedName>
    <definedName name="BEx7KWHTBD21COXVI4HNEQH0Z3L8" hidden="1">#REF!</definedName>
    <definedName name="BEx7KXUGRMRSUXCM97Z7VRZQ9JH2" localSheetId="8" hidden="1">#REF!</definedName>
    <definedName name="BEx7KXUGRMRSUXCM97Z7VRZQ9JH2" localSheetId="19" hidden="1">#REF!</definedName>
    <definedName name="BEx7KXUGRMRSUXCM97Z7VRZQ9JH2" hidden="1">#REF!</definedName>
    <definedName name="BEx7L5C6U8MP6IZ67BD649WQYJEK" localSheetId="8" hidden="1">#REF!</definedName>
    <definedName name="BEx7L5C6U8MP6IZ67BD649WQYJEK" localSheetId="19" hidden="1">#REF!</definedName>
    <definedName name="BEx7L5C6U8MP6IZ67BD649WQYJEK" hidden="1">#REF!</definedName>
    <definedName name="BEx7L8HEYEVTATR0OG5JJO647KNI" localSheetId="8" hidden="1">#REF!</definedName>
    <definedName name="BEx7L8HEYEVTATR0OG5JJO647KNI" localSheetId="19" hidden="1">#REF!</definedName>
    <definedName name="BEx7L8HEYEVTATR0OG5JJO647KNI" hidden="1">#REF!</definedName>
    <definedName name="BEx7L8XOV64OMS15ZFURFEUXLMWF" localSheetId="8" hidden="1">#REF!</definedName>
    <definedName name="BEx7L8XOV64OMS15ZFURFEUXLMWF" localSheetId="19" hidden="1">#REF!</definedName>
    <definedName name="BEx7L8XOV64OMS15ZFURFEUXLMWF" hidden="1">#REF!</definedName>
    <definedName name="BEx7LPF478MRAYB9TQ6LDML6O3BY" localSheetId="8" hidden="1">#REF!</definedName>
    <definedName name="BEx7LPF478MRAYB9TQ6LDML6O3BY" localSheetId="19" hidden="1">#REF!</definedName>
    <definedName name="BEx7LPF478MRAYB9TQ6LDML6O3BY" hidden="1">#REF!</definedName>
    <definedName name="BEx7LPV780NFCG1VX4EKJ29YXOLZ" localSheetId="8" hidden="1">#REF!</definedName>
    <definedName name="BEx7LPV780NFCG1VX4EKJ29YXOLZ" localSheetId="19" hidden="1">#REF!</definedName>
    <definedName name="BEx7LPV780NFCG1VX4EKJ29YXOLZ" hidden="1">#REF!</definedName>
    <definedName name="BEx7LQ0PD30NJWOAYKPEYHM9J83B" localSheetId="8" hidden="1">#REF!</definedName>
    <definedName name="BEx7LQ0PD30NJWOAYKPEYHM9J83B" localSheetId="19" hidden="1">#REF!</definedName>
    <definedName name="BEx7LQ0PD30NJWOAYKPEYHM9J83B" hidden="1">#REF!</definedName>
    <definedName name="BEx7M4EKEDHZ1ZZ91NDLSUNPUFPZ" localSheetId="8" hidden="1">#REF!</definedName>
    <definedName name="BEx7M4EKEDHZ1ZZ91NDLSUNPUFPZ" localSheetId="19" hidden="1">#REF!</definedName>
    <definedName name="BEx7M4EKEDHZ1ZZ91NDLSUNPUFPZ" hidden="1">#REF!</definedName>
    <definedName name="BEx7MAUI1JJFDIJGDW4RWY5384LY" localSheetId="8" hidden="1">#REF!</definedName>
    <definedName name="BEx7MAUI1JJFDIJGDW4RWY5384LY" localSheetId="19" hidden="1">#REF!</definedName>
    <definedName name="BEx7MAUI1JJFDIJGDW4RWY5384LY" hidden="1">#REF!</definedName>
    <definedName name="BEx7MI1EW6N7FOBHWJLYC02TZSKR" localSheetId="8" hidden="1">#REF!</definedName>
    <definedName name="BEx7MI1EW6N7FOBHWJLYC02TZSKR" localSheetId="19" hidden="1">#REF!</definedName>
    <definedName name="BEx7MI1EW6N7FOBHWJLYC02TZSKR" hidden="1">#REF!</definedName>
    <definedName name="BEx7MJZO3UKAMJ53UWOJ5ZD4GGMQ" localSheetId="8" hidden="1">#REF!</definedName>
    <definedName name="BEx7MJZO3UKAMJ53UWOJ5ZD4GGMQ" localSheetId="19" hidden="1">#REF!</definedName>
    <definedName name="BEx7MJZO3UKAMJ53UWOJ5ZD4GGMQ" hidden="1">#REF!</definedName>
    <definedName name="BEx7MO17TZ6L4457Q12FYYLUUZAZ" localSheetId="8" hidden="1">#REF!</definedName>
    <definedName name="BEx7MO17TZ6L4457Q12FYYLUUZAZ" localSheetId="19" hidden="1">#REF!</definedName>
    <definedName name="BEx7MO17TZ6L4457Q12FYYLUUZAZ" hidden="1">#REF!</definedName>
    <definedName name="BEx7MT4MFNXIVQGAT6D971GZW7CA" localSheetId="8" hidden="1">#REF!</definedName>
    <definedName name="BEx7MT4MFNXIVQGAT6D971GZW7CA" localSheetId="19" hidden="1">#REF!</definedName>
    <definedName name="BEx7MT4MFNXIVQGAT6D971GZW7CA" hidden="1">#REF!</definedName>
    <definedName name="BEx7MUMLPPX92MX7SA8S1PLONDL8" localSheetId="8" hidden="1">#REF!</definedName>
    <definedName name="BEx7MUMLPPX92MX7SA8S1PLONDL8" localSheetId="19" hidden="1">#REF!</definedName>
    <definedName name="BEx7MUMLPPX92MX7SA8S1PLONDL8" hidden="1">#REF!</definedName>
    <definedName name="BEx7MX0W532Q7CB4V6KFVC9WAOUI" localSheetId="8" hidden="1">#REF!</definedName>
    <definedName name="BEx7MX0W532Q7CB4V6KFVC9WAOUI" localSheetId="19" hidden="1">#REF!</definedName>
    <definedName name="BEx7MX0W532Q7CB4V6KFVC9WAOUI" hidden="1">#REF!</definedName>
    <definedName name="BEx7NB403NE748IF75RXMWOFQ986" localSheetId="8" hidden="1">#REF!</definedName>
    <definedName name="BEx7NB403NE748IF75RXMWOFQ986" localSheetId="19" hidden="1">#REF!</definedName>
    <definedName name="BEx7NB403NE748IF75RXMWOFQ986" hidden="1">#REF!</definedName>
    <definedName name="BEx7NI062THZAM6I8AJWTFJL91CS" localSheetId="8" hidden="1">#REF!</definedName>
    <definedName name="BEx7NI062THZAM6I8AJWTFJL91CS" localSheetId="19" hidden="1">#REF!</definedName>
    <definedName name="BEx7NI062THZAM6I8AJWTFJL91CS" hidden="1">#REF!</definedName>
    <definedName name="BEx904S75BPRYMHF0083JF7ES4NG" localSheetId="8" hidden="1">#REF!</definedName>
    <definedName name="BEx904S75BPRYMHF0083JF7ES4NG" localSheetId="19" hidden="1">#REF!</definedName>
    <definedName name="BEx904S75BPRYMHF0083JF7ES4NG" hidden="1">#REF!</definedName>
    <definedName name="BEx90HDD4RWF7JZGA8GCGG7D63MG" localSheetId="8" hidden="1">#REF!</definedName>
    <definedName name="BEx90HDD4RWF7JZGA8GCGG7D63MG" localSheetId="19" hidden="1">#REF!</definedName>
    <definedName name="BEx90HDD4RWF7JZGA8GCGG7D63MG" hidden="1">#REF!</definedName>
    <definedName name="BEx90HO6UVMFVSV8U0YBZFHNCL38" localSheetId="8" hidden="1">#REF!</definedName>
    <definedName name="BEx90HO6UVMFVSV8U0YBZFHNCL38" localSheetId="19" hidden="1">#REF!</definedName>
    <definedName name="BEx90HO6UVMFVSV8U0YBZFHNCL38" hidden="1">#REF!</definedName>
    <definedName name="BEx90VGH5H09ON2QXYC9WIIEU98T" localSheetId="8" hidden="1">#REF!</definedName>
    <definedName name="BEx90VGH5H09ON2QXYC9WIIEU98T" localSheetId="19" hidden="1">#REF!</definedName>
    <definedName name="BEx90VGH5H09ON2QXYC9WIIEU98T" hidden="1">#REF!</definedName>
    <definedName name="BEx9157279000SVN5XNWQ99JY0WU" localSheetId="8" hidden="1">#REF!</definedName>
    <definedName name="BEx9157279000SVN5XNWQ99JY0WU" localSheetId="19" hidden="1">#REF!</definedName>
    <definedName name="BEx9157279000SVN5XNWQ99JY0WU" hidden="1">#REF!</definedName>
    <definedName name="BEx9175B70QXYAU5A8DJPGZQ46L9" localSheetId="8" hidden="1">#REF!</definedName>
    <definedName name="BEx9175B70QXYAU5A8DJPGZQ46L9" localSheetId="19" hidden="1">#REF!</definedName>
    <definedName name="BEx9175B70QXYAU5A8DJPGZQ46L9" hidden="1">#REF!</definedName>
    <definedName name="BEx91AQQRTV87AO27VWHSFZAD4ZR" localSheetId="8" hidden="1">#REF!</definedName>
    <definedName name="BEx91AQQRTV87AO27VWHSFZAD4ZR" localSheetId="19" hidden="1">#REF!</definedName>
    <definedName name="BEx91AQQRTV87AO27VWHSFZAD4ZR" hidden="1">#REF!</definedName>
    <definedName name="BEx91L8FLL5CWLA2CDHKCOMGVDZN" localSheetId="8" hidden="1">#REF!</definedName>
    <definedName name="BEx91L8FLL5CWLA2CDHKCOMGVDZN" localSheetId="19" hidden="1">#REF!</definedName>
    <definedName name="BEx91L8FLL5CWLA2CDHKCOMGVDZN" hidden="1">#REF!</definedName>
    <definedName name="BEx91OTVH9ZDBC3QTORU8RZX4EOC" localSheetId="8" hidden="1">#REF!</definedName>
    <definedName name="BEx91OTVH9ZDBC3QTORU8RZX4EOC" localSheetId="19" hidden="1">#REF!</definedName>
    <definedName name="BEx91OTVH9ZDBC3QTORU8RZX4EOC" hidden="1">#REF!</definedName>
    <definedName name="BEx91QH5JRZKQP1GPN2SQMR3CKAG" localSheetId="8" hidden="1">#REF!</definedName>
    <definedName name="BEx91QH5JRZKQP1GPN2SQMR3CKAG" localSheetId="19" hidden="1">#REF!</definedName>
    <definedName name="BEx91QH5JRZKQP1GPN2SQMR3CKAG" hidden="1">#REF!</definedName>
    <definedName name="BEx91ROALDNHO7FI4X8L61RH4UJE" localSheetId="8" hidden="1">#REF!</definedName>
    <definedName name="BEx91ROALDNHO7FI4X8L61RH4UJE" localSheetId="19" hidden="1">#REF!</definedName>
    <definedName name="BEx91ROALDNHO7FI4X8L61RH4UJE" hidden="1">#REF!</definedName>
    <definedName name="BEx91TMID71GVYH0U16QM1RV3PX0" localSheetId="8" hidden="1">#REF!</definedName>
    <definedName name="BEx91TMID71GVYH0U16QM1RV3PX0" localSheetId="19" hidden="1">#REF!</definedName>
    <definedName name="BEx91TMID71GVYH0U16QM1RV3PX0" hidden="1">#REF!</definedName>
    <definedName name="BEx91VF2D78PAF337E3L2L81K9W2" localSheetId="8" hidden="1">#REF!</definedName>
    <definedName name="BEx91VF2D78PAF337E3L2L81K9W2" localSheetId="19" hidden="1">#REF!</definedName>
    <definedName name="BEx91VF2D78PAF337E3L2L81K9W2" hidden="1">#REF!</definedName>
    <definedName name="BEx921PNZ46VORG2VRMWREWIC0SE" localSheetId="8" hidden="1">#REF!</definedName>
    <definedName name="BEx921PNZ46VORG2VRMWREWIC0SE" localSheetId="19" hidden="1">#REF!</definedName>
    <definedName name="BEx921PNZ46VORG2VRMWREWIC0SE" hidden="1">#REF!</definedName>
    <definedName name="BEx929CVDCG5CFUQWNDLOSNRQ1FN" localSheetId="8" hidden="1">#REF!</definedName>
    <definedName name="BEx929CVDCG5CFUQWNDLOSNRQ1FN" localSheetId="19" hidden="1">#REF!</definedName>
    <definedName name="BEx929CVDCG5CFUQWNDLOSNRQ1FN" hidden="1">#REF!</definedName>
    <definedName name="BEx92DPEKL5WM5A3CN8674JI0PR3" localSheetId="8" hidden="1">#REF!</definedName>
    <definedName name="BEx92DPEKL5WM5A3CN8674JI0PR3" localSheetId="19" hidden="1">#REF!</definedName>
    <definedName name="BEx92DPEKL5WM5A3CN8674JI0PR3" hidden="1">#REF!</definedName>
    <definedName name="BEx92ER2RMY93TZK0D9L9T3H0GI5" localSheetId="8" hidden="1">#REF!</definedName>
    <definedName name="BEx92ER2RMY93TZK0D9L9T3H0GI5" localSheetId="19" hidden="1">#REF!</definedName>
    <definedName name="BEx92ER2RMY93TZK0D9L9T3H0GI5" hidden="1">#REF!</definedName>
    <definedName name="BEx92FI04PJT4LI23KKIHRXWJDTT" localSheetId="8" hidden="1">#REF!</definedName>
    <definedName name="BEx92FI04PJT4LI23KKIHRXWJDTT" localSheetId="19" hidden="1">#REF!</definedName>
    <definedName name="BEx92FI04PJT4LI23KKIHRXWJDTT" hidden="1">#REF!</definedName>
    <definedName name="BEx92HR14HQ9D5JXCSPA4SS4RT62" localSheetId="8" hidden="1">#REF!</definedName>
    <definedName name="BEx92HR14HQ9D5JXCSPA4SS4RT62" localSheetId="19" hidden="1">#REF!</definedName>
    <definedName name="BEx92HR14HQ9D5JXCSPA4SS4RT62" hidden="1">#REF!</definedName>
    <definedName name="BEx92HWA2D6A5EX9MFG68G0NOMSN" localSheetId="8" hidden="1">#REF!</definedName>
    <definedName name="BEx92HWA2D6A5EX9MFG68G0NOMSN" localSheetId="19" hidden="1">#REF!</definedName>
    <definedName name="BEx92HWA2D6A5EX9MFG68G0NOMSN" hidden="1">#REF!</definedName>
    <definedName name="BEx92I1SQUKW2W7S22E82HLJXRGK" localSheetId="8" hidden="1">#REF!</definedName>
    <definedName name="BEx92I1SQUKW2W7S22E82HLJXRGK" localSheetId="19" hidden="1">#REF!</definedName>
    <definedName name="BEx92I1SQUKW2W7S22E82HLJXRGK" hidden="1">#REF!</definedName>
    <definedName name="BEx92PUBDIXAU1FW5ZAXECMAU0LN" localSheetId="8" hidden="1">#REF!</definedName>
    <definedName name="BEx92PUBDIXAU1FW5ZAXECMAU0LN" localSheetId="19" hidden="1">#REF!</definedName>
    <definedName name="BEx92PUBDIXAU1FW5ZAXECMAU0LN" hidden="1">#REF!</definedName>
    <definedName name="BEx92S8MHFFIVRQ2YSHZNQGOFUHD" localSheetId="8" hidden="1">#REF!</definedName>
    <definedName name="BEx92S8MHFFIVRQ2YSHZNQGOFUHD" localSheetId="19" hidden="1">#REF!</definedName>
    <definedName name="BEx92S8MHFFIVRQ2YSHZNQGOFUHD" hidden="1">#REF!</definedName>
    <definedName name="BEx92VJ5FJGXISSSMOUAESCSIWFV" localSheetId="8" hidden="1">#REF!</definedName>
    <definedName name="BEx92VJ5FJGXISSSMOUAESCSIWFV" localSheetId="19" hidden="1">#REF!</definedName>
    <definedName name="BEx92VJ5FJGXISSSMOUAESCSIWFV" hidden="1">#REF!</definedName>
    <definedName name="BEx93B9OULL2YGC896XXYAAJSTRK" localSheetId="8" hidden="1">#REF!</definedName>
    <definedName name="BEx93B9OULL2YGC896XXYAAJSTRK" localSheetId="19" hidden="1">#REF!</definedName>
    <definedName name="BEx93B9OULL2YGC896XXYAAJSTRK" hidden="1">#REF!</definedName>
    <definedName name="BEx93FRKF99NRT3LH99UTIH7AAYF" localSheetId="8" hidden="1">#REF!</definedName>
    <definedName name="BEx93FRKF99NRT3LH99UTIH7AAYF" localSheetId="19" hidden="1">#REF!</definedName>
    <definedName name="BEx93FRKF99NRT3LH99UTIH7AAYF" hidden="1">#REF!</definedName>
    <definedName name="BEx93M7FSHP50OG34A4W8W8DF12U" localSheetId="8" hidden="1">#REF!</definedName>
    <definedName name="BEx93M7FSHP50OG34A4W8W8DF12U" localSheetId="19" hidden="1">#REF!</definedName>
    <definedName name="BEx93M7FSHP50OG34A4W8W8DF12U" hidden="1">#REF!</definedName>
    <definedName name="BEx93OLWY2O3PRA74U41VG5RXT4Q" localSheetId="8" hidden="1">#REF!</definedName>
    <definedName name="BEx93OLWY2O3PRA74U41VG5RXT4Q" localSheetId="19" hidden="1">#REF!</definedName>
    <definedName name="BEx93OLWY2O3PRA74U41VG5RXT4Q" hidden="1">#REF!</definedName>
    <definedName name="BEx93RWFAF6YJGYUTITVM445C02U" localSheetId="8" hidden="1">#REF!</definedName>
    <definedName name="BEx93RWFAF6YJGYUTITVM445C02U" localSheetId="19" hidden="1">#REF!</definedName>
    <definedName name="BEx93RWFAF6YJGYUTITVM445C02U" hidden="1">#REF!</definedName>
    <definedName name="BEx93SY9RWG3HUV4YXQKXJH9FH14" localSheetId="8" hidden="1">#REF!</definedName>
    <definedName name="BEx93SY9RWG3HUV4YXQKXJH9FH14" localSheetId="19" hidden="1">#REF!</definedName>
    <definedName name="BEx93SY9RWG3HUV4YXQKXJH9FH14" hidden="1">#REF!</definedName>
    <definedName name="BEx93TJUX3U0FJDBG6DDSNQ91R5J" localSheetId="8" hidden="1">#REF!</definedName>
    <definedName name="BEx93TJUX3U0FJDBG6DDSNQ91R5J" localSheetId="19" hidden="1">#REF!</definedName>
    <definedName name="BEx93TJUX3U0FJDBG6DDSNQ91R5J" hidden="1">#REF!</definedName>
    <definedName name="BEx942UCRHMI4B0US31HO95GSC2X" localSheetId="8" hidden="1">#REF!</definedName>
    <definedName name="BEx942UCRHMI4B0US31HO95GSC2X" localSheetId="19" hidden="1">#REF!</definedName>
    <definedName name="BEx942UCRHMI4B0US31HO95GSC2X" hidden="1">#REF!</definedName>
    <definedName name="BEx942ZND3V7XSHKTD0UH9X85N5E" localSheetId="8" hidden="1">#REF!</definedName>
    <definedName name="BEx942ZND3V7XSHKTD0UH9X85N5E" localSheetId="19" hidden="1">#REF!</definedName>
    <definedName name="BEx942ZND3V7XSHKTD0UH9X85N5E" hidden="1">#REF!</definedName>
    <definedName name="BEx947HHLR6UU6NYPNDZRF79V52K" localSheetId="8" hidden="1">#REF!</definedName>
    <definedName name="BEx947HHLR6UU6NYPNDZRF79V52K" localSheetId="19" hidden="1">#REF!</definedName>
    <definedName name="BEx947HHLR6UU6NYPNDZRF79V52K" hidden="1">#REF!</definedName>
    <definedName name="BEx948ZFFQWVIDNG4AZAUGGGEB5U" localSheetId="8" hidden="1">#REF!</definedName>
    <definedName name="BEx948ZFFQWVIDNG4AZAUGGGEB5U" localSheetId="19" hidden="1">#REF!</definedName>
    <definedName name="BEx948ZFFQWVIDNG4AZAUGGGEB5U" hidden="1">#REF!</definedName>
    <definedName name="BEx94CKXG92OMURH41SNU6IOHK4J" localSheetId="8" hidden="1">#REF!</definedName>
    <definedName name="BEx94CKXG92OMURH41SNU6IOHK4J" localSheetId="19" hidden="1">#REF!</definedName>
    <definedName name="BEx94CKXG92OMURH41SNU6IOHK4J" hidden="1">#REF!</definedName>
    <definedName name="BEx94GXG30CIVB6ZQN3X3IK6BZXQ" localSheetId="8" hidden="1">#REF!</definedName>
    <definedName name="BEx94GXG30CIVB6ZQN3X3IK6BZXQ" localSheetId="19" hidden="1">#REF!</definedName>
    <definedName name="BEx94GXG30CIVB6ZQN3X3IK6BZXQ" hidden="1">#REF!</definedName>
    <definedName name="BEx94HJ0DWZHE39X4BLCQCJ3M1MC" localSheetId="8" hidden="1">#REF!</definedName>
    <definedName name="BEx94HJ0DWZHE39X4BLCQCJ3M1MC" localSheetId="19" hidden="1">#REF!</definedName>
    <definedName name="BEx94HJ0DWZHE39X4BLCQCJ3M1MC" hidden="1">#REF!</definedName>
    <definedName name="BEx94HZ5LURYM9ST744ALV6ZCKYP" localSheetId="8" hidden="1">#REF!</definedName>
    <definedName name="BEx94HZ5LURYM9ST744ALV6ZCKYP" localSheetId="19" hidden="1">#REF!</definedName>
    <definedName name="BEx94HZ5LURYM9ST744ALV6ZCKYP" hidden="1">#REF!</definedName>
    <definedName name="BEx94IQ75E90YUMWJ9N591LR7DQQ" localSheetId="8" hidden="1">#REF!</definedName>
    <definedName name="BEx94IQ75E90YUMWJ9N591LR7DQQ" localSheetId="19" hidden="1">#REF!</definedName>
    <definedName name="BEx94IQ75E90YUMWJ9N591LR7DQQ" hidden="1">#REF!</definedName>
    <definedName name="BEx94N7W5T3U7UOE97D6OVIBUCXS" localSheetId="8" hidden="1">#REF!</definedName>
    <definedName name="BEx94N7W5T3U7UOE97D6OVIBUCXS" localSheetId="19" hidden="1">#REF!</definedName>
    <definedName name="BEx94N7W5T3U7UOE97D6OVIBUCXS" hidden="1">#REF!</definedName>
    <definedName name="BEx955NIAWX5OLAHMTV6QFUZPR30" localSheetId="8" hidden="1">#REF!</definedName>
    <definedName name="BEx955NIAWX5OLAHMTV6QFUZPR30" localSheetId="19" hidden="1">#REF!</definedName>
    <definedName name="BEx955NIAWX5OLAHMTV6QFUZPR30" hidden="1">#REF!</definedName>
    <definedName name="BEx9581TYVI2M5TT4ISDAJV4W7Z6" localSheetId="8" hidden="1">#REF!</definedName>
    <definedName name="BEx9581TYVI2M5TT4ISDAJV4W7Z6" localSheetId="19" hidden="1">#REF!</definedName>
    <definedName name="BEx9581TYVI2M5TT4ISDAJV4W7Z6" hidden="1">#REF!</definedName>
    <definedName name="BEx95G55NR99FDSE95CXDI4DKWSV" localSheetId="8" hidden="1">#REF!</definedName>
    <definedName name="BEx95G55NR99FDSE95CXDI4DKWSV" localSheetId="19" hidden="1">#REF!</definedName>
    <definedName name="BEx95G55NR99FDSE95CXDI4DKWSV" hidden="1">#REF!</definedName>
    <definedName name="BEx95NHF4RVUE0YDOAFZEIVBYJXD" localSheetId="8" hidden="1">#REF!</definedName>
    <definedName name="BEx95NHF4RVUE0YDOAFZEIVBYJXD" localSheetId="19" hidden="1">#REF!</definedName>
    <definedName name="BEx95NHF4RVUE0YDOAFZEIVBYJXD" hidden="1">#REF!</definedName>
    <definedName name="BEx95QBZMG0E2KQ9BERJ861QLYN3" localSheetId="8" hidden="1">#REF!</definedName>
    <definedName name="BEx95QBZMG0E2KQ9BERJ861QLYN3" localSheetId="19" hidden="1">#REF!</definedName>
    <definedName name="BEx95QBZMG0E2KQ9BERJ861QLYN3" hidden="1">#REF!</definedName>
    <definedName name="BEx95QHBVDN795UNQJLRXG3RDU49" localSheetId="8" hidden="1">#REF!</definedName>
    <definedName name="BEx95QHBVDN795UNQJLRXG3RDU49" localSheetId="19" hidden="1">#REF!</definedName>
    <definedName name="BEx95QHBVDN795UNQJLRXG3RDU49" hidden="1">#REF!</definedName>
    <definedName name="BEx95TBVUWV7L7OMFMZDQEXGVHU6" localSheetId="8" hidden="1">#REF!</definedName>
    <definedName name="BEx95TBVUWV7L7OMFMZDQEXGVHU6" localSheetId="19" hidden="1">#REF!</definedName>
    <definedName name="BEx95TBVUWV7L7OMFMZDQEXGVHU6" hidden="1">#REF!</definedName>
    <definedName name="BEx95U89DZZSVO39TGS62CX8G9N4" localSheetId="8" hidden="1">#REF!</definedName>
    <definedName name="BEx95U89DZZSVO39TGS62CX8G9N4" localSheetId="19" hidden="1">#REF!</definedName>
    <definedName name="BEx95U89DZZSVO39TGS62CX8G9N4" hidden="1">#REF!</definedName>
    <definedName name="BEx95XTPKKKJG67C45LRX0T25I06" localSheetId="8" hidden="1">#REF!</definedName>
    <definedName name="BEx95XTPKKKJG67C45LRX0T25I06" localSheetId="19" hidden="1">#REF!</definedName>
    <definedName name="BEx95XTPKKKJG67C45LRX0T25I06" hidden="1">#REF!</definedName>
    <definedName name="BEx9602K2GHNBUEUVT9ONRQU1GMD" localSheetId="8" hidden="1">#REF!</definedName>
    <definedName name="BEx9602K2GHNBUEUVT9ONRQU1GMD" localSheetId="19" hidden="1">#REF!</definedName>
    <definedName name="BEx9602K2GHNBUEUVT9ONRQU1GMD" hidden="1">#REF!</definedName>
    <definedName name="BEx9602LTEI8BPC79BGMRK6S0RP8" localSheetId="8" hidden="1">#REF!</definedName>
    <definedName name="BEx9602LTEI8BPC79BGMRK6S0RP8" localSheetId="19" hidden="1">#REF!</definedName>
    <definedName name="BEx9602LTEI8BPC79BGMRK6S0RP8" hidden="1">#REF!</definedName>
    <definedName name="BEx962BL3Y4LA53EBYI64ZYMZE8U" localSheetId="8" hidden="1">#REF!</definedName>
    <definedName name="BEx962BL3Y4LA53EBYI64ZYMZE8U" localSheetId="19" hidden="1">#REF!</definedName>
    <definedName name="BEx962BL3Y4LA53EBYI64ZYMZE8U" hidden="1">#REF!</definedName>
    <definedName name="BEx96HAWZ2EMMI7VJ5NQXGK044OO" localSheetId="8" hidden="1">#REF!</definedName>
    <definedName name="BEx96HAWZ2EMMI7VJ5NQXGK044OO" localSheetId="19" hidden="1">#REF!</definedName>
    <definedName name="BEx96HAWZ2EMMI7VJ5NQXGK044OO" hidden="1">#REF!</definedName>
    <definedName name="BEx96KR21O7H9R29TN0S45Y3QPUK" localSheetId="8" hidden="1">#REF!</definedName>
    <definedName name="BEx96KR21O7H9R29TN0S45Y3QPUK" localSheetId="19" hidden="1">#REF!</definedName>
    <definedName name="BEx96KR21O7H9R29TN0S45Y3QPUK" hidden="1">#REF!</definedName>
    <definedName name="BEx96SUFKHHFE8XQ6UUO6ILDOXHO" localSheetId="8" hidden="1">#REF!</definedName>
    <definedName name="BEx96SUFKHHFE8XQ6UUO6ILDOXHO" localSheetId="19" hidden="1">#REF!</definedName>
    <definedName name="BEx96SUFKHHFE8XQ6UUO6ILDOXHO" hidden="1">#REF!</definedName>
    <definedName name="BEx96UN4YWXBDEZ1U1ZUIPP41Z7I" localSheetId="8" hidden="1">#REF!</definedName>
    <definedName name="BEx96UN4YWXBDEZ1U1ZUIPP41Z7I" localSheetId="19" hidden="1">#REF!</definedName>
    <definedName name="BEx96UN4YWXBDEZ1U1ZUIPP41Z7I" hidden="1">#REF!</definedName>
    <definedName name="BEx978KSD61YJH3S9DGO050R2EHA" localSheetId="8" hidden="1">#REF!</definedName>
    <definedName name="BEx978KSD61YJH3S9DGO050R2EHA" localSheetId="19" hidden="1">#REF!</definedName>
    <definedName name="BEx978KSD61YJH3S9DGO050R2EHA" hidden="1">#REF!</definedName>
    <definedName name="BEx97H9O1NAKAPK4MX4PKO34ICL5" localSheetId="8" hidden="1">#REF!</definedName>
    <definedName name="BEx97H9O1NAKAPK4MX4PKO34ICL5" localSheetId="19" hidden="1">#REF!</definedName>
    <definedName name="BEx97H9O1NAKAPK4MX4PKO34ICL5" hidden="1">#REF!</definedName>
    <definedName name="BEx97MNUZQ1Z0AO2FL7XQYVNCPR7" localSheetId="8" hidden="1">#REF!</definedName>
    <definedName name="BEx97MNUZQ1Z0AO2FL7XQYVNCPR7" localSheetId="19" hidden="1">#REF!</definedName>
    <definedName name="BEx97MNUZQ1Z0AO2FL7XQYVNCPR7" hidden="1">#REF!</definedName>
    <definedName name="BEx97NPQBACJVD9K1YXI08RTW9E2" localSheetId="8" hidden="1">#REF!</definedName>
    <definedName name="BEx97NPQBACJVD9K1YXI08RTW9E2" localSheetId="19" hidden="1">#REF!</definedName>
    <definedName name="BEx97NPQBACJVD9K1YXI08RTW9E2" hidden="1">#REF!</definedName>
    <definedName name="BEx97RWQLXS0OORDCN69IGA58CWU" localSheetId="8" hidden="1">#REF!</definedName>
    <definedName name="BEx97RWQLXS0OORDCN69IGA58CWU" localSheetId="19" hidden="1">#REF!</definedName>
    <definedName name="BEx97RWQLXS0OORDCN69IGA58CWU" hidden="1">#REF!</definedName>
    <definedName name="BEx97YNGGDFIXHTMGFL2IHAQX9MI" localSheetId="8" hidden="1">#REF!</definedName>
    <definedName name="BEx97YNGGDFIXHTMGFL2IHAQX9MI" localSheetId="19" hidden="1">#REF!</definedName>
    <definedName name="BEx97YNGGDFIXHTMGFL2IHAQX9MI" hidden="1">#REF!</definedName>
    <definedName name="BEx9805E16VCDEWPM3404WTQS6ZK" localSheetId="8" hidden="1">#REF!</definedName>
    <definedName name="BEx9805E16VCDEWPM3404WTQS6ZK" localSheetId="19" hidden="1">#REF!</definedName>
    <definedName name="BEx9805E16VCDEWPM3404WTQS6ZK" hidden="1">#REF!</definedName>
    <definedName name="BEx981HW73BUZWT14TBTZHC0ZTJ4" localSheetId="8" hidden="1">#REF!</definedName>
    <definedName name="BEx981HW73BUZWT14TBTZHC0ZTJ4" localSheetId="19" hidden="1">#REF!</definedName>
    <definedName name="BEx981HW73BUZWT14TBTZHC0ZTJ4" hidden="1">#REF!</definedName>
    <definedName name="BEx9871KU0N99P0900EAK69VFYT2" localSheetId="8" hidden="1">#REF!</definedName>
    <definedName name="BEx9871KU0N99P0900EAK69VFYT2" localSheetId="19" hidden="1">#REF!</definedName>
    <definedName name="BEx9871KU0N99P0900EAK69VFYT2" hidden="1">#REF!</definedName>
    <definedName name="BEx98IFKNJFGZFLID1YTRFEG1SXY" localSheetId="8" hidden="1">#REF!</definedName>
    <definedName name="BEx98IFKNJFGZFLID1YTRFEG1SXY" localSheetId="19" hidden="1">#REF!</definedName>
    <definedName name="BEx98IFKNJFGZFLID1YTRFEG1SXY" hidden="1">#REF!</definedName>
    <definedName name="BEx98T7ZEF0HKRFLBVK3BNKCG3CJ" localSheetId="8" hidden="1">#REF!</definedName>
    <definedName name="BEx98T7ZEF0HKRFLBVK3BNKCG3CJ" localSheetId="19" hidden="1">#REF!</definedName>
    <definedName name="BEx98T7ZEF0HKRFLBVK3BNKCG3CJ" hidden="1">#REF!</definedName>
    <definedName name="BEx98WYSAS39FWGYTMQ8QGIT81TF" localSheetId="8" hidden="1">#REF!</definedName>
    <definedName name="BEx98WYSAS39FWGYTMQ8QGIT81TF" localSheetId="19" hidden="1">#REF!</definedName>
    <definedName name="BEx98WYSAS39FWGYTMQ8QGIT81TF" hidden="1">#REF!</definedName>
    <definedName name="BEx990461P2YAJ7BRK25INFYZ7RQ" localSheetId="8" hidden="1">#REF!</definedName>
    <definedName name="BEx990461P2YAJ7BRK25INFYZ7RQ" localSheetId="19" hidden="1">#REF!</definedName>
    <definedName name="BEx990461P2YAJ7BRK25INFYZ7RQ" hidden="1">#REF!</definedName>
    <definedName name="BEx9915UVD4G7RA3IMLFZ0LG3UA2" localSheetId="8" hidden="1">#REF!</definedName>
    <definedName name="BEx9915UVD4G7RA3IMLFZ0LG3UA2" localSheetId="19" hidden="1">#REF!</definedName>
    <definedName name="BEx9915UVD4G7RA3IMLFZ0LG3UA2" hidden="1">#REF!</definedName>
    <definedName name="BEx991M410V3S2PKCJGQ30O6JT6H" localSheetId="8" hidden="1">#REF!</definedName>
    <definedName name="BEx991M410V3S2PKCJGQ30O6JT6H" localSheetId="19" hidden="1">#REF!</definedName>
    <definedName name="BEx991M410V3S2PKCJGQ30O6JT6H" hidden="1">#REF!</definedName>
    <definedName name="BEx992CZON8AO7U7V88VN1JBO0MG" localSheetId="8" hidden="1">#REF!</definedName>
    <definedName name="BEx992CZON8AO7U7V88VN1JBO0MG" localSheetId="19" hidden="1">#REF!</definedName>
    <definedName name="BEx992CZON8AO7U7V88VN1JBO0MG" hidden="1">#REF!</definedName>
    <definedName name="BEx9952469XMFGSPXL7CMXHPJF90" localSheetId="8" hidden="1">#REF!</definedName>
    <definedName name="BEx9952469XMFGSPXL7CMXHPJF90" localSheetId="19" hidden="1">#REF!</definedName>
    <definedName name="BEx9952469XMFGSPXL7CMXHPJF90" hidden="1">#REF!</definedName>
    <definedName name="BEx99B77I7TUSHRR4HIZ9FU2EIUT" localSheetId="8" hidden="1">#REF!</definedName>
    <definedName name="BEx99B77I7TUSHRR4HIZ9FU2EIUT" localSheetId="19" hidden="1">#REF!</definedName>
    <definedName name="BEx99B77I7TUSHRR4HIZ9FU2EIUT" hidden="1">#REF!</definedName>
    <definedName name="BEx99EHWKKHZB66Q30C7QIXU3BVM" localSheetId="8" hidden="1">#REF!</definedName>
    <definedName name="BEx99EHWKKHZB66Q30C7QIXU3BVM" localSheetId="19" hidden="1">#REF!</definedName>
    <definedName name="BEx99EHWKKHZB66Q30C7QIXU3BVM" hidden="1">#REF!</definedName>
    <definedName name="BEx99IE6TEODZ443HP0AYCXVTNOV" localSheetId="8" hidden="1">#REF!</definedName>
    <definedName name="BEx99IE6TEODZ443HP0AYCXVTNOV" localSheetId="19" hidden="1">#REF!</definedName>
    <definedName name="BEx99IE6TEODZ443HP0AYCXVTNOV" hidden="1">#REF!</definedName>
    <definedName name="BEx99Q6PH5F3OQKCCAAO75PYDEFN" localSheetId="8" hidden="1">#REF!</definedName>
    <definedName name="BEx99Q6PH5F3OQKCCAAO75PYDEFN" localSheetId="19" hidden="1">#REF!</definedName>
    <definedName name="BEx99Q6PH5F3OQKCCAAO75PYDEFN" hidden="1">#REF!</definedName>
    <definedName name="BEx99RU5I4O0109P2FW9DN4IU3QX" localSheetId="8" hidden="1">#REF!</definedName>
    <definedName name="BEx99RU5I4O0109P2FW9DN4IU3QX" localSheetId="19" hidden="1">#REF!</definedName>
    <definedName name="BEx99RU5I4O0109P2FW9DN4IU3QX" hidden="1">#REF!</definedName>
    <definedName name="BEx99WBYT2D6UUC1PT7A40ENYID4" localSheetId="8" hidden="1">#REF!</definedName>
    <definedName name="BEx99WBYT2D6UUC1PT7A40ENYID4" localSheetId="19" hidden="1">#REF!</definedName>
    <definedName name="BEx99WBYT2D6UUC1PT7A40ENYID4" hidden="1">#REF!</definedName>
    <definedName name="BEx99WS2X3RTQE9O764SS5G2FPE6" localSheetId="8" hidden="1">#REF!</definedName>
    <definedName name="BEx99WS2X3RTQE9O764SS5G2FPE6" localSheetId="19" hidden="1">#REF!</definedName>
    <definedName name="BEx99WS2X3RTQE9O764SS5G2FPE6" hidden="1">#REF!</definedName>
    <definedName name="BEx99ZRZ4I7FHDPGRAT5VW7NVBPU" localSheetId="8" hidden="1">#REF!</definedName>
    <definedName name="BEx99ZRZ4I7FHDPGRAT5VW7NVBPU" localSheetId="19" hidden="1">#REF!</definedName>
    <definedName name="BEx99ZRZ4I7FHDPGRAT5VW7NVBPU" hidden="1">#REF!</definedName>
    <definedName name="BEx9AT5E3ZSHKSOL35O38L8HF9TH" localSheetId="8" hidden="1">#REF!</definedName>
    <definedName name="BEx9AT5E3ZSHKSOL35O38L8HF9TH" localSheetId="19" hidden="1">#REF!</definedName>
    <definedName name="BEx9AT5E3ZSHKSOL35O38L8HF9TH" hidden="1">#REF!</definedName>
    <definedName name="BEx9ATW9WB5CNKQR5HKK7Y2GHYGR" localSheetId="8" hidden="1">#REF!</definedName>
    <definedName name="BEx9ATW9WB5CNKQR5HKK7Y2GHYGR" localSheetId="19" hidden="1">#REF!</definedName>
    <definedName name="BEx9ATW9WB5CNKQR5HKK7Y2GHYGR" hidden="1">#REF!</definedName>
    <definedName name="BEx9AV8W1FAWF5BHATYEN47X12JN" localSheetId="8" hidden="1">#REF!</definedName>
    <definedName name="BEx9AV8W1FAWF5BHATYEN47X12JN" localSheetId="19" hidden="1">#REF!</definedName>
    <definedName name="BEx9AV8W1FAWF5BHATYEN47X12JN" hidden="1">#REF!</definedName>
    <definedName name="BEx9B8A5186FNTQQNLIO5LK02ABI" localSheetId="8" hidden="1">#REF!</definedName>
    <definedName name="BEx9B8A5186FNTQQNLIO5LK02ABI" localSheetId="19" hidden="1">#REF!</definedName>
    <definedName name="BEx9B8A5186FNTQQNLIO5LK02ABI" hidden="1">#REF!</definedName>
    <definedName name="BEx9B8VR20E2CILU4CDQUQQ9ONXK" localSheetId="8" hidden="1">#REF!</definedName>
    <definedName name="BEx9B8VR20E2CILU4CDQUQQ9ONXK" localSheetId="19" hidden="1">#REF!</definedName>
    <definedName name="BEx9B8VR20E2CILU4CDQUQQ9ONXK" hidden="1">#REF!</definedName>
    <definedName name="BEx9B917EUP13X6FQ3NPQL76XM5V" localSheetId="8" hidden="1">#REF!</definedName>
    <definedName name="BEx9B917EUP13X6FQ3NPQL76XM5V" localSheetId="19" hidden="1">#REF!</definedName>
    <definedName name="BEx9B917EUP13X6FQ3NPQL76XM5V" hidden="1">#REF!</definedName>
    <definedName name="BEx9BAJ5WYEQ623HUT9NNCMP3RUG" localSheetId="8" hidden="1">#REF!</definedName>
    <definedName name="BEx9BAJ5WYEQ623HUT9NNCMP3RUG" localSheetId="19" hidden="1">#REF!</definedName>
    <definedName name="BEx9BAJ5WYEQ623HUT9NNCMP3RUG" hidden="1">#REF!</definedName>
    <definedName name="BEx9BE9Z7EFJCFDYJJOY5KFTGDF4" localSheetId="8" hidden="1">#REF!</definedName>
    <definedName name="BEx9BE9Z7EFJCFDYJJOY5KFTGDF4" localSheetId="19" hidden="1">#REF!</definedName>
    <definedName name="BEx9BE9Z7EFJCFDYJJOY5KFTGDF4" hidden="1">#REF!</definedName>
    <definedName name="BEx9BSIJN2O0MG8CXAMCAOADEMTO" localSheetId="8" hidden="1">#REF!</definedName>
    <definedName name="BEx9BSIJN2O0MG8CXAMCAOADEMTO" localSheetId="19" hidden="1">#REF!</definedName>
    <definedName name="BEx9BSIJN2O0MG8CXAMCAOADEMTO" hidden="1">#REF!</definedName>
    <definedName name="BEx9BU0BBJO3ITPCO4T9FIVEVJY7" localSheetId="8" hidden="1">#REF!</definedName>
    <definedName name="BEx9BU0BBJO3ITPCO4T9FIVEVJY7" localSheetId="19" hidden="1">#REF!</definedName>
    <definedName name="BEx9BU0BBJO3ITPCO4T9FIVEVJY7" hidden="1">#REF!</definedName>
    <definedName name="BEx9BYSYW7QCPXS2NAVLFAU5Y2Z2" localSheetId="8" hidden="1">#REF!</definedName>
    <definedName name="BEx9BYSYW7QCPXS2NAVLFAU5Y2Z2" localSheetId="19" hidden="1">#REF!</definedName>
    <definedName name="BEx9BYSYW7QCPXS2NAVLFAU5Y2Z2" hidden="1">#REF!</definedName>
    <definedName name="BEx9C590HJ2O31IWJB73C1HR74AI" localSheetId="8" hidden="1">#REF!</definedName>
    <definedName name="BEx9C590HJ2O31IWJB73C1HR74AI" localSheetId="19" hidden="1">#REF!</definedName>
    <definedName name="BEx9C590HJ2O31IWJB73C1HR74AI" hidden="1">#REF!</definedName>
    <definedName name="BEx9CCQRMYYOGIOYTOM73VKDIPS1" localSheetId="8" hidden="1">#REF!</definedName>
    <definedName name="BEx9CCQRMYYOGIOYTOM73VKDIPS1" localSheetId="19" hidden="1">#REF!</definedName>
    <definedName name="BEx9CCQRMYYOGIOYTOM73VKDIPS1" hidden="1">#REF!</definedName>
    <definedName name="BEx9CM6JVXIG9S6EAZMR899UW190" localSheetId="8" hidden="1">#REF!</definedName>
    <definedName name="BEx9CM6JVXIG9S6EAZMR899UW190" localSheetId="19" hidden="1">#REF!</definedName>
    <definedName name="BEx9CM6JVXIG9S6EAZMR899UW190" hidden="1">#REF!</definedName>
    <definedName name="BEx9D160NRGTDVT2ML4H9A7UKR4T" localSheetId="8" hidden="1">#REF!</definedName>
    <definedName name="BEx9D160NRGTDVT2ML4H9A7UKR4T" localSheetId="19" hidden="1">#REF!</definedName>
    <definedName name="BEx9D160NRGTDVT2ML4H9A7UKR4T" hidden="1">#REF!</definedName>
    <definedName name="BEx9D1BC9FT19KY0INAABNDBAMR1" localSheetId="8" hidden="1">#REF!</definedName>
    <definedName name="BEx9D1BC9FT19KY0INAABNDBAMR1" localSheetId="19" hidden="1">#REF!</definedName>
    <definedName name="BEx9D1BC9FT19KY0INAABNDBAMR1" hidden="1">#REF!</definedName>
    <definedName name="BEx9D1MB15VSARB7IKBMZYU0JJBI" localSheetId="8" hidden="1">#REF!</definedName>
    <definedName name="BEx9D1MB15VSARB7IKBMZYU0JJBI" localSheetId="19" hidden="1">#REF!</definedName>
    <definedName name="BEx9D1MB15VSARB7IKBMZYU0JJBI" hidden="1">#REF!</definedName>
    <definedName name="BEx9DN6ZMF18Q39MPMXSDJTZQNJ3" localSheetId="8" hidden="1">#REF!</definedName>
    <definedName name="BEx9DN6ZMF18Q39MPMXSDJTZQNJ3" localSheetId="19" hidden="1">#REF!</definedName>
    <definedName name="BEx9DN6ZMF18Q39MPMXSDJTZQNJ3" hidden="1">#REF!</definedName>
    <definedName name="BEx9DZXN85O544CD9O60K126YYAU" localSheetId="8" hidden="1">#REF!</definedName>
    <definedName name="BEx9DZXN85O544CD9O60K126YYAU" localSheetId="19" hidden="1">#REF!</definedName>
    <definedName name="BEx9DZXN85O544CD9O60K126YYAU" hidden="1">#REF!</definedName>
    <definedName name="BEx9E14TDNSEMI784W0OTIEQMWN6" localSheetId="8" hidden="1">#REF!</definedName>
    <definedName name="BEx9E14TDNSEMI784W0OTIEQMWN6" localSheetId="19" hidden="1">#REF!</definedName>
    <definedName name="BEx9E14TDNSEMI784W0OTIEQMWN6" hidden="1">#REF!</definedName>
    <definedName name="BEx9E14TGNBYGMDDG9NETDK4SYAW" localSheetId="8" hidden="1">#REF!</definedName>
    <definedName name="BEx9E14TGNBYGMDDG9NETDK4SYAW" localSheetId="19" hidden="1">#REF!</definedName>
    <definedName name="BEx9E14TGNBYGMDDG9NETDK4SYAW" hidden="1">#REF!</definedName>
    <definedName name="BEx9E2BZ2B1R41FMGJCJ7JLGLUAJ" localSheetId="8" hidden="1">#REF!</definedName>
    <definedName name="BEx9E2BZ2B1R41FMGJCJ7JLGLUAJ" localSheetId="19" hidden="1">#REF!</definedName>
    <definedName name="BEx9E2BZ2B1R41FMGJCJ7JLGLUAJ" hidden="1">#REF!</definedName>
    <definedName name="BEx9EG9KBJ77M8LEOR9ITOKN5KXY" localSheetId="8" hidden="1">#REF!</definedName>
    <definedName name="BEx9EG9KBJ77M8LEOR9ITOKN5KXY" localSheetId="19" hidden="1">#REF!</definedName>
    <definedName name="BEx9EG9KBJ77M8LEOR9ITOKN5KXY" hidden="1">#REF!</definedName>
    <definedName name="BEx9EL27NGDBCTVPW97K42QANS5K" localSheetId="8" hidden="1">#REF!</definedName>
    <definedName name="BEx9EL27NGDBCTVPW97K42QANS5K" localSheetId="19" hidden="1">#REF!</definedName>
    <definedName name="BEx9EL27NGDBCTVPW97K42QANS5K" hidden="1">#REF!</definedName>
    <definedName name="BEx9EMK6HAJJMVYZTN5AUIV7O1E6" localSheetId="8" hidden="1">#REF!</definedName>
    <definedName name="BEx9EMK6HAJJMVYZTN5AUIV7O1E6" localSheetId="19" hidden="1">#REF!</definedName>
    <definedName name="BEx9EMK6HAJJMVYZTN5AUIV7O1E6" hidden="1">#REF!</definedName>
    <definedName name="BEx9ENB8RPU9FA3QW16IGB6LK1CH" localSheetId="8" hidden="1">#REF!</definedName>
    <definedName name="BEx9ENB8RPU9FA3QW16IGB6LK1CH" localSheetId="19" hidden="1">#REF!</definedName>
    <definedName name="BEx9ENB8RPU9FA3QW16IGB6LK1CH" hidden="1">#REF!</definedName>
    <definedName name="BEx9EQLVZHYQ1TPX7WH3SOWXCZLE" localSheetId="8" hidden="1">#REF!</definedName>
    <definedName name="BEx9EQLVZHYQ1TPX7WH3SOWXCZLE" localSheetId="19" hidden="1">#REF!</definedName>
    <definedName name="BEx9EQLVZHYQ1TPX7WH3SOWXCZLE" hidden="1">#REF!</definedName>
    <definedName name="BEx9ETLU0EK5LGEM1QCNYN2S8O5F" localSheetId="8" hidden="1">#REF!</definedName>
    <definedName name="BEx9ETLU0EK5LGEM1QCNYN2S8O5F" localSheetId="19" hidden="1">#REF!</definedName>
    <definedName name="BEx9ETLU0EK5LGEM1QCNYN2S8O5F" hidden="1">#REF!</definedName>
    <definedName name="BEx9F0710LGLAU3161O0O346N58H" localSheetId="8" hidden="1">#REF!</definedName>
    <definedName name="BEx9F0710LGLAU3161O0O346N58H" localSheetId="19" hidden="1">#REF!</definedName>
    <definedName name="BEx9F0710LGLAU3161O0O346N58H" hidden="1">#REF!</definedName>
    <definedName name="BEx9F0Y2ESUNE3U7TQDLMPE9BO67" localSheetId="8" hidden="1">#REF!</definedName>
    <definedName name="BEx9F0Y2ESUNE3U7TQDLMPE9BO67" localSheetId="19" hidden="1">#REF!</definedName>
    <definedName name="BEx9F0Y2ESUNE3U7TQDLMPE9BO67" hidden="1">#REF!</definedName>
    <definedName name="BEx9F439L1R726MJFX2EP39XIBPY" localSheetId="8" hidden="1">#REF!</definedName>
    <definedName name="BEx9F439L1R726MJFX2EP39XIBPY" localSheetId="19" hidden="1">#REF!</definedName>
    <definedName name="BEx9F439L1R726MJFX2EP39XIBPY" hidden="1">#REF!</definedName>
    <definedName name="BEx9F5W18ZGFOKGRE8PR6T1MO6GT" localSheetId="8" hidden="1">#REF!</definedName>
    <definedName name="BEx9F5W18ZGFOKGRE8PR6T1MO6GT" localSheetId="19" hidden="1">#REF!</definedName>
    <definedName name="BEx9F5W18ZGFOKGRE8PR6T1MO6GT" hidden="1">#REF!</definedName>
    <definedName name="BEx9F78N4HY0XFGBQ4UJRD52L1EI" localSheetId="8" hidden="1">#REF!</definedName>
    <definedName name="BEx9F78N4HY0XFGBQ4UJRD52L1EI" localSheetId="19" hidden="1">#REF!</definedName>
    <definedName name="BEx9F78N4HY0XFGBQ4UJRD52L1EI" hidden="1">#REF!</definedName>
    <definedName name="BEx9FF16LOQP5QIR4UHW5EIFGQB8" localSheetId="8" hidden="1">#REF!</definedName>
    <definedName name="BEx9FF16LOQP5QIR4UHW5EIFGQB8" localSheetId="19" hidden="1">#REF!</definedName>
    <definedName name="BEx9FF16LOQP5QIR4UHW5EIFGQB8" hidden="1">#REF!</definedName>
    <definedName name="BEx9FJTSRCZ3ZXT3QVBJT5NF8T7V" localSheetId="8" hidden="1">#REF!</definedName>
    <definedName name="BEx9FJTSRCZ3ZXT3QVBJT5NF8T7V" localSheetId="19" hidden="1">#REF!</definedName>
    <definedName name="BEx9FJTSRCZ3ZXT3QVBJT5NF8T7V" hidden="1">#REF!</definedName>
    <definedName name="BEx9FRBEEYPS5HLS3XT34AKZN94G" localSheetId="8" hidden="1">#REF!</definedName>
    <definedName name="BEx9FRBEEYPS5HLS3XT34AKZN94G" localSheetId="19" hidden="1">#REF!</definedName>
    <definedName name="BEx9FRBEEYPS5HLS3XT34AKZN94G" hidden="1">#REF!</definedName>
    <definedName name="BEx9G5USBCNYNA7HGVW92D800SKX" localSheetId="8" hidden="1">#REF!</definedName>
    <definedName name="BEx9G5USBCNYNA7HGVW92D800SKX" localSheetId="19" hidden="1">#REF!</definedName>
    <definedName name="BEx9G5USBCNYNA7HGVW92D800SKX" hidden="1">#REF!</definedName>
    <definedName name="BEx9G7CPXG7HR6N6FHPU2DBBUIKG" localSheetId="8" hidden="1">#REF!</definedName>
    <definedName name="BEx9G7CPXG7HR6N6FHPU2DBBUIKG" localSheetId="19" hidden="1">#REF!</definedName>
    <definedName name="BEx9G7CPXG7HR6N6FHPU2DBBUIKG" hidden="1">#REF!</definedName>
    <definedName name="BEx9GDY4D8ZPQJCYFIMYM0V0C51Y" localSheetId="8" hidden="1">#REF!</definedName>
    <definedName name="BEx9GDY4D8ZPQJCYFIMYM0V0C51Y" localSheetId="19" hidden="1">#REF!</definedName>
    <definedName name="BEx9GDY4D8ZPQJCYFIMYM0V0C51Y" hidden="1">#REF!</definedName>
    <definedName name="BEx9GGY04V0ZWI6O9KZH4KSBB389" localSheetId="8" hidden="1">#REF!</definedName>
    <definedName name="BEx9GGY04V0ZWI6O9KZH4KSBB389" localSheetId="19" hidden="1">#REF!</definedName>
    <definedName name="BEx9GGY04V0ZWI6O9KZH4KSBB389" hidden="1">#REF!</definedName>
    <definedName name="BEx9GMC7TE8SDTCO5PHODBUF4SM1" localSheetId="8" hidden="1">#REF!</definedName>
    <definedName name="BEx9GMC7TE8SDTCO5PHODBUF4SM1" localSheetId="19" hidden="1">#REF!</definedName>
    <definedName name="BEx9GMC7TE8SDTCO5PHODBUF4SM1" hidden="1">#REF!</definedName>
    <definedName name="BEx9GMN0B495HEAOG6JQK9D7HUPC" localSheetId="8" hidden="1">#REF!</definedName>
    <definedName name="BEx9GMN0B495HEAOG6JQK9D7HUPC" localSheetId="19" hidden="1">#REF!</definedName>
    <definedName name="BEx9GMN0B495HEAOG6JQK9D7HUPC" hidden="1">#REF!</definedName>
    <definedName name="BEx9GNOPB6OZ2RH3FCDNJR38RJOS" localSheetId="8" hidden="1">#REF!</definedName>
    <definedName name="BEx9GNOPB6OZ2RH3FCDNJR38RJOS" localSheetId="19" hidden="1">#REF!</definedName>
    <definedName name="BEx9GNOPB6OZ2RH3FCDNJR38RJOS" hidden="1">#REF!</definedName>
    <definedName name="BEx9GUQALUWCD30UKUQGSWW8KBQ7" localSheetId="8" hidden="1">#REF!</definedName>
    <definedName name="BEx9GUQALUWCD30UKUQGSWW8KBQ7" localSheetId="19" hidden="1">#REF!</definedName>
    <definedName name="BEx9GUQALUWCD30UKUQGSWW8KBQ7" hidden="1">#REF!</definedName>
    <definedName name="BEx9GY6BVFQGCLMOWVT6PIC9WP5X" localSheetId="8" hidden="1">#REF!</definedName>
    <definedName name="BEx9GY6BVFQGCLMOWVT6PIC9WP5X" localSheetId="19" hidden="1">#REF!</definedName>
    <definedName name="BEx9GY6BVFQGCLMOWVT6PIC9WP5X" hidden="1">#REF!</definedName>
    <definedName name="BEx9GZ2P3FDHKXEBXX2VS0BG2NP2" localSheetId="8" hidden="1">#REF!</definedName>
    <definedName name="BEx9GZ2P3FDHKXEBXX2VS0BG2NP2" localSheetId="19" hidden="1">#REF!</definedName>
    <definedName name="BEx9GZ2P3FDHKXEBXX2VS0BG2NP2" hidden="1">#REF!</definedName>
    <definedName name="BEx9H04IB14E1437FF2OIRRWBSD7" localSheetId="8" hidden="1">#REF!</definedName>
    <definedName name="BEx9H04IB14E1437FF2OIRRWBSD7" localSheetId="19" hidden="1">#REF!</definedName>
    <definedName name="BEx9H04IB14E1437FF2OIRRWBSD7" hidden="1">#REF!</definedName>
    <definedName name="BEx9H5O1KDZJCW91Q29VRPY5YS6P" localSheetId="8" hidden="1">#REF!</definedName>
    <definedName name="BEx9H5O1KDZJCW91Q29VRPY5YS6P" localSheetId="19" hidden="1">#REF!</definedName>
    <definedName name="BEx9H5O1KDZJCW91Q29VRPY5YS6P" hidden="1">#REF!</definedName>
    <definedName name="BEx9H8YR0E906F1JXZMBX3LNT004" localSheetId="8" hidden="1">#REF!</definedName>
    <definedName name="BEx9H8YR0E906F1JXZMBX3LNT004" localSheetId="19" hidden="1">#REF!</definedName>
    <definedName name="BEx9H8YR0E906F1JXZMBX3LNT004" hidden="1">#REF!</definedName>
    <definedName name="BEx9I1QKLI6OOUPQLUQ0EF0355X6" localSheetId="8" hidden="1">#REF!</definedName>
    <definedName name="BEx9I1QKLI6OOUPQLUQ0EF0355X6" localSheetId="19" hidden="1">#REF!</definedName>
    <definedName name="BEx9I1QKLI6OOUPQLUQ0EF0355X6" hidden="1">#REF!</definedName>
    <definedName name="BEx9I8XIG7E5NB48QQHXP23FIN60" localSheetId="8" hidden="1">#REF!</definedName>
    <definedName name="BEx9I8XIG7E5NB48QQHXP23FIN60" localSheetId="19" hidden="1">#REF!</definedName>
    <definedName name="BEx9I8XIG7E5NB48QQHXP23FIN60" hidden="1">#REF!</definedName>
    <definedName name="BEx9IQRF01ATLVK0YE60ARKQJ68L" localSheetId="8" hidden="1">#REF!</definedName>
    <definedName name="BEx9IQRF01ATLVK0YE60ARKQJ68L" localSheetId="19" hidden="1">#REF!</definedName>
    <definedName name="BEx9IQRF01ATLVK0YE60ARKQJ68L" hidden="1">#REF!</definedName>
    <definedName name="BEx9IT5QNZWKM6YQ5WER0DC2PMMU" localSheetId="8" hidden="1">#REF!</definedName>
    <definedName name="BEx9IT5QNZWKM6YQ5WER0DC2PMMU" localSheetId="19" hidden="1">#REF!</definedName>
    <definedName name="BEx9IT5QNZWKM6YQ5WER0DC2PMMU" hidden="1">#REF!</definedName>
    <definedName name="BEx9IUICG3HZWG57MG3NXCEX4LQI" localSheetId="8" hidden="1">#REF!</definedName>
    <definedName name="BEx9IUICG3HZWG57MG3NXCEX4LQI" localSheetId="19" hidden="1">#REF!</definedName>
    <definedName name="BEx9IUICG3HZWG57MG3NXCEX4LQI" hidden="1">#REF!</definedName>
    <definedName name="BEx9IW5LYJF40GS78FJNXO9O667A" localSheetId="8" hidden="1">#REF!</definedName>
    <definedName name="BEx9IW5LYJF40GS78FJNXO9O667A" localSheetId="19" hidden="1">#REF!</definedName>
    <definedName name="BEx9IW5LYJF40GS78FJNXO9O667A" hidden="1">#REF!</definedName>
    <definedName name="BEx9IW5MFLXTVCJHVUZTUH93AXOS" localSheetId="8" hidden="1">#REF!</definedName>
    <definedName name="BEx9IW5MFLXTVCJHVUZTUH93AXOS" localSheetId="19" hidden="1">#REF!</definedName>
    <definedName name="BEx9IW5MFLXTVCJHVUZTUH93AXOS" hidden="1">#REF!</definedName>
    <definedName name="BEx9IXCSPSZC80YZUPRCYTG326KV" localSheetId="8" hidden="1">#REF!</definedName>
    <definedName name="BEx9IXCSPSZC80YZUPRCYTG326KV" localSheetId="19" hidden="1">#REF!</definedName>
    <definedName name="BEx9IXCSPSZC80YZUPRCYTG326KV" hidden="1">#REF!</definedName>
    <definedName name="BEx9IYUQSBZ0GG9ZT1QKX83F42F1" localSheetId="8" hidden="1">#REF!</definedName>
    <definedName name="BEx9IYUQSBZ0GG9ZT1QKX83F42F1" localSheetId="19" hidden="1">#REF!</definedName>
    <definedName name="BEx9IYUQSBZ0GG9ZT1QKX83F42F1" hidden="1">#REF!</definedName>
    <definedName name="BEx9IZR39NHDGOM97H4E6F81RTQW" localSheetId="8" hidden="1">#REF!</definedName>
    <definedName name="BEx9IZR39NHDGOM97H4E6F81RTQW" localSheetId="19" hidden="1">#REF!</definedName>
    <definedName name="BEx9IZR39NHDGOM97H4E6F81RTQW" hidden="1">#REF!</definedName>
    <definedName name="BEx9J6CH5E7YZPER7HXEIOIKGPCA" localSheetId="8" hidden="1">#REF!</definedName>
    <definedName name="BEx9J6CH5E7YZPER7HXEIOIKGPCA" localSheetId="19" hidden="1">#REF!</definedName>
    <definedName name="BEx9J6CH5E7YZPER7HXEIOIKGPCA" hidden="1">#REF!</definedName>
    <definedName name="BEx9JJTZKVUJAVPTRE0RAVTEH41G" localSheetId="8" hidden="1">#REF!</definedName>
    <definedName name="BEx9JJTZKVUJAVPTRE0RAVTEH41G" localSheetId="19" hidden="1">#REF!</definedName>
    <definedName name="BEx9JJTZKVUJAVPTRE0RAVTEH41G" hidden="1">#REF!</definedName>
    <definedName name="BEx9JLBYK239B3F841C7YG1GT7ST" localSheetId="8" hidden="1">#REF!</definedName>
    <definedName name="BEx9JLBYK239B3F841C7YG1GT7ST" localSheetId="19" hidden="1">#REF!</definedName>
    <definedName name="BEx9JLBYK239B3F841C7YG1GT7ST" hidden="1">#REF!</definedName>
    <definedName name="BExAW4IIW5D0MDY6TJ3G4FOLPYIR" localSheetId="8" hidden="1">#REF!</definedName>
    <definedName name="BExAW4IIW5D0MDY6TJ3G4FOLPYIR" localSheetId="19" hidden="1">#REF!</definedName>
    <definedName name="BExAW4IIW5D0MDY6TJ3G4FOLPYIR" hidden="1">#REF!</definedName>
    <definedName name="BExAWNP1B2E9Q88TW48NH41C0FTZ" localSheetId="8" hidden="1">#REF!</definedName>
    <definedName name="BExAWNP1B2E9Q88TW48NH41C0FTZ" localSheetId="19" hidden="1">#REF!</definedName>
    <definedName name="BExAWNP1B2E9Q88TW48NH41C0FTZ" hidden="1">#REF!</definedName>
    <definedName name="BExAWUFQXTIPQ308ERZPSVPTUMYN" localSheetId="8" hidden="1">#REF!</definedName>
    <definedName name="BExAWUFQXTIPQ308ERZPSVPTUMYN" localSheetId="19" hidden="1">#REF!</definedName>
    <definedName name="BExAWUFQXTIPQ308ERZPSVPTUMYN" hidden="1">#REF!</definedName>
    <definedName name="BExAWY6O96OQO2R036QK2DI37EKV" localSheetId="8" hidden="1">#REF!</definedName>
    <definedName name="BExAWY6O96OQO2R036QK2DI37EKV" localSheetId="19" hidden="1">#REF!</definedName>
    <definedName name="BExAWY6O96OQO2R036QK2DI37EKV" hidden="1">#REF!</definedName>
    <definedName name="BExAX410NB4F2XOB84OR2197H8M5" localSheetId="8" hidden="1">#REF!</definedName>
    <definedName name="BExAX410NB4F2XOB84OR2197H8M5" localSheetId="19" hidden="1">#REF!</definedName>
    <definedName name="BExAX410NB4F2XOB84OR2197H8M5" hidden="1">#REF!</definedName>
    <definedName name="BExAX8TNG8LQ5Q4904SAYQIPGBSV" localSheetId="8" hidden="1">#REF!</definedName>
    <definedName name="BExAX8TNG8LQ5Q4904SAYQIPGBSV" localSheetId="19" hidden="1">#REF!</definedName>
    <definedName name="BExAX8TNG8LQ5Q4904SAYQIPGBSV" hidden="1">#REF!</definedName>
    <definedName name="BExAX9KPAVIVUVU3XREDCV1BIYZL" localSheetId="8" hidden="1">#REF!</definedName>
    <definedName name="BExAX9KPAVIVUVU3XREDCV1BIYZL" localSheetId="19" hidden="1">#REF!</definedName>
    <definedName name="BExAX9KPAVIVUVU3XREDCV1BIYZL" hidden="1">#REF!</definedName>
    <definedName name="BExAXPB35BNVXZYF2XS6UP3LP0QH" localSheetId="8" hidden="1">#REF!</definedName>
    <definedName name="BExAXPB35BNVXZYF2XS6UP3LP0QH" localSheetId="19" hidden="1">#REF!</definedName>
    <definedName name="BExAXPB35BNVXZYF2XS6UP3LP0QH" hidden="1">#REF!</definedName>
    <definedName name="BExAXWSRVPK0GCZ2UFU10UOP01IY" localSheetId="8" hidden="1">#REF!</definedName>
    <definedName name="BExAXWSRVPK0GCZ2UFU10UOP01IY" localSheetId="19" hidden="1">#REF!</definedName>
    <definedName name="BExAXWSRVPK0GCZ2UFU10UOP01IY" hidden="1">#REF!</definedName>
    <definedName name="BExAY0EAT2LXR5MFGM0DLIB45PLO" localSheetId="8" hidden="1">#REF!</definedName>
    <definedName name="BExAY0EAT2LXR5MFGM0DLIB45PLO" localSheetId="19" hidden="1">#REF!</definedName>
    <definedName name="BExAY0EAT2LXR5MFGM0DLIB45PLO" hidden="1">#REF!</definedName>
    <definedName name="BExAY6JK0AK9EBIJSPEJNOIDE40W" localSheetId="8" hidden="1">#REF!</definedName>
    <definedName name="BExAY6JK0AK9EBIJSPEJNOIDE40W" localSheetId="19" hidden="1">#REF!</definedName>
    <definedName name="BExAY6JK0AK9EBIJSPEJNOIDE40W" hidden="1">#REF!</definedName>
    <definedName name="BExAYE6LNIEBR9DSNI5JGNITGKIT" localSheetId="8" hidden="1">#REF!</definedName>
    <definedName name="BExAYE6LNIEBR9DSNI5JGNITGKIT" localSheetId="19" hidden="1">#REF!</definedName>
    <definedName name="BExAYE6LNIEBR9DSNI5JGNITGKIT" hidden="1">#REF!</definedName>
    <definedName name="BExAYHMLXGGO25P8HYB2S75DEB4F" localSheetId="8" hidden="1">#REF!</definedName>
    <definedName name="BExAYHMLXGGO25P8HYB2S75DEB4F" localSheetId="19" hidden="1">#REF!</definedName>
    <definedName name="BExAYHMLXGGO25P8HYB2S75DEB4F" hidden="1">#REF!</definedName>
    <definedName name="BExAYKXAUWGDOPG952TEJ2UKZKWN" localSheetId="8" hidden="1">#REF!</definedName>
    <definedName name="BExAYKXAUWGDOPG952TEJ2UKZKWN" localSheetId="19" hidden="1">#REF!</definedName>
    <definedName name="BExAYKXAUWGDOPG952TEJ2UKZKWN" hidden="1">#REF!</definedName>
    <definedName name="BExAYP9TDTI2MBP6EYE0H39CPMXN" localSheetId="8" hidden="1">#REF!</definedName>
    <definedName name="BExAYP9TDTI2MBP6EYE0H39CPMXN" localSheetId="19" hidden="1">#REF!</definedName>
    <definedName name="BExAYP9TDTI2MBP6EYE0H39CPMXN" hidden="1">#REF!</definedName>
    <definedName name="BExAYPPWJPWDKU59O051WMGB7O0J" localSheetId="8" hidden="1">#REF!</definedName>
    <definedName name="BExAYPPWJPWDKU59O051WMGB7O0J" localSheetId="19" hidden="1">#REF!</definedName>
    <definedName name="BExAYPPWJPWDKU59O051WMGB7O0J" hidden="1">#REF!</definedName>
    <definedName name="BExAYR2JZCJBUH6F1LZC2A7JIVRJ" localSheetId="8" hidden="1">#REF!</definedName>
    <definedName name="BExAYR2JZCJBUH6F1LZC2A7JIVRJ" localSheetId="19" hidden="1">#REF!</definedName>
    <definedName name="BExAYR2JZCJBUH6F1LZC2A7JIVRJ" hidden="1">#REF!</definedName>
    <definedName name="BExAYTGVRD3DLKO75RFPMBKCIWB8" localSheetId="8" hidden="1">#REF!</definedName>
    <definedName name="BExAYTGVRD3DLKO75RFPMBKCIWB8" localSheetId="19" hidden="1">#REF!</definedName>
    <definedName name="BExAYTGVRD3DLKO75RFPMBKCIWB8" hidden="1">#REF!</definedName>
    <definedName name="BExAYY9H9COOT46HJLPVDLTO12UL" localSheetId="8" hidden="1">#REF!</definedName>
    <definedName name="BExAYY9H9COOT46HJLPVDLTO12UL" localSheetId="19" hidden="1">#REF!</definedName>
    <definedName name="BExAYY9H9COOT46HJLPVDLTO12UL" hidden="1">#REF!</definedName>
    <definedName name="BExAYYKAQA3KDMQ890FIE5M9SPBL" localSheetId="8" hidden="1">#REF!</definedName>
    <definedName name="BExAYYKAQA3KDMQ890FIE5M9SPBL" localSheetId="19" hidden="1">#REF!</definedName>
    <definedName name="BExAYYKAQA3KDMQ890FIE5M9SPBL" hidden="1">#REF!</definedName>
    <definedName name="BExAZ6SY0EU69GC3CWI5EOO0YLFG" localSheetId="8" hidden="1">#REF!</definedName>
    <definedName name="BExAZ6SY0EU69GC3CWI5EOO0YLFG" localSheetId="19" hidden="1">#REF!</definedName>
    <definedName name="BExAZ6SY0EU69GC3CWI5EOO0YLFG" hidden="1">#REF!</definedName>
    <definedName name="BExAZ6YEEBJV0PCKFE137K2Y3A8M" localSheetId="8" hidden="1">#REF!</definedName>
    <definedName name="BExAZ6YEEBJV0PCKFE137K2Y3A8M" localSheetId="19" hidden="1">#REF!</definedName>
    <definedName name="BExAZ6YEEBJV0PCKFE137K2Y3A8M" hidden="1">#REF!</definedName>
    <definedName name="BExAZAP844MJ4GSAIYNYHQ7FECC3" localSheetId="8" hidden="1">#REF!</definedName>
    <definedName name="BExAZAP844MJ4GSAIYNYHQ7FECC3" localSheetId="19" hidden="1">#REF!</definedName>
    <definedName name="BExAZAP844MJ4GSAIYNYHQ7FECC3" hidden="1">#REF!</definedName>
    <definedName name="BExAZCNEGB4JYHC8CZ51KTN890US" localSheetId="8" hidden="1">#REF!</definedName>
    <definedName name="BExAZCNEGB4JYHC8CZ51KTN890US" localSheetId="19" hidden="1">#REF!</definedName>
    <definedName name="BExAZCNEGB4JYHC8CZ51KTN890US" hidden="1">#REF!</definedName>
    <definedName name="BExAZFCI302YFYRDJYQDWQQL0Q0O" localSheetId="8" hidden="1">#REF!</definedName>
    <definedName name="BExAZFCI302YFYRDJYQDWQQL0Q0O" localSheetId="19" hidden="1">#REF!</definedName>
    <definedName name="BExAZFCI302YFYRDJYQDWQQL0Q0O" hidden="1">#REF!</definedName>
    <definedName name="BExAZJE2UOL40XUAU2RB53X5K20P" localSheetId="8" hidden="1">#REF!</definedName>
    <definedName name="BExAZJE2UOL40XUAU2RB53X5K20P" localSheetId="19" hidden="1">#REF!</definedName>
    <definedName name="BExAZJE2UOL40XUAU2RB53X5K20P" hidden="1">#REF!</definedName>
    <definedName name="BExAZLHLST9OP89R1HJMC1POQG8H" localSheetId="8" hidden="1">#REF!</definedName>
    <definedName name="BExAZLHLST9OP89R1HJMC1POQG8H" localSheetId="19" hidden="1">#REF!</definedName>
    <definedName name="BExAZLHLST9OP89R1HJMC1POQG8H" hidden="1">#REF!</definedName>
    <definedName name="BExAZMDYMIAA7RX1BMCKU1VLBRGY" localSheetId="8" hidden="1">#REF!</definedName>
    <definedName name="BExAZMDYMIAA7RX1BMCKU1VLBRGY" localSheetId="19" hidden="1">#REF!</definedName>
    <definedName name="BExAZMDYMIAA7RX1BMCKU1VLBRGY" hidden="1">#REF!</definedName>
    <definedName name="BExAZNL6BHI8DCQWXOX4I2P839UX" localSheetId="8" hidden="1">#REF!</definedName>
    <definedName name="BExAZNL6BHI8DCQWXOX4I2P839UX" localSheetId="19" hidden="1">#REF!</definedName>
    <definedName name="BExAZNL6BHI8DCQWXOX4I2P839UX" hidden="1">#REF!</definedName>
    <definedName name="BExAZRMWSONMCG9KDUM4KAQ7BONM" localSheetId="8" hidden="1">#REF!</definedName>
    <definedName name="BExAZRMWSONMCG9KDUM4KAQ7BONM" localSheetId="19" hidden="1">#REF!</definedName>
    <definedName name="BExAZRMWSONMCG9KDUM4KAQ7BONM" hidden="1">#REF!</definedName>
    <definedName name="BExAZSOJNQ5N3LM4XA17IH7NIY7G" localSheetId="8" hidden="1">#REF!</definedName>
    <definedName name="BExAZSOJNQ5N3LM4XA17IH7NIY7G" localSheetId="19" hidden="1">#REF!</definedName>
    <definedName name="BExAZSOJNQ5N3LM4XA17IH7NIY7G" hidden="1">#REF!</definedName>
    <definedName name="BExAZTFG4SJRG4TW6JXRF7N08JFI" localSheetId="8" hidden="1">#REF!</definedName>
    <definedName name="BExAZTFG4SJRG4TW6JXRF7N08JFI" localSheetId="19" hidden="1">#REF!</definedName>
    <definedName name="BExAZTFG4SJRG4TW6JXRF7N08JFI" hidden="1">#REF!</definedName>
    <definedName name="BExAZUS4A8OHDZK0MWAOCCCKTH73" localSheetId="8" hidden="1">#REF!</definedName>
    <definedName name="BExAZUS4A8OHDZK0MWAOCCCKTH73" localSheetId="19" hidden="1">#REF!</definedName>
    <definedName name="BExAZUS4A8OHDZK0MWAOCCCKTH73" hidden="1">#REF!</definedName>
    <definedName name="BExAZX6FECVK3E07KXM2XPYKGM6U" localSheetId="8" hidden="1">#REF!</definedName>
    <definedName name="BExAZX6FECVK3E07KXM2XPYKGM6U" localSheetId="19" hidden="1">#REF!</definedName>
    <definedName name="BExAZX6FECVK3E07KXM2XPYKGM6U" hidden="1">#REF!</definedName>
    <definedName name="BExB012NJ8GASTNNPBRRFTLHIOC9" localSheetId="8" hidden="1">#REF!</definedName>
    <definedName name="BExB012NJ8GASTNNPBRRFTLHIOC9" localSheetId="19" hidden="1">#REF!</definedName>
    <definedName name="BExB012NJ8GASTNNPBRRFTLHIOC9" hidden="1">#REF!</definedName>
    <definedName name="BExB072HHXVMUC0VYNGG48GRSH5Q" localSheetId="8" hidden="1">#REF!</definedName>
    <definedName name="BExB072HHXVMUC0VYNGG48GRSH5Q" localSheetId="19" hidden="1">#REF!</definedName>
    <definedName name="BExB072HHXVMUC0VYNGG48GRSH5Q" hidden="1">#REF!</definedName>
    <definedName name="BExB0FRDEYDEUEAB1W8KD6D965XA" localSheetId="8" hidden="1">#REF!</definedName>
    <definedName name="BExB0FRDEYDEUEAB1W8KD6D965XA" localSheetId="19" hidden="1">#REF!</definedName>
    <definedName name="BExB0FRDEYDEUEAB1W8KD6D965XA" hidden="1">#REF!</definedName>
    <definedName name="BExB0GIGLDV7P55ZR51C0HG15PA2" localSheetId="8" hidden="1">#REF!</definedName>
    <definedName name="BExB0GIGLDV7P55ZR51C0HG15PA2" localSheetId="19" hidden="1">#REF!</definedName>
    <definedName name="BExB0GIGLDV7P55ZR51C0HG15PA2" hidden="1">#REF!</definedName>
    <definedName name="BExB0KPCN7YJORQAYUCF4YKIKPMC" localSheetId="8" hidden="1">#REF!</definedName>
    <definedName name="BExB0KPCN7YJORQAYUCF4YKIKPMC" localSheetId="19" hidden="1">#REF!</definedName>
    <definedName name="BExB0KPCN7YJORQAYUCF4YKIKPMC" hidden="1">#REF!</definedName>
    <definedName name="BExB0VHQD6ORZS0MIC86QWHCE4UC" localSheetId="8" hidden="1">#REF!</definedName>
    <definedName name="BExB0VHQD6ORZS0MIC86QWHCE4UC" localSheetId="19" hidden="1">#REF!</definedName>
    <definedName name="BExB0VHQD6ORZS0MIC86QWHCE4UC" hidden="1">#REF!</definedName>
    <definedName name="BExB0WE4PI3NOBXXVO9CTEN4DIU2" localSheetId="8" hidden="1">#REF!</definedName>
    <definedName name="BExB0WE4PI3NOBXXVO9CTEN4DIU2" localSheetId="19" hidden="1">#REF!</definedName>
    <definedName name="BExB0WE4PI3NOBXXVO9CTEN4DIU2" hidden="1">#REF!</definedName>
    <definedName name="BExB0Z8O1CQF2CWFBBHE8SNISDAO" localSheetId="8" hidden="1">#REF!</definedName>
    <definedName name="BExB0Z8O1CQF2CWFBBHE8SNISDAO" localSheetId="19" hidden="1">#REF!</definedName>
    <definedName name="BExB0Z8O1CQF2CWFBBHE8SNISDAO" hidden="1">#REF!</definedName>
    <definedName name="BExB10QNIVITUYS55OAEKK3VLJFE" localSheetId="8" hidden="1">#REF!</definedName>
    <definedName name="BExB10QNIVITUYS55OAEKK3VLJFE" localSheetId="19" hidden="1">#REF!</definedName>
    <definedName name="BExB10QNIVITUYS55OAEKK3VLJFE" hidden="1">#REF!</definedName>
    <definedName name="BExB15ZDRY4CIJ911DONP0KCY9KU" localSheetId="8" hidden="1">#REF!</definedName>
    <definedName name="BExB15ZDRY4CIJ911DONP0KCY9KU" localSheetId="19" hidden="1">#REF!</definedName>
    <definedName name="BExB15ZDRY4CIJ911DONP0KCY9KU" hidden="1">#REF!</definedName>
    <definedName name="BExB16VQY0O0RLZYJFU3OFEONVTE" localSheetId="8" hidden="1">#REF!</definedName>
    <definedName name="BExB16VQY0O0RLZYJFU3OFEONVTE" localSheetId="19" hidden="1">#REF!</definedName>
    <definedName name="BExB16VQY0O0RLZYJFU3OFEONVTE" hidden="1">#REF!</definedName>
    <definedName name="BExB1FKNY2UO4W5FUGFHJOA2WFGG" localSheetId="8" hidden="1">#REF!</definedName>
    <definedName name="BExB1FKNY2UO4W5FUGFHJOA2WFGG" localSheetId="19" hidden="1">#REF!</definedName>
    <definedName name="BExB1FKNY2UO4W5FUGFHJOA2WFGG" hidden="1">#REF!</definedName>
    <definedName name="BExB1GMD0PIDGTFBGQOPRWQSP9I4" localSheetId="8" hidden="1">#REF!</definedName>
    <definedName name="BExB1GMD0PIDGTFBGQOPRWQSP9I4" localSheetId="19" hidden="1">#REF!</definedName>
    <definedName name="BExB1GMD0PIDGTFBGQOPRWQSP9I4" hidden="1">#REF!</definedName>
    <definedName name="BExB1HZ0FHGNOS2URJWFD5G55OMO" localSheetId="8" hidden="1">#REF!</definedName>
    <definedName name="BExB1HZ0FHGNOS2URJWFD5G55OMO" localSheetId="19" hidden="1">#REF!</definedName>
    <definedName name="BExB1HZ0FHGNOS2URJWFD5G55OMO" hidden="1">#REF!</definedName>
    <definedName name="BExB1Q29OO6LNFNT1EQLA3KYE7MX" localSheetId="8" hidden="1">#REF!</definedName>
    <definedName name="BExB1Q29OO6LNFNT1EQLA3KYE7MX" localSheetId="19" hidden="1">#REF!</definedName>
    <definedName name="BExB1Q29OO6LNFNT1EQLA3KYE7MX" hidden="1">#REF!</definedName>
    <definedName name="BExB1TNRV5EBWZEHYLHI76T0FVA7" localSheetId="8" hidden="1">#REF!</definedName>
    <definedName name="BExB1TNRV5EBWZEHYLHI76T0FVA7" localSheetId="19" hidden="1">#REF!</definedName>
    <definedName name="BExB1TNRV5EBWZEHYLHI76T0FVA7" hidden="1">#REF!</definedName>
    <definedName name="BExB1WI6M8I0EEP1ANUQZCFY24EV" localSheetId="8" hidden="1">#REF!</definedName>
    <definedName name="BExB1WI6M8I0EEP1ANUQZCFY24EV" localSheetId="19" hidden="1">#REF!</definedName>
    <definedName name="BExB1WI6M8I0EEP1ANUQZCFY24EV" hidden="1">#REF!</definedName>
    <definedName name="BExB203OWC9QZA3BYOKQ18L4FUJE" localSheetId="8" hidden="1">#REF!</definedName>
    <definedName name="BExB203OWC9QZA3BYOKQ18L4FUJE" localSheetId="19" hidden="1">#REF!</definedName>
    <definedName name="BExB203OWC9QZA3BYOKQ18L4FUJE" hidden="1">#REF!</definedName>
    <definedName name="BExB2CJHTU7C591BR4WRL5L2F2K6" localSheetId="8" hidden="1">#REF!</definedName>
    <definedName name="BExB2CJHTU7C591BR4WRL5L2F2K6" localSheetId="19" hidden="1">#REF!</definedName>
    <definedName name="BExB2CJHTU7C591BR4WRL5L2F2K6" hidden="1">#REF!</definedName>
    <definedName name="BExB2K1AV4PGNS1O6C7D7AO411AX" localSheetId="8" hidden="1">#REF!</definedName>
    <definedName name="BExB2K1AV4PGNS1O6C7D7AO411AX" localSheetId="19" hidden="1">#REF!</definedName>
    <definedName name="BExB2K1AV4PGNS1O6C7D7AO411AX" hidden="1">#REF!</definedName>
    <definedName name="BExB2O2UYHKI324YE324E1N7FVIB" localSheetId="8" hidden="1">#REF!</definedName>
    <definedName name="BExB2O2UYHKI324YE324E1N7FVIB" localSheetId="19" hidden="1">#REF!</definedName>
    <definedName name="BExB2O2UYHKI324YE324E1N7FVIB" hidden="1">#REF!</definedName>
    <definedName name="BExB2Q0VJ0MU2URO3JOVUAVHEI3V" localSheetId="8" hidden="1">#REF!</definedName>
    <definedName name="BExB2Q0VJ0MU2URO3JOVUAVHEI3V" localSheetId="19" hidden="1">#REF!</definedName>
    <definedName name="BExB2Q0VJ0MU2URO3JOVUAVHEI3V" hidden="1">#REF!</definedName>
    <definedName name="BExB30IP1DNKNQ6PZ5ERUGR5MK4Z" localSheetId="8" hidden="1">#REF!</definedName>
    <definedName name="BExB30IP1DNKNQ6PZ5ERUGR5MK4Z" localSheetId="19" hidden="1">#REF!</definedName>
    <definedName name="BExB30IP1DNKNQ6PZ5ERUGR5MK4Z" hidden="1">#REF!</definedName>
    <definedName name="BExB385QW2BSSBXS953SSQN2ISSW" localSheetId="8" hidden="1">#REF!</definedName>
    <definedName name="BExB385QW2BSSBXS953SSQN2ISSW" localSheetId="19" hidden="1">#REF!</definedName>
    <definedName name="BExB385QW2BSSBXS953SSQN2ISSW" hidden="1">#REF!</definedName>
    <definedName name="BExB3DEMEV5D9G8FDHD4NQ9X2YNT" localSheetId="8" hidden="1">#REF!</definedName>
    <definedName name="BExB3DEMEV5D9G8FDHD4NQ9X2YNT" localSheetId="19" hidden="1">#REF!</definedName>
    <definedName name="BExB3DEMEV5D9G8FDHD4NQ9X2YNT" hidden="1">#REF!</definedName>
    <definedName name="BExB3RXU8AJQ86I5RXEWLGGR7R7C" localSheetId="8" hidden="1">#REF!</definedName>
    <definedName name="BExB3RXU8AJQ86I5RXEWLGGR7R7C" localSheetId="19" hidden="1">#REF!</definedName>
    <definedName name="BExB3RXU8AJQ86I5RXEWLGGR7R7C" hidden="1">#REF!</definedName>
    <definedName name="BExB442RX0T3L6HUL6X5T21CENW6" localSheetId="8" hidden="1">#REF!</definedName>
    <definedName name="BExB442RX0T3L6HUL6X5T21CENW6" localSheetId="19" hidden="1">#REF!</definedName>
    <definedName name="BExB442RX0T3L6HUL6X5T21CENW6" hidden="1">#REF!</definedName>
    <definedName name="BExB4ADD0L7417CII901XTFKXD1J" localSheetId="8" hidden="1">#REF!</definedName>
    <definedName name="BExB4ADD0L7417CII901XTFKXD1J" localSheetId="19" hidden="1">#REF!</definedName>
    <definedName name="BExB4ADD0L7417CII901XTFKXD1J" hidden="1">#REF!</definedName>
    <definedName name="BExB4DYU06HCGRIPBSWRCXK804UM" localSheetId="8" hidden="1">#REF!</definedName>
    <definedName name="BExB4DYU06HCGRIPBSWRCXK804UM" localSheetId="19" hidden="1">#REF!</definedName>
    <definedName name="BExB4DYU06HCGRIPBSWRCXK804UM" hidden="1">#REF!</definedName>
    <definedName name="BExB4HEZO4E597Q5M4M10LT8TLY3" localSheetId="8" hidden="1">#REF!</definedName>
    <definedName name="BExB4HEZO4E597Q5M4M10LT8TLY3" localSheetId="19" hidden="1">#REF!</definedName>
    <definedName name="BExB4HEZO4E597Q5M4M10LT8TLY3" hidden="1">#REF!</definedName>
    <definedName name="BExB4X01APD3Z8ZW6MVX1P8NAO7G" localSheetId="8" hidden="1">#REF!</definedName>
    <definedName name="BExB4X01APD3Z8ZW6MVX1P8NAO7G" localSheetId="19" hidden="1">#REF!</definedName>
    <definedName name="BExB4X01APD3Z8ZW6MVX1P8NAO7G" hidden="1">#REF!</definedName>
    <definedName name="BExB4Z3EZBGYYI33U0KQ8NEIH8PY" localSheetId="8" hidden="1">#REF!</definedName>
    <definedName name="BExB4Z3EZBGYYI33U0KQ8NEIH8PY" localSheetId="19" hidden="1">#REF!</definedName>
    <definedName name="BExB4Z3EZBGYYI33U0KQ8NEIH8PY" hidden="1">#REF!</definedName>
    <definedName name="BExB4ZJOLU1PXBMG4TPCCLTRMNRE" localSheetId="8" hidden="1">#REF!</definedName>
    <definedName name="BExB4ZJOLU1PXBMG4TPCCLTRMNRE" localSheetId="19" hidden="1">#REF!</definedName>
    <definedName name="BExB4ZJOLU1PXBMG4TPCCLTRMNRE" hidden="1">#REF!</definedName>
    <definedName name="BExB4ZZSDPL4Q05BMVT5TUN0IGKT" localSheetId="8" hidden="1">#REF!</definedName>
    <definedName name="BExB4ZZSDPL4Q05BMVT5TUN0IGKT" localSheetId="19" hidden="1">#REF!</definedName>
    <definedName name="BExB4ZZSDPL4Q05BMVT5TUN0IGKT" hidden="1">#REF!</definedName>
    <definedName name="BExB55368XW7UX657ZSPC6BFE92S" localSheetId="8" hidden="1">#REF!</definedName>
    <definedName name="BExB55368XW7UX657ZSPC6BFE92S" localSheetId="19" hidden="1">#REF!</definedName>
    <definedName name="BExB55368XW7UX657ZSPC6BFE92S" hidden="1">#REF!</definedName>
    <definedName name="BExB57MZEPL2SA2ONPK66YFLZWJU" localSheetId="8" hidden="1">#REF!</definedName>
    <definedName name="BExB57MZEPL2SA2ONPK66YFLZWJU" localSheetId="19" hidden="1">#REF!</definedName>
    <definedName name="BExB57MZEPL2SA2ONPK66YFLZWJU" hidden="1">#REF!</definedName>
    <definedName name="BExB5833OAOJ22VK1YK47FHUSVK2" localSheetId="8" hidden="1">#REF!</definedName>
    <definedName name="BExB5833OAOJ22VK1YK47FHUSVK2" localSheetId="19" hidden="1">#REF!</definedName>
    <definedName name="BExB5833OAOJ22VK1YK47FHUSVK2" hidden="1">#REF!</definedName>
    <definedName name="BExB58JDIHS42JZT9DJJMKA8QFCO" localSheetId="8" hidden="1">#REF!</definedName>
    <definedName name="BExB58JDIHS42JZT9DJJMKA8QFCO" localSheetId="19" hidden="1">#REF!</definedName>
    <definedName name="BExB58JDIHS42JZT9DJJMKA8QFCO" hidden="1">#REF!</definedName>
    <definedName name="BExB58U5FQC5JWV9CGC83HLLZUZI" localSheetId="8" hidden="1">#REF!</definedName>
    <definedName name="BExB58U5FQC5JWV9CGC83HLLZUZI" localSheetId="19" hidden="1">#REF!</definedName>
    <definedName name="BExB58U5FQC5JWV9CGC83HLLZUZI" hidden="1">#REF!</definedName>
    <definedName name="BExB5EDO9XUKHF74X3HAU2WPPHZH" localSheetId="8" hidden="1">#REF!</definedName>
    <definedName name="BExB5EDO9XUKHF74X3HAU2WPPHZH" localSheetId="19" hidden="1">#REF!</definedName>
    <definedName name="BExB5EDO9XUKHF74X3HAU2WPPHZH" hidden="1">#REF!</definedName>
    <definedName name="BExB5EDOQKZIQXT13IG1KLCZ474G" localSheetId="8" hidden="1">#REF!</definedName>
    <definedName name="BExB5EDOQKZIQXT13IG1KLCZ474G" localSheetId="19" hidden="1">#REF!</definedName>
    <definedName name="BExB5EDOQKZIQXT13IG1KLCZ474G" hidden="1">#REF!</definedName>
    <definedName name="BExB5G6EH68AYEP1UT0GHUEL3SLN" localSheetId="8" hidden="1">#REF!</definedName>
    <definedName name="BExB5G6EH68AYEP1UT0GHUEL3SLN" localSheetId="19" hidden="1">#REF!</definedName>
    <definedName name="BExB5G6EH68AYEP1UT0GHUEL3SLN" hidden="1">#REF!</definedName>
    <definedName name="BExB5LVGGXMNUN3D3452G3J62MKF" localSheetId="8" hidden="1">#REF!</definedName>
    <definedName name="BExB5LVGGXMNUN3D3452G3J62MKF" localSheetId="19" hidden="1">#REF!</definedName>
    <definedName name="BExB5LVGGXMNUN3D3452G3J62MKF" hidden="1">#REF!</definedName>
    <definedName name="BExB5QYVEZWFE5DQVHAM760EV05X" localSheetId="8" hidden="1">#REF!</definedName>
    <definedName name="BExB5QYVEZWFE5DQVHAM760EV05X" localSheetId="19" hidden="1">#REF!</definedName>
    <definedName name="BExB5QYVEZWFE5DQVHAM760EV05X" hidden="1">#REF!</definedName>
    <definedName name="BExB5U9IRH14EMOE0YGIE3WIVLFS" localSheetId="8" hidden="1">#REF!</definedName>
    <definedName name="BExB5U9IRH14EMOE0YGIE3WIVLFS" localSheetId="19" hidden="1">#REF!</definedName>
    <definedName name="BExB5U9IRH14EMOE0YGIE3WIVLFS" hidden="1">#REF!</definedName>
    <definedName name="BExB5V5WWQYPK4GCSYZQALJYGC94" localSheetId="8" hidden="1">#REF!</definedName>
    <definedName name="BExB5V5WWQYPK4GCSYZQALJYGC94" localSheetId="19" hidden="1">#REF!</definedName>
    <definedName name="BExB5V5WWQYPK4GCSYZQALJYGC94" hidden="1">#REF!</definedName>
    <definedName name="BExB5VWYMOV6BAIH7XUBBVPU7MMD" localSheetId="8" hidden="1">#REF!</definedName>
    <definedName name="BExB5VWYMOV6BAIH7XUBBVPU7MMD" localSheetId="19" hidden="1">#REF!</definedName>
    <definedName name="BExB5VWYMOV6BAIH7XUBBVPU7MMD" hidden="1">#REF!</definedName>
    <definedName name="BExB610DZWIJP1B72U9QM42COH2B" localSheetId="8" hidden="1">#REF!</definedName>
    <definedName name="BExB610DZWIJP1B72U9QM42COH2B" localSheetId="19" hidden="1">#REF!</definedName>
    <definedName name="BExB610DZWIJP1B72U9QM42COH2B" hidden="1">#REF!</definedName>
    <definedName name="BExB64AX81KEVMGZDXB25NB459SW" localSheetId="8" hidden="1">#REF!</definedName>
    <definedName name="BExB64AX81KEVMGZDXB25NB459SW" localSheetId="19" hidden="1">#REF!</definedName>
    <definedName name="BExB64AX81KEVMGZDXB25NB459SW" hidden="1">#REF!</definedName>
    <definedName name="BExB6C3FUAKK9ML5T767NMWGA9YB" localSheetId="8" hidden="1">#REF!</definedName>
    <definedName name="BExB6C3FUAKK9ML5T767NMWGA9YB" localSheetId="19" hidden="1">#REF!</definedName>
    <definedName name="BExB6C3FUAKK9ML5T767NMWGA9YB" hidden="1">#REF!</definedName>
    <definedName name="BExB6C8X6JYRLKZKK17VE3QUNL3D" localSheetId="8" hidden="1">#REF!</definedName>
    <definedName name="BExB6C8X6JYRLKZKK17VE3QUNL3D" localSheetId="19" hidden="1">#REF!</definedName>
    <definedName name="BExB6C8X6JYRLKZKK17VE3QUNL3D" hidden="1">#REF!</definedName>
    <definedName name="BExB6HN3QRFPXM71MDUK21BKM7PF" localSheetId="8" hidden="1">#REF!</definedName>
    <definedName name="BExB6HN3QRFPXM71MDUK21BKM7PF" localSheetId="19" hidden="1">#REF!</definedName>
    <definedName name="BExB6HN3QRFPXM71MDUK21BKM7PF" hidden="1">#REF!</definedName>
    <definedName name="BExB6I39SKL5BMHHDD9EED7FQD9Z" localSheetId="8" hidden="1">#REF!</definedName>
    <definedName name="BExB6I39SKL5BMHHDD9EED7FQD9Z" localSheetId="19" hidden="1">#REF!</definedName>
    <definedName name="BExB6I39SKL5BMHHDD9EED7FQD9Z" hidden="1">#REF!</definedName>
    <definedName name="BExB6IZMHCZ3LB7N73KD90YB1HBZ" localSheetId="8" hidden="1">#REF!</definedName>
    <definedName name="BExB6IZMHCZ3LB7N73KD90YB1HBZ" localSheetId="19" hidden="1">#REF!</definedName>
    <definedName name="BExB6IZMHCZ3LB7N73KD90YB1HBZ" hidden="1">#REF!</definedName>
    <definedName name="BExB719SGNX4Y8NE6JEXC555K596" localSheetId="8" hidden="1">#REF!</definedName>
    <definedName name="BExB719SGNX4Y8NE6JEXC555K596" localSheetId="19" hidden="1">#REF!</definedName>
    <definedName name="BExB719SGNX4Y8NE6JEXC555K596" hidden="1">#REF!</definedName>
    <definedName name="BExB7265DCHKS7V2OWRBXCZTEIW9" localSheetId="8" hidden="1">#REF!</definedName>
    <definedName name="BExB7265DCHKS7V2OWRBXCZTEIW9" localSheetId="19" hidden="1">#REF!</definedName>
    <definedName name="BExB7265DCHKS7V2OWRBXCZTEIW9" hidden="1">#REF!</definedName>
    <definedName name="BExB74PS5P9G0P09Y6DZSCX0FLTJ" localSheetId="8" hidden="1">#REF!</definedName>
    <definedName name="BExB74PS5P9G0P09Y6DZSCX0FLTJ" localSheetId="19" hidden="1">#REF!</definedName>
    <definedName name="BExB74PS5P9G0P09Y6DZSCX0FLTJ" hidden="1">#REF!</definedName>
    <definedName name="BExB78RH79J0MIF7H8CAZ0CFE88Q" localSheetId="8" hidden="1">#REF!</definedName>
    <definedName name="BExB78RH79J0MIF7H8CAZ0CFE88Q" localSheetId="19" hidden="1">#REF!</definedName>
    <definedName name="BExB78RH79J0MIF7H8CAZ0CFE88Q" hidden="1">#REF!</definedName>
    <definedName name="BExB7ELT09HGDVO5BJC1ZY9D09GZ" localSheetId="8" hidden="1">#REF!</definedName>
    <definedName name="BExB7ELT09HGDVO5BJC1ZY9D09GZ" localSheetId="19" hidden="1">#REF!</definedName>
    <definedName name="BExB7ELT09HGDVO5BJC1ZY9D09GZ" hidden="1">#REF!</definedName>
    <definedName name="BExB7F7EIHG0MYMQYUVG9HIZPHMZ" localSheetId="8" hidden="1">#REF!</definedName>
    <definedName name="BExB7F7EIHG0MYMQYUVG9HIZPHMZ" localSheetId="19" hidden="1">#REF!</definedName>
    <definedName name="BExB7F7EIHG0MYMQYUVG9HIZPHMZ" hidden="1">#REF!</definedName>
    <definedName name="BExB806PAXX70XUTA3ZI7OORD78R" localSheetId="8" hidden="1">#REF!</definedName>
    <definedName name="BExB806PAXX70XUTA3ZI7OORD78R" localSheetId="19" hidden="1">#REF!</definedName>
    <definedName name="BExB806PAXX70XUTA3ZI7OORD78R" hidden="1">#REF!</definedName>
    <definedName name="BExB83199EQQS6I5HE7WADNCK8OE" localSheetId="8" hidden="1">#REF!</definedName>
    <definedName name="BExB83199EQQS6I5HE7WADNCK8OE" localSheetId="19" hidden="1">#REF!</definedName>
    <definedName name="BExB83199EQQS6I5HE7WADNCK8OE" hidden="1">#REF!</definedName>
    <definedName name="BExB8HF4UBVZKQCSRFRUQL2EE6VL" localSheetId="8" hidden="1">#REF!</definedName>
    <definedName name="BExB8HF4UBVZKQCSRFRUQL2EE6VL" localSheetId="19" hidden="1">#REF!</definedName>
    <definedName name="BExB8HF4UBVZKQCSRFRUQL2EE6VL" hidden="1">#REF!</definedName>
    <definedName name="BExB8HKHKZ1ORJZUYGG2M4VSCC39" localSheetId="8" hidden="1">#REF!</definedName>
    <definedName name="BExB8HKHKZ1ORJZUYGG2M4VSCC39" localSheetId="19" hidden="1">#REF!</definedName>
    <definedName name="BExB8HKHKZ1ORJZUYGG2M4VSCC39" hidden="1">#REF!</definedName>
    <definedName name="BExB8HV9YUS1Q77M9SNFRKDLU5HS" localSheetId="8" hidden="1">#REF!</definedName>
    <definedName name="BExB8HV9YUS1Q77M9SNFRKDLU5HS" localSheetId="19" hidden="1">#REF!</definedName>
    <definedName name="BExB8HV9YUS1Q77M9SNFRKDLU5HS" hidden="1">#REF!</definedName>
    <definedName name="BExB8QPH8DC5BESEVPSMBCWVN6PO" localSheetId="8" hidden="1">#REF!</definedName>
    <definedName name="BExB8QPH8DC5BESEVPSMBCWVN6PO" localSheetId="19" hidden="1">#REF!</definedName>
    <definedName name="BExB8QPH8DC5BESEVPSMBCWVN6PO" hidden="1">#REF!</definedName>
    <definedName name="BExB8U5N0D85YR8APKN3PPKG0FWP" localSheetId="8" hidden="1">#REF!</definedName>
    <definedName name="BExB8U5N0D85YR8APKN3PPKG0FWP" localSheetId="19" hidden="1">#REF!</definedName>
    <definedName name="BExB8U5N0D85YR8APKN3PPKG0FWP" hidden="1">#REF!</definedName>
    <definedName name="BExB93G413CK5DKO7925ZHSOBGIN" localSheetId="8" hidden="1">#REF!</definedName>
    <definedName name="BExB93G413CK5DKO7925ZHSOBGIN" localSheetId="19" hidden="1">#REF!</definedName>
    <definedName name="BExB93G413CK5DKO7925ZHSOBGIN" hidden="1">#REF!</definedName>
    <definedName name="BExB96LBXL1JW5A4PP93UJ9UDLKZ" localSheetId="8" hidden="1">#REF!</definedName>
    <definedName name="BExB96LBXL1JW5A4PP93UJ9UDLKZ" localSheetId="19" hidden="1">#REF!</definedName>
    <definedName name="BExB96LBXL1JW5A4PP93UJ9UDLKZ" hidden="1">#REF!</definedName>
    <definedName name="BExB9DHI5I2TJ2LXYPM98EE81L27" localSheetId="8" hidden="1">#REF!</definedName>
    <definedName name="BExB9DHI5I2TJ2LXYPM98EE81L27" localSheetId="19" hidden="1">#REF!</definedName>
    <definedName name="BExB9DHI5I2TJ2LXYPM98EE81L27" hidden="1">#REF!</definedName>
    <definedName name="BExB9G6LZG5OQUY0GZLHX066V3D4" localSheetId="8" hidden="1">#REF!</definedName>
    <definedName name="BExB9G6LZG5OQUY0GZLHX066V3D4" localSheetId="19" hidden="1">#REF!</definedName>
    <definedName name="BExB9G6LZG5OQUY0GZLHX066V3D4" hidden="1">#REF!</definedName>
    <definedName name="BExB9IFG9FW3RQUDIMDFKIYDB4HE" localSheetId="8" hidden="1">#REF!</definedName>
    <definedName name="BExB9IFG9FW3RQUDIMDFKIYDB4HE" localSheetId="19" hidden="1">#REF!</definedName>
    <definedName name="BExB9IFG9FW3RQUDIMDFKIYDB4HE" hidden="1">#REF!</definedName>
    <definedName name="BExB9NDIZ7LGMTL8351GRA6VK2K0" localSheetId="8" hidden="1">#REF!</definedName>
    <definedName name="BExB9NDIZ7LGMTL8351GRA6VK2K0" localSheetId="19" hidden="1">#REF!</definedName>
    <definedName name="BExB9NDIZ7LGMTL8351GRA6VK2K0" hidden="1">#REF!</definedName>
    <definedName name="BExB9Q2MZZHBGW8QQKVEYIMJBPIE" localSheetId="8" hidden="1">#REF!</definedName>
    <definedName name="BExB9Q2MZZHBGW8QQKVEYIMJBPIE" localSheetId="19" hidden="1">#REF!</definedName>
    <definedName name="BExB9Q2MZZHBGW8QQKVEYIMJBPIE" hidden="1">#REF!</definedName>
    <definedName name="BExBA1GON0EZRJ20UYPILAPLNQWM" localSheetId="8" hidden="1">#REF!</definedName>
    <definedName name="BExBA1GON0EZRJ20UYPILAPLNQWM" localSheetId="19" hidden="1">#REF!</definedName>
    <definedName name="BExBA1GON0EZRJ20UYPILAPLNQWM" hidden="1">#REF!</definedName>
    <definedName name="BExBA525BALJ5HMTDMMSM5WWJ1YW" localSheetId="8" hidden="1">#REF!</definedName>
    <definedName name="BExBA525BALJ5HMTDMMSM5WWJ1YW" localSheetId="19" hidden="1">#REF!</definedName>
    <definedName name="BExBA525BALJ5HMTDMMSM5WWJ1YW" hidden="1">#REF!</definedName>
    <definedName name="BExBA69ASGYRZW1G1DYIS9QRRTBN" localSheetId="8" hidden="1">#REF!</definedName>
    <definedName name="BExBA69ASGYRZW1G1DYIS9QRRTBN" localSheetId="19" hidden="1">#REF!</definedName>
    <definedName name="BExBA69ASGYRZW1G1DYIS9QRRTBN" hidden="1">#REF!</definedName>
    <definedName name="BExBA6K42582A14WFFWQ3Q8QQWB6" localSheetId="8" hidden="1">#REF!</definedName>
    <definedName name="BExBA6K42582A14WFFWQ3Q8QQWB6" localSheetId="19" hidden="1">#REF!</definedName>
    <definedName name="BExBA6K42582A14WFFWQ3Q8QQWB6" hidden="1">#REF!</definedName>
    <definedName name="BExBA8I5D4R8R2PYQ1K16TWGTOEP" localSheetId="8" hidden="1">#REF!</definedName>
    <definedName name="BExBA8I5D4R8R2PYQ1K16TWGTOEP" localSheetId="19" hidden="1">#REF!</definedName>
    <definedName name="BExBA8I5D4R8R2PYQ1K16TWGTOEP" hidden="1">#REF!</definedName>
    <definedName name="BExBA93PE0DGUUTA7LLSIGBIXWE5" localSheetId="8" hidden="1">#REF!</definedName>
    <definedName name="BExBA93PE0DGUUTA7LLSIGBIXWE5" localSheetId="19" hidden="1">#REF!</definedName>
    <definedName name="BExBA93PE0DGUUTA7LLSIGBIXWE5" hidden="1">#REF!</definedName>
    <definedName name="BExBABCQMR685CQ1SC8CECO7GTGB" localSheetId="8" hidden="1">#REF!</definedName>
    <definedName name="BExBABCQMR685CQ1SC8CECO7GTGB" localSheetId="19" hidden="1">#REF!</definedName>
    <definedName name="BExBABCQMR685CQ1SC8CECO7GTGB" hidden="1">#REF!</definedName>
    <definedName name="BExBAI8X0FKDQJ6YZJQDTTG4ZCWY" localSheetId="8" hidden="1">#REF!</definedName>
    <definedName name="BExBAI8X0FKDQJ6YZJQDTTG4ZCWY" localSheetId="19" hidden="1">#REF!</definedName>
    <definedName name="BExBAI8X0FKDQJ6YZJQDTTG4ZCWY" hidden="1">#REF!</definedName>
    <definedName name="BExBAKN7XIBAXCF9PCNVS038PCQO" localSheetId="8" hidden="1">#REF!</definedName>
    <definedName name="BExBAKN7XIBAXCF9PCNVS038PCQO" localSheetId="19" hidden="1">#REF!</definedName>
    <definedName name="BExBAKN7XIBAXCF9PCNVS038PCQO" hidden="1">#REF!</definedName>
    <definedName name="BExBAKXZ7PBW3DDKKA5MWC1ZUC7O" localSheetId="8" hidden="1">#REF!</definedName>
    <definedName name="BExBAKXZ7PBW3DDKKA5MWC1ZUC7O" localSheetId="19" hidden="1">#REF!</definedName>
    <definedName name="BExBAKXZ7PBW3DDKKA5MWC1ZUC7O" hidden="1">#REF!</definedName>
    <definedName name="BExBAO8NLXZXHO6KCIECSFCH3RR0" localSheetId="8" hidden="1">#REF!</definedName>
    <definedName name="BExBAO8NLXZXHO6KCIECSFCH3RR0" localSheetId="19" hidden="1">#REF!</definedName>
    <definedName name="BExBAO8NLXZXHO6KCIECSFCH3RR0" hidden="1">#REF!</definedName>
    <definedName name="BExBAOOT1KBSIEISN1ADL4RMY879" localSheetId="8" hidden="1">#REF!</definedName>
    <definedName name="BExBAOOT1KBSIEISN1ADL4RMY879" localSheetId="19" hidden="1">#REF!</definedName>
    <definedName name="BExBAOOT1KBSIEISN1ADL4RMY879" hidden="1">#REF!</definedName>
    <definedName name="BExBAVKX8Q09370X1GCZWJ4E91YJ" localSheetId="8" hidden="1">#REF!</definedName>
    <definedName name="BExBAVKX8Q09370X1GCZWJ4E91YJ" localSheetId="19" hidden="1">#REF!</definedName>
    <definedName name="BExBAVKX8Q09370X1GCZWJ4E91YJ" hidden="1">#REF!</definedName>
    <definedName name="BExBAX2X2ENJYO4QTR5VAIQ86L7B" localSheetId="8" hidden="1">#REF!</definedName>
    <definedName name="BExBAX2X2ENJYO4QTR5VAIQ86L7B" localSheetId="19" hidden="1">#REF!</definedName>
    <definedName name="BExBAX2X2ENJYO4QTR5VAIQ86L7B" hidden="1">#REF!</definedName>
    <definedName name="BExBAZ13D3F1DVJQ6YJ8JGUYEYJE" localSheetId="8" hidden="1">#REF!</definedName>
    <definedName name="BExBAZ13D3F1DVJQ6YJ8JGUYEYJE" localSheetId="19" hidden="1">#REF!</definedName>
    <definedName name="BExBAZ13D3F1DVJQ6YJ8JGUYEYJE" hidden="1">#REF!</definedName>
    <definedName name="BExBBMPCB1QOZY8WWEX4J21JDE6U" localSheetId="8" hidden="1">#REF!</definedName>
    <definedName name="BExBBMPCB1QOZY8WWEX4J21JDE6U" localSheetId="19" hidden="1">#REF!</definedName>
    <definedName name="BExBBMPCB1QOZY8WWEX4J21JDE6U" hidden="1">#REF!</definedName>
    <definedName name="BExBBU1QQWUE0YFG7O1TN0RFLSSG" localSheetId="8" hidden="1">#REF!</definedName>
    <definedName name="BExBBU1QQWUE0YFG7O1TN0RFLSSG" localSheetId="19" hidden="1">#REF!</definedName>
    <definedName name="BExBBU1QQWUE0YFG7O1TN0RFLSSG" hidden="1">#REF!</definedName>
    <definedName name="BExBBUCJQRR74Q7GPWDEZXYK2KJL" localSheetId="8" hidden="1">#REF!</definedName>
    <definedName name="BExBBUCJQRR74Q7GPWDEZXYK2KJL" localSheetId="19" hidden="1">#REF!</definedName>
    <definedName name="BExBBUCJQRR74Q7GPWDEZXYK2KJL" hidden="1">#REF!</definedName>
    <definedName name="BExBBV8XVMD9CKZY711T0BN7H3PM" localSheetId="8" hidden="1">#REF!</definedName>
    <definedName name="BExBBV8XVMD9CKZY711T0BN7H3PM" localSheetId="19" hidden="1">#REF!</definedName>
    <definedName name="BExBBV8XVMD9CKZY711T0BN7H3PM" hidden="1">#REF!</definedName>
    <definedName name="BExBC78HXWXHO3XAB6E8NVTBGLJS" localSheetId="8" hidden="1">#REF!</definedName>
    <definedName name="BExBC78HXWXHO3XAB6E8NVTBGLJS" localSheetId="19" hidden="1">#REF!</definedName>
    <definedName name="BExBC78HXWXHO3XAB6E8NVTBGLJS" hidden="1">#REF!</definedName>
    <definedName name="BExBCFH3SMGZ2IPHFB6BCM9O3W0H" localSheetId="8" hidden="1">#REF!</definedName>
    <definedName name="BExBCFH3SMGZ2IPHFB6BCM9O3W0H" localSheetId="19" hidden="1">#REF!</definedName>
    <definedName name="BExBCFH3SMGZ2IPHFB6BCM9O3W0H" hidden="1">#REF!</definedName>
    <definedName name="BExBCK9SCAABKOT9IP6TEPRR7YDT" localSheetId="8" hidden="1">#REF!</definedName>
    <definedName name="BExBCK9SCAABKOT9IP6TEPRR7YDT" localSheetId="19" hidden="1">#REF!</definedName>
    <definedName name="BExBCK9SCAABKOT9IP6TEPRR7YDT" hidden="1">#REF!</definedName>
    <definedName name="BExBCKKJFFT2RP50WNPKBT7X8PJ3" localSheetId="8" hidden="1">#REF!</definedName>
    <definedName name="BExBCKKJFFT2RP50WNPKBT7X8PJ3" localSheetId="19" hidden="1">#REF!</definedName>
    <definedName name="BExBCKKJFFT2RP50WNPKBT7X8PJ3" hidden="1">#REF!</definedName>
    <definedName name="BExBCKKJTIRKC1RZJRTK65HHLX4W" localSheetId="8" hidden="1">#REF!</definedName>
    <definedName name="BExBCKKJTIRKC1RZJRTK65HHLX4W" localSheetId="19" hidden="1">#REF!</definedName>
    <definedName name="BExBCKKJTIRKC1RZJRTK65HHLX4W" hidden="1">#REF!</definedName>
    <definedName name="BExBCLMEPAN3XXX174TU8SS0627Q" localSheetId="8" hidden="1">#REF!</definedName>
    <definedName name="BExBCLMEPAN3XXX174TU8SS0627Q" localSheetId="19" hidden="1">#REF!</definedName>
    <definedName name="BExBCLMEPAN3XXX174TU8SS0627Q" hidden="1">#REF!</definedName>
    <definedName name="BExBCRBEYR2KZ8FAQFZ2NHY13WIY" localSheetId="8" hidden="1">#REF!</definedName>
    <definedName name="BExBCRBEYR2KZ8FAQFZ2NHY13WIY" localSheetId="19" hidden="1">#REF!</definedName>
    <definedName name="BExBCRBEYR2KZ8FAQFZ2NHY13WIY" hidden="1">#REF!</definedName>
    <definedName name="BExBD4I559NXSV6J07Q343TKYMVJ" localSheetId="8" hidden="1">#REF!</definedName>
    <definedName name="BExBD4I559NXSV6J07Q343TKYMVJ" localSheetId="19" hidden="1">#REF!</definedName>
    <definedName name="BExBD4I559NXSV6J07Q343TKYMVJ" hidden="1">#REF!</definedName>
    <definedName name="BExBD9W8C0W9N6L1AFL18JP4H94W" localSheetId="8" hidden="1">#REF!</definedName>
    <definedName name="BExBD9W8C0W9N6L1AFL18JP4H94W" localSheetId="19" hidden="1">#REF!</definedName>
    <definedName name="BExBD9W8C0W9N6L1AFL18JP4H94W" hidden="1">#REF!</definedName>
    <definedName name="BExBDBZQLTX3OGFYGULQFK5WEZU5" localSheetId="8" hidden="1">#REF!</definedName>
    <definedName name="BExBDBZQLTX3OGFYGULQFK5WEZU5" localSheetId="19" hidden="1">#REF!</definedName>
    <definedName name="BExBDBZQLTX3OGFYGULQFK5WEZU5" hidden="1">#REF!</definedName>
    <definedName name="BExBDJS9TUEU8Z84IV59E5V4T8K6" localSheetId="8" hidden="1">#REF!</definedName>
    <definedName name="BExBDJS9TUEU8Z84IV59E5V4T8K6" localSheetId="19" hidden="1">#REF!</definedName>
    <definedName name="BExBDJS9TUEU8Z84IV59E5V4T8K6" hidden="1">#REF!</definedName>
    <definedName name="BExBDKOMSVH4XMH52CFJ3F028I9R" localSheetId="8" hidden="1">#REF!</definedName>
    <definedName name="BExBDKOMSVH4XMH52CFJ3F028I9R" localSheetId="19" hidden="1">#REF!</definedName>
    <definedName name="BExBDKOMSVH4XMH52CFJ3F028I9R" hidden="1">#REF!</definedName>
    <definedName name="BExBDSRXVZQ0W5WXQMP5XD00GRRL" localSheetId="8" hidden="1">#REF!</definedName>
    <definedName name="BExBDSRXVZQ0W5WXQMP5XD00GRRL" localSheetId="19" hidden="1">#REF!</definedName>
    <definedName name="BExBDSRXVZQ0W5WXQMP5XD00GRRL" hidden="1">#REF!</definedName>
    <definedName name="BExBDTJ0J7XEHB9OATXFF5I8FZBJ" localSheetId="8" hidden="1">#REF!</definedName>
    <definedName name="BExBDTJ0J7XEHB9OATXFF5I8FZBJ" localSheetId="19" hidden="1">#REF!</definedName>
    <definedName name="BExBDTJ0J7XEHB9OATXFF5I8FZBJ" hidden="1">#REF!</definedName>
    <definedName name="BExBDUVGK3E1J4JY9ZYTS7V14BLY" localSheetId="8" hidden="1">#REF!</definedName>
    <definedName name="BExBDUVGK3E1J4JY9ZYTS7V14BLY" localSheetId="19" hidden="1">#REF!</definedName>
    <definedName name="BExBDUVGK3E1J4JY9ZYTS7V14BLY" hidden="1">#REF!</definedName>
    <definedName name="BExBE0KGY14GSWOGPU4HSJRLD2UD" localSheetId="8" hidden="1">#REF!</definedName>
    <definedName name="BExBE0KGY14GSWOGPU4HSJRLD2UD" localSheetId="19" hidden="1">#REF!</definedName>
    <definedName name="BExBE0KGY14GSWOGPU4HSJRLD2UD" hidden="1">#REF!</definedName>
    <definedName name="BExBE162OSBKD30I7T1DKKPT3I9I" localSheetId="8" hidden="1">#REF!</definedName>
    <definedName name="BExBE162OSBKD30I7T1DKKPT3I9I" localSheetId="19" hidden="1">#REF!</definedName>
    <definedName name="BExBE162OSBKD30I7T1DKKPT3I9I" hidden="1">#REF!</definedName>
    <definedName name="BExBEC9ATLQZF86W1M3APSM4HEOH" localSheetId="8" hidden="1">#REF!</definedName>
    <definedName name="BExBEC9ATLQZF86W1M3APSM4HEOH" localSheetId="19" hidden="1">#REF!</definedName>
    <definedName name="BExBEC9ATLQZF86W1M3APSM4HEOH" hidden="1">#REF!</definedName>
    <definedName name="BExBEXU4CFCM1P5CTZ4NE14PBGDA" localSheetId="8" hidden="1">#REF!</definedName>
    <definedName name="BExBEXU4CFCM1P5CTZ4NE14PBGDA" localSheetId="19" hidden="1">#REF!</definedName>
    <definedName name="BExBEXU4CFCM1P5CTZ4NE14PBGDA" hidden="1">#REF!</definedName>
    <definedName name="BExBEYFQJE9YK12A6JBMRFKEC7RN" localSheetId="8" hidden="1">#REF!</definedName>
    <definedName name="BExBEYFQJE9YK12A6JBMRFKEC7RN" localSheetId="19" hidden="1">#REF!</definedName>
    <definedName name="BExBEYFQJE9YK12A6JBMRFKEC7RN" hidden="1">#REF!</definedName>
    <definedName name="BExBG1ED81J2O4A2S5F5Y3BPHMCR" localSheetId="8" hidden="1">#REF!</definedName>
    <definedName name="BExBG1ED81J2O4A2S5F5Y3BPHMCR" localSheetId="19" hidden="1">#REF!</definedName>
    <definedName name="BExBG1ED81J2O4A2S5F5Y3BPHMCR" hidden="1">#REF!</definedName>
    <definedName name="BExCRK0K58VDM9V35DGI6VK8C92V" localSheetId="8" hidden="1">#REF!</definedName>
    <definedName name="BExCRK0K58VDM9V35DGI6VK8C92V" localSheetId="19" hidden="1">#REF!</definedName>
    <definedName name="BExCRK0K58VDM9V35DGI6VK8C92V" hidden="1">#REF!</definedName>
    <definedName name="BExCRLIHS7466WFJ3RPIUGGXYESZ" localSheetId="8" hidden="1">#REF!</definedName>
    <definedName name="BExCRLIHS7466WFJ3RPIUGGXYESZ" localSheetId="19" hidden="1">#REF!</definedName>
    <definedName name="BExCRLIHS7466WFJ3RPIUGGXYESZ" hidden="1">#REF!</definedName>
    <definedName name="BExCRXSXMF4LHAQZHN64FXJPMVZ7" localSheetId="8" hidden="1">#REF!</definedName>
    <definedName name="BExCRXSXMF4LHAQZHN64FXJPMVZ7" localSheetId="19" hidden="1">#REF!</definedName>
    <definedName name="BExCRXSXMF4LHAQZHN64FXJPMVZ7" hidden="1">#REF!</definedName>
    <definedName name="BExCS1EDDUEAEWHVYXHIP9I1WCJH" localSheetId="8" hidden="1">#REF!</definedName>
    <definedName name="BExCS1EDDUEAEWHVYXHIP9I1WCJH" localSheetId="19" hidden="1">#REF!</definedName>
    <definedName name="BExCS1EDDUEAEWHVYXHIP9I1WCJH" hidden="1">#REF!</definedName>
    <definedName name="BExCS1P5QG0X3OTHKX07RALOE5T5" localSheetId="8" hidden="1">#REF!</definedName>
    <definedName name="BExCS1P5QG0X3OTHKX07RALOE5T5" localSheetId="19" hidden="1">#REF!</definedName>
    <definedName name="BExCS1P5QG0X3OTHKX07RALOE5T5" hidden="1">#REF!</definedName>
    <definedName name="BExCS7ZPMHFJ4UJDAL8CQOLSZ13B" localSheetId="8" hidden="1">#REF!</definedName>
    <definedName name="BExCS7ZPMHFJ4UJDAL8CQOLSZ13B" localSheetId="19" hidden="1">#REF!</definedName>
    <definedName name="BExCS7ZPMHFJ4UJDAL8CQOLSZ13B" hidden="1">#REF!</definedName>
    <definedName name="BExCS8W4NJUZH9S1CYB6XSDLEPBW" localSheetId="8" hidden="1">#REF!</definedName>
    <definedName name="BExCS8W4NJUZH9S1CYB6XSDLEPBW" localSheetId="19" hidden="1">#REF!</definedName>
    <definedName name="BExCS8W4NJUZH9S1CYB6XSDLEPBW" hidden="1">#REF!</definedName>
    <definedName name="BExCSAE1M6G20R41J0Y24YNN0YC1" localSheetId="8" hidden="1">#REF!</definedName>
    <definedName name="BExCSAE1M6G20R41J0Y24YNN0YC1" localSheetId="19" hidden="1">#REF!</definedName>
    <definedName name="BExCSAE1M6G20R41J0Y24YNN0YC1" hidden="1">#REF!</definedName>
    <definedName name="BExCSAOUZOYKHN7HV511TO8VDJ02" localSheetId="8" hidden="1">#REF!</definedName>
    <definedName name="BExCSAOUZOYKHN7HV511TO8VDJ02" localSheetId="19" hidden="1">#REF!</definedName>
    <definedName name="BExCSAOUZOYKHN7HV511TO8VDJ02" hidden="1">#REF!</definedName>
    <definedName name="BExCSJ2XVKHN6ULCF7JML0TCRKEO" localSheetId="8" hidden="1">#REF!</definedName>
    <definedName name="BExCSJ2XVKHN6ULCF7JML0TCRKEO" localSheetId="19" hidden="1">#REF!</definedName>
    <definedName name="BExCSJ2XVKHN6ULCF7JML0TCRKEO" hidden="1">#REF!</definedName>
    <definedName name="BExCSMOFTXSUEC1T46LR1UPYRCX5" localSheetId="8" hidden="1">#REF!</definedName>
    <definedName name="BExCSMOFTXSUEC1T46LR1UPYRCX5" localSheetId="19" hidden="1">#REF!</definedName>
    <definedName name="BExCSMOFTXSUEC1T46LR1UPYRCX5" hidden="1">#REF!</definedName>
    <definedName name="BExCSSDG3TM6TPKS19E9QYJEELZ6" localSheetId="8" hidden="1">#REF!</definedName>
    <definedName name="BExCSSDG3TM6TPKS19E9QYJEELZ6" localSheetId="19" hidden="1">#REF!</definedName>
    <definedName name="BExCSSDG3TM6TPKS19E9QYJEELZ6" hidden="1">#REF!</definedName>
    <definedName name="BExCSZV7U67UWXL2HKJNM5W1E4OO" localSheetId="8" hidden="1">#REF!</definedName>
    <definedName name="BExCSZV7U67UWXL2HKJNM5W1E4OO" localSheetId="19" hidden="1">#REF!</definedName>
    <definedName name="BExCSZV7U67UWXL2HKJNM5W1E4OO" hidden="1">#REF!</definedName>
    <definedName name="BExCT4NSDT61OCH04Y2QIFIOP75H" localSheetId="8" hidden="1">#REF!</definedName>
    <definedName name="BExCT4NSDT61OCH04Y2QIFIOP75H" localSheetId="19" hidden="1">#REF!</definedName>
    <definedName name="BExCT4NSDT61OCH04Y2QIFIOP75H" hidden="1">#REF!</definedName>
    <definedName name="BExCTHZWIPJVLE56GATEFKPIKLK2" localSheetId="8" hidden="1">#REF!</definedName>
    <definedName name="BExCTHZWIPJVLE56GATEFKPIKLK2" localSheetId="19" hidden="1">#REF!</definedName>
    <definedName name="BExCTHZWIPJVLE56GATEFKPIKLK2" hidden="1">#REF!</definedName>
    <definedName name="BExCTW8G3VCZ55S09HTUGXKB1P2M" localSheetId="8" hidden="1">#REF!</definedName>
    <definedName name="BExCTW8G3VCZ55S09HTUGXKB1P2M" localSheetId="19" hidden="1">#REF!</definedName>
    <definedName name="BExCTW8G3VCZ55S09HTUGXKB1P2M" hidden="1">#REF!</definedName>
    <definedName name="BExCTYS2KX0QANOLT8LGZ9WV3S3T" localSheetId="8" hidden="1">#REF!</definedName>
    <definedName name="BExCTYS2KX0QANOLT8LGZ9WV3S3T" localSheetId="19" hidden="1">#REF!</definedName>
    <definedName name="BExCTYS2KX0QANOLT8LGZ9WV3S3T" hidden="1">#REF!</definedName>
    <definedName name="BExCTZ2V6H9TT6LFGK3SADZ2TIGQ" localSheetId="8" hidden="1">#REF!</definedName>
    <definedName name="BExCTZ2V6H9TT6LFGK3SADZ2TIGQ" localSheetId="19" hidden="1">#REF!</definedName>
    <definedName name="BExCTZ2V6H9TT6LFGK3SADZ2TIGQ" hidden="1">#REF!</definedName>
    <definedName name="BExCTZZ9JNES4EDHW97NP0EGQALX" localSheetId="8" hidden="1">#REF!</definedName>
    <definedName name="BExCTZZ9JNES4EDHW97NP0EGQALX" localSheetId="19" hidden="1">#REF!</definedName>
    <definedName name="BExCTZZ9JNES4EDHW97NP0EGQALX" hidden="1">#REF!</definedName>
    <definedName name="BExCU0A1V6NMZQ9ASYJ8QIVQ5UR2" localSheetId="8" hidden="1">#REF!</definedName>
    <definedName name="BExCU0A1V6NMZQ9ASYJ8QIVQ5UR2" localSheetId="19" hidden="1">#REF!</definedName>
    <definedName name="BExCU0A1V6NMZQ9ASYJ8QIVQ5UR2" hidden="1">#REF!</definedName>
    <definedName name="BExCU2834920JBHSPCRC4UF80OLL" localSheetId="8" hidden="1">#REF!</definedName>
    <definedName name="BExCU2834920JBHSPCRC4UF80OLL" localSheetId="19" hidden="1">#REF!</definedName>
    <definedName name="BExCU2834920JBHSPCRC4UF80OLL" hidden="1">#REF!</definedName>
    <definedName name="BExCU8O54I3P3WRYWY1CRP3S78QY" localSheetId="8" hidden="1">#REF!</definedName>
    <definedName name="BExCU8O54I3P3WRYWY1CRP3S78QY" localSheetId="19" hidden="1">#REF!</definedName>
    <definedName name="BExCU8O54I3P3WRYWY1CRP3S78QY" hidden="1">#REF!</definedName>
    <definedName name="BExCUDRJO23YOKT8GPWOVQ4XEHF5" localSheetId="8" hidden="1">#REF!</definedName>
    <definedName name="BExCUDRJO23YOKT8GPWOVQ4XEHF5" localSheetId="19" hidden="1">#REF!</definedName>
    <definedName name="BExCUDRJO23YOKT8GPWOVQ4XEHF5" hidden="1">#REF!</definedName>
    <definedName name="BExCULEOALM7SEHVMQC4B4N25MRM" localSheetId="8" hidden="1">#REF!</definedName>
    <definedName name="BExCULEOALM7SEHVMQC4B4N25MRM" localSheetId="19" hidden="1">#REF!</definedName>
    <definedName name="BExCULEOALM7SEHVMQC4B4N25MRM" hidden="1">#REF!</definedName>
    <definedName name="BExCUPAXFR16YMWL30ME3F3BSRDZ" localSheetId="8" hidden="1">#REF!</definedName>
    <definedName name="BExCUPAXFR16YMWL30ME3F3BSRDZ" localSheetId="19" hidden="1">#REF!</definedName>
    <definedName name="BExCUPAXFR16YMWL30ME3F3BSRDZ" hidden="1">#REF!</definedName>
    <definedName name="BExCUR94DHCE47PUUWEMT5QZOYR2" localSheetId="8" hidden="1">#REF!</definedName>
    <definedName name="BExCUR94DHCE47PUUWEMT5QZOYR2" localSheetId="19" hidden="1">#REF!</definedName>
    <definedName name="BExCUR94DHCE47PUUWEMT5QZOYR2" hidden="1">#REF!</definedName>
    <definedName name="BExCV5HJSTBNPQZVGYJY9AZ4IJ26" localSheetId="8" hidden="1">#REF!</definedName>
    <definedName name="BExCV5HJSTBNPQZVGYJY9AZ4IJ26" localSheetId="19" hidden="1">#REF!</definedName>
    <definedName name="BExCV5HJSTBNPQZVGYJY9AZ4IJ26" hidden="1">#REF!</definedName>
    <definedName name="BExCV634L7SVHGB0UDDTRRQ2Q72H" localSheetId="8" hidden="1">#REF!</definedName>
    <definedName name="BExCV634L7SVHGB0UDDTRRQ2Q72H" localSheetId="19" hidden="1">#REF!</definedName>
    <definedName name="BExCV634L7SVHGB0UDDTRRQ2Q72H" hidden="1">#REF!</definedName>
    <definedName name="BExCVBXGSXT9FWJRG62PX9S1RK83" localSheetId="8" hidden="1">#REF!</definedName>
    <definedName name="BExCVBXGSXT9FWJRG62PX9S1RK83" localSheetId="19" hidden="1">#REF!</definedName>
    <definedName name="BExCVBXGSXT9FWJRG62PX9S1RK83" hidden="1">#REF!</definedName>
    <definedName name="BExCVHBNLOHNFS0JAV3I1XGPNH9W" localSheetId="8" hidden="1">#REF!</definedName>
    <definedName name="BExCVHBNLOHNFS0JAV3I1XGPNH9W" localSheetId="19" hidden="1">#REF!</definedName>
    <definedName name="BExCVHBNLOHNFS0JAV3I1XGPNH9W" hidden="1">#REF!</definedName>
    <definedName name="BExCVI86R31A2IOZIEBY1FJLVILD" localSheetId="8" hidden="1">#REF!</definedName>
    <definedName name="BExCVI86R31A2IOZIEBY1FJLVILD" localSheetId="19" hidden="1">#REF!</definedName>
    <definedName name="BExCVI86R31A2IOZIEBY1FJLVILD" hidden="1">#REF!</definedName>
    <definedName name="BExCVKGZXE0I9EIXKBZVSGSEY2RR" localSheetId="8" hidden="1">#REF!</definedName>
    <definedName name="BExCVKGZXE0I9EIXKBZVSGSEY2RR" localSheetId="19" hidden="1">#REF!</definedName>
    <definedName name="BExCVKGZXE0I9EIXKBZVSGSEY2RR" hidden="1">#REF!</definedName>
    <definedName name="BExCVNROVORCSNX9HKHKPHY0URS3" localSheetId="8" hidden="1">#REF!</definedName>
    <definedName name="BExCVNROVORCSNX9HKHKPHY0URS3" localSheetId="19" hidden="1">#REF!</definedName>
    <definedName name="BExCVNROVORCSNX9HKHKPHY0URS3" hidden="1">#REF!</definedName>
    <definedName name="BExCVPEZON7VV6NOWII8VZMONPCJ" localSheetId="8" hidden="1">#REF!</definedName>
    <definedName name="BExCVPEZON7VV6NOWII8VZMONPCJ" localSheetId="19" hidden="1">#REF!</definedName>
    <definedName name="BExCVPEZON7VV6NOWII8VZMONPCJ" hidden="1">#REF!</definedName>
    <definedName name="BExCVV44WY5807WGMTGKPW0GT256" localSheetId="8" hidden="1">#REF!</definedName>
    <definedName name="BExCVV44WY5807WGMTGKPW0GT256" localSheetId="19" hidden="1">#REF!</definedName>
    <definedName name="BExCVV44WY5807WGMTGKPW0GT256" hidden="1">#REF!</definedName>
    <definedName name="BExCVZ5PN4V6MRBZ04PZJW3GEF8S" localSheetId="8" hidden="1">#REF!</definedName>
    <definedName name="BExCVZ5PN4V6MRBZ04PZJW3GEF8S" localSheetId="19" hidden="1">#REF!</definedName>
    <definedName name="BExCVZ5PN4V6MRBZ04PZJW3GEF8S" hidden="1">#REF!</definedName>
    <definedName name="BExCW13R0GWJYGXZBNCPAHQN4NR2" localSheetId="8" hidden="1">#REF!</definedName>
    <definedName name="BExCW13R0GWJYGXZBNCPAHQN4NR2" localSheetId="19" hidden="1">#REF!</definedName>
    <definedName name="BExCW13R0GWJYGXZBNCPAHQN4NR2" hidden="1">#REF!</definedName>
    <definedName name="BExCW9Y5HWU4RJTNX74O6L24VGCK" localSheetId="8" hidden="1">#REF!</definedName>
    <definedName name="BExCW9Y5HWU4RJTNX74O6L24VGCK" localSheetId="19" hidden="1">#REF!</definedName>
    <definedName name="BExCW9Y5HWU4RJTNX74O6L24VGCK" hidden="1">#REF!</definedName>
    <definedName name="BExCWHADQJRXWFDGV2KMANWIY1YN" localSheetId="8" hidden="1">#REF!</definedName>
    <definedName name="BExCWHADQJRXWFDGV2KMANWIY1YN" localSheetId="19" hidden="1">#REF!</definedName>
    <definedName name="BExCWHADQJRXWFDGV2KMANWIY1YN" hidden="1">#REF!</definedName>
    <definedName name="BExCWPDPESGZS07QGBLSBWDNVJLZ" localSheetId="8" hidden="1">#REF!</definedName>
    <definedName name="BExCWPDPESGZS07QGBLSBWDNVJLZ" localSheetId="19" hidden="1">#REF!</definedName>
    <definedName name="BExCWPDPESGZS07QGBLSBWDNVJLZ" hidden="1">#REF!</definedName>
    <definedName name="BExCWTVKHIVCRHF8GC39KI58YM5K" localSheetId="8" hidden="1">#REF!</definedName>
    <definedName name="BExCWTVKHIVCRHF8GC39KI58YM5K" localSheetId="19" hidden="1">#REF!</definedName>
    <definedName name="BExCWTVKHIVCRHF8GC39KI58YM5K" hidden="1">#REF!</definedName>
    <definedName name="BExCX2KGRZBRVLZNM8SUSIE6A0RL" localSheetId="8" hidden="1">#REF!</definedName>
    <definedName name="BExCX2KGRZBRVLZNM8SUSIE6A0RL" localSheetId="19" hidden="1">#REF!</definedName>
    <definedName name="BExCX2KGRZBRVLZNM8SUSIE6A0RL" hidden="1">#REF!</definedName>
    <definedName name="BExCX3X451T70LZ1VF95L7W4Y4TM" localSheetId="8" hidden="1">#REF!</definedName>
    <definedName name="BExCX3X451T70LZ1VF95L7W4Y4TM" localSheetId="19" hidden="1">#REF!</definedName>
    <definedName name="BExCX3X451T70LZ1VF95L7W4Y4TM" hidden="1">#REF!</definedName>
    <definedName name="BExCX4NZ2N1OUGXM7EV0U7VULJMM" localSheetId="8" hidden="1">#REF!</definedName>
    <definedName name="BExCX4NZ2N1OUGXM7EV0U7VULJMM" localSheetId="19" hidden="1">#REF!</definedName>
    <definedName name="BExCX4NZ2N1OUGXM7EV0U7VULJMM" hidden="1">#REF!</definedName>
    <definedName name="BExCXILMURGYMAH6N5LF5DV6K3GM" localSheetId="8" hidden="1">#REF!</definedName>
    <definedName name="BExCXILMURGYMAH6N5LF5DV6K3GM" localSheetId="19" hidden="1">#REF!</definedName>
    <definedName name="BExCXILMURGYMAH6N5LF5DV6K3GM" hidden="1">#REF!</definedName>
    <definedName name="BExCXQUFBMXQ1650735H48B1AZT3" localSheetId="8" hidden="1">#REF!</definedName>
    <definedName name="BExCXQUFBMXQ1650735H48B1AZT3" localSheetId="19" hidden="1">#REF!</definedName>
    <definedName name="BExCXQUFBMXQ1650735H48B1AZT3" hidden="1">#REF!</definedName>
    <definedName name="BExCXYSBKJ9SZQD7XS2WUS6SVBJO" localSheetId="8" hidden="1">#REF!</definedName>
    <definedName name="BExCXYSBKJ9SZQD7XS2WUS6SVBJO" localSheetId="19" hidden="1">#REF!</definedName>
    <definedName name="BExCXYSBKJ9SZQD7XS2WUS6SVBJO" hidden="1">#REF!</definedName>
    <definedName name="BExCXZ8DGK5ZE8467LFEHX6JNQHJ" localSheetId="8" hidden="1">#REF!</definedName>
    <definedName name="BExCXZ8DGK5ZE8467LFEHX6JNQHJ" localSheetId="19" hidden="1">#REF!</definedName>
    <definedName name="BExCXZ8DGK5ZE8467LFEHX6JNQHJ" hidden="1">#REF!</definedName>
    <definedName name="BExCY2DQO9VLA77Q7EG3T0XNXX4F" localSheetId="8" hidden="1">#REF!</definedName>
    <definedName name="BExCY2DQO9VLA77Q7EG3T0XNXX4F" localSheetId="19" hidden="1">#REF!</definedName>
    <definedName name="BExCY2DQO9VLA77Q7EG3T0XNXX4F" hidden="1">#REF!</definedName>
    <definedName name="BExCY5Z7X93Z8XUOEASK50W08S36" localSheetId="8" hidden="1">#REF!</definedName>
    <definedName name="BExCY5Z7X93Z8XUOEASK50W08S36" localSheetId="19" hidden="1">#REF!</definedName>
    <definedName name="BExCY5Z7X93Z8XUOEASK50W08S36" hidden="1">#REF!</definedName>
    <definedName name="BExCY6VMJ68MX3C981R5Q0BX5791" localSheetId="8" hidden="1">#REF!</definedName>
    <definedName name="BExCY6VMJ68MX3C981R5Q0BX5791" localSheetId="19" hidden="1">#REF!</definedName>
    <definedName name="BExCY6VMJ68MX3C981R5Q0BX5791" hidden="1">#REF!</definedName>
    <definedName name="BExCYAH2SAZCPW6XCB7V7PMMCAWO" localSheetId="8" hidden="1">#REF!</definedName>
    <definedName name="BExCYAH2SAZCPW6XCB7V7PMMCAWO" localSheetId="19" hidden="1">#REF!</definedName>
    <definedName name="BExCYAH2SAZCPW6XCB7V7PMMCAWO" hidden="1">#REF!</definedName>
    <definedName name="BExCYDGYM1UGUNTB331L2E4L5F34" localSheetId="8" hidden="1">#REF!</definedName>
    <definedName name="BExCYDGYM1UGUNTB331L2E4L5F34" localSheetId="19" hidden="1">#REF!</definedName>
    <definedName name="BExCYDGYM1UGUNTB331L2E4L5F34" hidden="1">#REF!</definedName>
    <definedName name="BExCYN7KCKU1F6EXMNPQPTKNOT6A" localSheetId="8" hidden="1">#REF!</definedName>
    <definedName name="BExCYN7KCKU1F6EXMNPQPTKNOT6A" localSheetId="19" hidden="1">#REF!</definedName>
    <definedName name="BExCYN7KCKU1F6EXMNPQPTKNOT6A" hidden="1">#REF!</definedName>
    <definedName name="BExCYPRC5HJE6N2XQTHCT6NXGP8N" localSheetId="8" hidden="1">#REF!</definedName>
    <definedName name="BExCYPRC5HJE6N2XQTHCT6NXGP8N" localSheetId="19" hidden="1">#REF!</definedName>
    <definedName name="BExCYPRC5HJE6N2XQTHCT6NXGP8N" hidden="1">#REF!</definedName>
    <definedName name="BExCYQCX9ES8ZWW2L35B12WDNT73" localSheetId="8" hidden="1">#REF!</definedName>
    <definedName name="BExCYQCX9ES8ZWW2L35B12WDNT73" localSheetId="19" hidden="1">#REF!</definedName>
    <definedName name="BExCYQCX9ES8ZWW2L35B12WDNT73" hidden="1">#REF!</definedName>
    <definedName name="BExCYSLQY2CYU7DQ3QI07UGGS6OW" localSheetId="8" hidden="1">#REF!</definedName>
    <definedName name="BExCYSLQY2CYU7DQ3QI07UGGS6OW" localSheetId="19" hidden="1">#REF!</definedName>
    <definedName name="BExCYSLQY2CYU7DQ3QI07UGGS6OW" hidden="1">#REF!</definedName>
    <definedName name="BExCYUK0I3UEXZNFDW71G6Z6D8XR" localSheetId="8" hidden="1">#REF!</definedName>
    <definedName name="BExCYUK0I3UEXZNFDW71G6Z6D8XR" localSheetId="19" hidden="1">#REF!</definedName>
    <definedName name="BExCYUK0I3UEXZNFDW71G6Z6D8XR" hidden="1">#REF!</definedName>
    <definedName name="BExCZFZCXMLY5DWESYJ9NGTJYQ8M" localSheetId="8" hidden="1">#REF!</definedName>
    <definedName name="BExCZFZCXMLY5DWESYJ9NGTJYQ8M" localSheetId="19" hidden="1">#REF!</definedName>
    <definedName name="BExCZFZCXMLY5DWESYJ9NGTJYQ8M" hidden="1">#REF!</definedName>
    <definedName name="BExCZJ4P8WS0BDT31WDXI0ROE7D6" localSheetId="8" hidden="1">#REF!</definedName>
    <definedName name="BExCZJ4P8WS0BDT31WDXI0ROE7D6" localSheetId="19" hidden="1">#REF!</definedName>
    <definedName name="BExCZJ4P8WS0BDT31WDXI0ROE7D6" hidden="1">#REF!</definedName>
    <definedName name="BExCZKH6NI0EE02L995IFVBD1J59" localSheetId="8" hidden="1">#REF!</definedName>
    <definedName name="BExCZKH6NI0EE02L995IFVBD1J59" localSheetId="19" hidden="1">#REF!</definedName>
    <definedName name="BExCZKH6NI0EE02L995IFVBD1J59" hidden="1">#REF!</definedName>
    <definedName name="BExCZNRWARGGHWLSC1PEDZFLF3JV" localSheetId="8" hidden="1">#REF!</definedName>
    <definedName name="BExCZNRWARGGHWLSC1PEDZFLF3JV" localSheetId="19" hidden="1">#REF!</definedName>
    <definedName name="BExCZNRWARGGHWLSC1PEDZFLF3JV" hidden="1">#REF!</definedName>
    <definedName name="BExCZP9TBB61HISZ2U5QMQSO2LBE" localSheetId="8" hidden="1">#REF!</definedName>
    <definedName name="BExCZP9TBB61HISZ2U5QMQSO2LBE" localSheetId="19" hidden="1">#REF!</definedName>
    <definedName name="BExCZP9TBB61HISZ2U5QMQSO2LBE" hidden="1">#REF!</definedName>
    <definedName name="BExCZUD9FEOJBKDJ51Z3JON9LKJ8" localSheetId="8" hidden="1">#REF!</definedName>
    <definedName name="BExCZUD9FEOJBKDJ51Z3JON9LKJ8" localSheetId="19" hidden="1">#REF!</definedName>
    <definedName name="BExCZUD9FEOJBKDJ51Z3JON9LKJ8" hidden="1">#REF!</definedName>
    <definedName name="BExD0AUOVQT3UL53T2KUVJNGD0QF" localSheetId="8" hidden="1">#REF!</definedName>
    <definedName name="BExD0AUOVQT3UL53T2KUVJNGD0QF" localSheetId="19" hidden="1">#REF!</definedName>
    <definedName name="BExD0AUOVQT3UL53T2KUVJNGD0QF" hidden="1">#REF!</definedName>
    <definedName name="BExD0HALIN0JR4JTPGDEVAEE5EX5" localSheetId="8" hidden="1">#REF!</definedName>
    <definedName name="BExD0HALIN0JR4JTPGDEVAEE5EX5" localSheetId="19" hidden="1">#REF!</definedName>
    <definedName name="BExD0HALIN0JR4JTPGDEVAEE5EX5" hidden="1">#REF!</definedName>
    <definedName name="BExD0LCCDPG16YLY5WQSZF1XI5DA" localSheetId="8" hidden="1">#REF!</definedName>
    <definedName name="BExD0LCCDPG16YLY5WQSZF1XI5DA" localSheetId="19" hidden="1">#REF!</definedName>
    <definedName name="BExD0LCCDPG16YLY5WQSZF1XI5DA" hidden="1">#REF!</definedName>
    <definedName name="BExD0RMWSB4TRECEHTH6NN4K9DFZ" localSheetId="8" hidden="1">#REF!</definedName>
    <definedName name="BExD0RMWSB4TRECEHTH6NN4K9DFZ" localSheetId="19" hidden="1">#REF!</definedName>
    <definedName name="BExD0RMWSB4TRECEHTH6NN4K9DFZ" hidden="1">#REF!</definedName>
    <definedName name="BExD0U6KG10QGVDI1XSHK0J10A2V" localSheetId="8" hidden="1">#REF!</definedName>
    <definedName name="BExD0U6KG10QGVDI1XSHK0J10A2V" localSheetId="19" hidden="1">#REF!</definedName>
    <definedName name="BExD0U6KG10QGVDI1XSHK0J10A2V" hidden="1">#REF!</definedName>
    <definedName name="BExD0WQ6EQ2G82IAJI3FDQKGZH18" localSheetId="8" hidden="1">#REF!</definedName>
    <definedName name="BExD0WQ6EQ2G82IAJI3FDQKGZH18" localSheetId="19" hidden="1">#REF!</definedName>
    <definedName name="BExD0WQ6EQ2G82IAJI3FDQKGZH18" hidden="1">#REF!</definedName>
    <definedName name="BExD13RUIBGRXDL4QDZ305UKUR12" localSheetId="8" hidden="1">#REF!</definedName>
    <definedName name="BExD13RUIBGRXDL4QDZ305UKUR12" localSheetId="19" hidden="1">#REF!</definedName>
    <definedName name="BExD13RUIBGRXDL4QDZ305UKUR12" hidden="1">#REF!</definedName>
    <definedName name="BExD14DETV5R4OOTMAXD5NAKWRO3" localSheetId="8" hidden="1">#REF!</definedName>
    <definedName name="BExD14DETV5R4OOTMAXD5NAKWRO3" localSheetId="19" hidden="1">#REF!</definedName>
    <definedName name="BExD14DETV5R4OOTMAXD5NAKWRO3" hidden="1">#REF!</definedName>
    <definedName name="BExD1MI40YRCBI7KT4S9YHQJUO06" localSheetId="8" hidden="1">#REF!</definedName>
    <definedName name="BExD1MI40YRCBI7KT4S9YHQJUO06" localSheetId="19" hidden="1">#REF!</definedName>
    <definedName name="BExD1MI40YRCBI7KT4S9YHQJUO06" hidden="1">#REF!</definedName>
    <definedName name="BExD1OAU9OXQAZA4D70HP72CU6GB" localSheetId="8" hidden="1">#REF!</definedName>
    <definedName name="BExD1OAU9OXQAZA4D70HP72CU6GB" localSheetId="19" hidden="1">#REF!</definedName>
    <definedName name="BExD1OAU9OXQAZA4D70HP72CU6GB" hidden="1">#REF!</definedName>
    <definedName name="BExD1T8WPV0G6YOX7WMAIZD8XNBK" localSheetId="8" hidden="1">#REF!</definedName>
    <definedName name="BExD1T8WPV0G6YOX7WMAIZD8XNBK" localSheetId="19" hidden="1">#REF!</definedName>
    <definedName name="BExD1T8WPV0G6YOX7WMAIZD8XNBK" hidden="1">#REF!</definedName>
    <definedName name="BExD1Y1JV61416YA1XRQHKWPZIE7" localSheetId="8" hidden="1">#REF!</definedName>
    <definedName name="BExD1Y1JV61416YA1XRQHKWPZIE7" localSheetId="19" hidden="1">#REF!</definedName>
    <definedName name="BExD1Y1JV61416YA1XRQHKWPZIE7" hidden="1">#REF!</definedName>
    <definedName name="BExD2CFHIRMBKN5KXE5QP4XXEWFS" localSheetId="8" hidden="1">#REF!</definedName>
    <definedName name="BExD2CFHIRMBKN5KXE5QP4XXEWFS" localSheetId="19" hidden="1">#REF!</definedName>
    <definedName name="BExD2CFHIRMBKN5KXE5QP4XXEWFS" hidden="1">#REF!</definedName>
    <definedName name="BExD2DMHH1HWXQ9W0YYMDP8AAX8Q" localSheetId="8" hidden="1">#REF!</definedName>
    <definedName name="BExD2DMHH1HWXQ9W0YYMDP8AAX8Q" localSheetId="19" hidden="1">#REF!</definedName>
    <definedName name="BExD2DMHH1HWXQ9W0YYMDP8AAX8Q" hidden="1">#REF!</definedName>
    <definedName name="BExD2HTPC7IWBAU6OSQ67MQA8BYZ" localSheetId="8" hidden="1">#REF!</definedName>
    <definedName name="BExD2HTPC7IWBAU6OSQ67MQA8BYZ" localSheetId="19" hidden="1">#REF!</definedName>
    <definedName name="BExD2HTPC7IWBAU6OSQ67MQA8BYZ" hidden="1">#REF!</definedName>
    <definedName name="BExD2PWTVQ2CXNG6B7UDL8FIMXBH" localSheetId="8" hidden="1">#REF!</definedName>
    <definedName name="BExD2PWTVQ2CXNG6B7UDL8FIMXBH" localSheetId="19" hidden="1">#REF!</definedName>
    <definedName name="BExD2PWTVQ2CXNG6B7UDL8FIMXBH" hidden="1">#REF!</definedName>
    <definedName name="BExD2X9AQ03EX1AVVX44CXLXRPTI" localSheetId="8" hidden="1">#REF!</definedName>
    <definedName name="BExD2X9AQ03EX1AVVX44CXLXRPTI" localSheetId="19" hidden="1">#REF!</definedName>
    <definedName name="BExD2X9AQ03EX1AVVX44CXLXRPTI" hidden="1">#REF!</definedName>
    <definedName name="BExD2ZNL9MWJOEL2575KJZBDP2A6" localSheetId="8" hidden="1">#REF!</definedName>
    <definedName name="BExD2ZNL9MWJOEL2575KJZBDP2A6" localSheetId="19" hidden="1">#REF!</definedName>
    <definedName name="BExD2ZNL9MWJOEL2575KJZBDP2A6" hidden="1">#REF!</definedName>
    <definedName name="BExD34G79JRMB8BZRVN81P1H9MSB" localSheetId="8" hidden="1">#REF!</definedName>
    <definedName name="BExD34G79JRMB8BZRVN81P1H9MSB" localSheetId="19" hidden="1">#REF!</definedName>
    <definedName name="BExD34G79JRMB8BZRVN81P1H9MSB" hidden="1">#REF!</definedName>
    <definedName name="BExD35CL2NULPPEHAM954ETQIJA2" localSheetId="8" hidden="1">#REF!</definedName>
    <definedName name="BExD35CL2NULPPEHAM954ETQIJA2" localSheetId="19" hidden="1">#REF!</definedName>
    <definedName name="BExD35CL2NULPPEHAM954ETQIJA2" hidden="1">#REF!</definedName>
    <definedName name="BExD363H2VGFIQUCE6LS4AC5J0ZT" localSheetId="8" hidden="1">#REF!</definedName>
    <definedName name="BExD363H2VGFIQUCE6LS4AC5J0ZT" localSheetId="19" hidden="1">#REF!</definedName>
    <definedName name="BExD363H2VGFIQUCE6LS4AC5J0ZT" hidden="1">#REF!</definedName>
    <definedName name="BExD3A588E939V61P1XEW0FI5Q0S" localSheetId="8" hidden="1">#REF!</definedName>
    <definedName name="BExD3A588E939V61P1XEW0FI5Q0S" localSheetId="19" hidden="1">#REF!</definedName>
    <definedName name="BExD3A588E939V61P1XEW0FI5Q0S" hidden="1">#REF!</definedName>
    <definedName name="BExD3CJJDKVR9M18XI3WDZH80WL6" localSheetId="8" hidden="1">#REF!</definedName>
    <definedName name="BExD3CJJDKVR9M18XI3WDZH80WL6" localSheetId="19" hidden="1">#REF!</definedName>
    <definedName name="BExD3CJJDKVR9M18XI3WDZH80WL6" hidden="1">#REF!</definedName>
    <definedName name="BExD3ESD9WYJIB3TRDPJ1CKXRAVL" localSheetId="8" hidden="1">#REF!</definedName>
    <definedName name="BExD3ESD9WYJIB3TRDPJ1CKXRAVL" localSheetId="19" hidden="1">#REF!</definedName>
    <definedName name="BExD3ESD9WYJIB3TRDPJ1CKXRAVL" hidden="1">#REF!</definedName>
    <definedName name="BExD3F368X5S25MWSUNIV57RDB57" localSheetId="8" hidden="1">#REF!</definedName>
    <definedName name="BExD3F368X5S25MWSUNIV57RDB57" localSheetId="19" hidden="1">#REF!</definedName>
    <definedName name="BExD3F368X5S25MWSUNIV57RDB57" hidden="1">#REF!</definedName>
    <definedName name="BExD3I8JTNF4LTMFY6GRVDJ6VLGG" localSheetId="8" hidden="1">#REF!</definedName>
    <definedName name="BExD3I8JTNF4LTMFY6GRVDJ6VLGG" localSheetId="19" hidden="1">#REF!</definedName>
    <definedName name="BExD3I8JTNF4LTMFY6GRVDJ6VLGG" hidden="1">#REF!</definedName>
    <definedName name="BExD3IJ5IT335SOSNV9L85WKAOSI" localSheetId="8" hidden="1">#REF!</definedName>
    <definedName name="BExD3IJ5IT335SOSNV9L85WKAOSI" localSheetId="19" hidden="1">#REF!</definedName>
    <definedName name="BExD3IJ5IT335SOSNV9L85WKAOSI" hidden="1">#REF!</definedName>
    <definedName name="BExD3KBVUY57GMMQTOFEU6S6G1AY" localSheetId="8" hidden="1">#REF!</definedName>
    <definedName name="BExD3KBVUY57GMMQTOFEU6S6G1AY" localSheetId="19" hidden="1">#REF!</definedName>
    <definedName name="BExD3KBVUY57GMMQTOFEU6S6G1AY" hidden="1">#REF!</definedName>
    <definedName name="BExD3NMR7AW2Z6V8SC79VQR37NA6" localSheetId="8" hidden="1">#REF!</definedName>
    <definedName name="BExD3NMR7AW2Z6V8SC79VQR37NA6" localSheetId="19" hidden="1">#REF!</definedName>
    <definedName name="BExD3NMR7AW2Z6V8SC79VQR37NA6" hidden="1">#REF!</definedName>
    <definedName name="BExD3QXA2UQ2W4N7NYLUEOG40BZB" localSheetId="8" hidden="1">#REF!</definedName>
    <definedName name="BExD3QXA2UQ2W4N7NYLUEOG40BZB" localSheetId="19" hidden="1">#REF!</definedName>
    <definedName name="BExD3QXA2UQ2W4N7NYLUEOG40BZB" hidden="1">#REF!</definedName>
    <definedName name="BExD3U2N041TEJ7GCN005UTPHNXY" localSheetId="8" hidden="1">#REF!</definedName>
    <definedName name="BExD3U2N041TEJ7GCN005UTPHNXY" localSheetId="19" hidden="1">#REF!</definedName>
    <definedName name="BExD3U2N041TEJ7GCN005UTPHNXY" hidden="1">#REF!</definedName>
    <definedName name="BExD3VPY5VEI1LLQ4I16T16251DT" localSheetId="8" hidden="1">#REF!</definedName>
    <definedName name="BExD3VPY5VEI1LLQ4I16T16251DT" localSheetId="19" hidden="1">#REF!</definedName>
    <definedName name="BExD3VPY5VEI1LLQ4I16T16251DT" hidden="1">#REF!</definedName>
    <definedName name="BExD3XIUEZZ1KIHV7CPS7DKUGIN8" localSheetId="8" hidden="1">#REF!</definedName>
    <definedName name="BExD3XIUEZZ1KIHV7CPS7DKUGIN8" localSheetId="19" hidden="1">#REF!</definedName>
    <definedName name="BExD3XIUEZZ1KIHV7CPS7DKUGIN8" hidden="1">#REF!</definedName>
    <definedName name="BExD40O0CFTNJFOFMMM1KH0P7BUI" localSheetId="8" hidden="1">#REF!</definedName>
    <definedName name="BExD40O0CFTNJFOFMMM1KH0P7BUI" localSheetId="19" hidden="1">#REF!</definedName>
    <definedName name="BExD40O0CFTNJFOFMMM1KH0P7BUI" hidden="1">#REF!</definedName>
    <definedName name="BExD47UYINTJY1PDIW2S1FZ8ZMIO" localSheetId="8" hidden="1">#REF!</definedName>
    <definedName name="BExD47UYINTJY1PDIW2S1FZ8ZMIO" localSheetId="19" hidden="1">#REF!</definedName>
    <definedName name="BExD47UYINTJY1PDIW2S1FZ8ZMIO" hidden="1">#REF!</definedName>
    <definedName name="BExD4BR9HJ3MWWZ5KLVZWX9FJAUS" localSheetId="8" hidden="1">#REF!</definedName>
    <definedName name="BExD4BR9HJ3MWWZ5KLVZWX9FJAUS" localSheetId="19" hidden="1">#REF!</definedName>
    <definedName name="BExD4BR9HJ3MWWZ5KLVZWX9FJAUS" hidden="1">#REF!</definedName>
    <definedName name="BExD4F1WTKT3H0N9MF4H1LX7MBSY" localSheetId="8" hidden="1">#REF!</definedName>
    <definedName name="BExD4F1WTKT3H0N9MF4H1LX7MBSY" localSheetId="19" hidden="1">#REF!</definedName>
    <definedName name="BExD4F1WTKT3H0N9MF4H1LX7MBSY" hidden="1">#REF!</definedName>
    <definedName name="BExD4H5GQWXBS6LUL3TSP36DVO38" localSheetId="8" hidden="1">#REF!</definedName>
    <definedName name="BExD4H5GQWXBS6LUL3TSP36DVO38" localSheetId="19" hidden="1">#REF!</definedName>
    <definedName name="BExD4H5GQWXBS6LUL3TSP36DVO38" hidden="1">#REF!</definedName>
    <definedName name="BExD4JJSS3QDBLABCJCHD45SRNPI" localSheetId="8" hidden="1">#REF!</definedName>
    <definedName name="BExD4JJSS3QDBLABCJCHD45SRNPI" localSheetId="19" hidden="1">#REF!</definedName>
    <definedName name="BExD4JJSS3QDBLABCJCHD45SRNPI" hidden="1">#REF!</definedName>
    <definedName name="BExD4QQQ7V9LH5WWBJA3HKJXLVP6" localSheetId="8" hidden="1">#REF!</definedName>
    <definedName name="BExD4QQQ7V9LH5WWBJA3HKJXLVP6" localSheetId="19" hidden="1">#REF!</definedName>
    <definedName name="BExD4QQQ7V9LH5WWBJA3HKJXLVP6" hidden="1">#REF!</definedName>
    <definedName name="BExD4R1I0MKF033I5LPUYIMTZ6E8" localSheetId="8" hidden="1">#REF!</definedName>
    <definedName name="BExD4R1I0MKF033I5LPUYIMTZ6E8" localSheetId="19" hidden="1">#REF!</definedName>
    <definedName name="BExD4R1I0MKF033I5LPUYIMTZ6E8" hidden="1">#REF!</definedName>
    <definedName name="BExD50MT3M6XZLNUP9JL93EG6D9R" localSheetId="8" hidden="1">#REF!</definedName>
    <definedName name="BExD50MT3M6XZLNUP9JL93EG6D9R" localSheetId="19" hidden="1">#REF!</definedName>
    <definedName name="BExD50MT3M6XZLNUP9JL93EG6D9R" hidden="1">#REF!</definedName>
    <definedName name="BExD5EV7KDSVF1CJT38M4IBPFLPY" localSheetId="8" hidden="1">#REF!</definedName>
    <definedName name="BExD5EV7KDSVF1CJT38M4IBPFLPY" localSheetId="19" hidden="1">#REF!</definedName>
    <definedName name="BExD5EV7KDSVF1CJT38M4IBPFLPY" hidden="1">#REF!</definedName>
    <definedName name="BExD5FRK547OESJRYAW574DZEZ7J" localSheetId="8" hidden="1">#REF!</definedName>
    <definedName name="BExD5FRK547OESJRYAW574DZEZ7J" localSheetId="19" hidden="1">#REF!</definedName>
    <definedName name="BExD5FRK547OESJRYAW574DZEZ7J" hidden="1">#REF!</definedName>
    <definedName name="BExD5I5X2YA2YNCTCDSMEL4CWF4N" localSheetId="8" hidden="1">#REF!</definedName>
    <definedName name="BExD5I5X2YA2YNCTCDSMEL4CWF4N" localSheetId="19" hidden="1">#REF!</definedName>
    <definedName name="BExD5I5X2YA2YNCTCDSMEL4CWF4N" hidden="1">#REF!</definedName>
    <definedName name="BExD5QUSRFJWRQ1ZM50WYLCF74DF" localSheetId="8" hidden="1">#REF!</definedName>
    <definedName name="BExD5QUSRFJWRQ1ZM50WYLCF74DF" localSheetId="19" hidden="1">#REF!</definedName>
    <definedName name="BExD5QUSRFJWRQ1ZM50WYLCF74DF" hidden="1">#REF!</definedName>
    <definedName name="BExD5SSUIF6AJQHBHK8PNMFBPRYB" localSheetId="8" hidden="1">#REF!</definedName>
    <definedName name="BExD5SSUIF6AJQHBHK8PNMFBPRYB" localSheetId="19" hidden="1">#REF!</definedName>
    <definedName name="BExD5SSUIF6AJQHBHK8PNMFBPRYB" hidden="1">#REF!</definedName>
    <definedName name="BExD623C9LRX18BE0W2V6SZLQUXX" localSheetId="8" hidden="1">#REF!</definedName>
    <definedName name="BExD623C9LRX18BE0W2V6SZLQUXX" localSheetId="19" hidden="1">#REF!</definedName>
    <definedName name="BExD623C9LRX18BE0W2V6SZLQUXX" hidden="1">#REF!</definedName>
    <definedName name="BExD6CQA7UMJBXV7AIFAIHUF2ICX" localSheetId="8" hidden="1">#REF!</definedName>
    <definedName name="BExD6CQA7UMJBXV7AIFAIHUF2ICX" localSheetId="19" hidden="1">#REF!</definedName>
    <definedName name="BExD6CQA7UMJBXV7AIFAIHUF2ICX" hidden="1">#REF!</definedName>
    <definedName name="BExD6D18MCF5R8YJMPG21WE3GPJQ" localSheetId="8" hidden="1">#REF!</definedName>
    <definedName name="BExD6D18MCF5R8YJMPG21WE3GPJQ" localSheetId="19" hidden="1">#REF!</definedName>
    <definedName name="BExD6D18MCF5R8YJMPG21WE3GPJQ" hidden="1">#REF!</definedName>
    <definedName name="BExD6FKVK8WJWNYPVENR7Q8Q30PK" localSheetId="8" hidden="1">#REF!</definedName>
    <definedName name="BExD6FKVK8WJWNYPVENR7Q8Q30PK" localSheetId="19" hidden="1">#REF!</definedName>
    <definedName name="BExD6FKVK8WJWNYPVENR7Q8Q30PK" hidden="1">#REF!</definedName>
    <definedName name="BExD6GMP0LK8WKVWMIT1NNH8CHLF" localSheetId="8" hidden="1">#REF!</definedName>
    <definedName name="BExD6GMP0LK8WKVWMIT1NNH8CHLF" localSheetId="19" hidden="1">#REF!</definedName>
    <definedName name="BExD6GMP0LK8WKVWMIT1NNH8CHLF" hidden="1">#REF!</definedName>
    <definedName name="BExD6H2TE0WWAUIWVSSCLPZ6B88N" localSheetId="8" hidden="1">#REF!</definedName>
    <definedName name="BExD6H2TE0WWAUIWVSSCLPZ6B88N" localSheetId="19" hidden="1">#REF!</definedName>
    <definedName name="BExD6H2TE0WWAUIWVSSCLPZ6B88N" hidden="1">#REF!</definedName>
    <definedName name="BExD71LTOE015TV5RSAHM8NT8GVW" localSheetId="8" hidden="1">#REF!</definedName>
    <definedName name="BExD71LTOE015TV5RSAHM8NT8GVW" localSheetId="19" hidden="1">#REF!</definedName>
    <definedName name="BExD71LTOE015TV5RSAHM8NT8GVW" hidden="1">#REF!</definedName>
    <definedName name="BExD73USXVADC7EHGHVTQNCT06ZA" localSheetId="8" hidden="1">#REF!</definedName>
    <definedName name="BExD73USXVADC7EHGHVTQNCT06ZA" localSheetId="19" hidden="1">#REF!</definedName>
    <definedName name="BExD73USXVADC7EHGHVTQNCT06ZA" hidden="1">#REF!</definedName>
    <definedName name="BExD7GAIGULTB3YHM1OS9RBQOTEC" localSheetId="8" hidden="1">#REF!</definedName>
    <definedName name="BExD7GAIGULTB3YHM1OS9RBQOTEC" localSheetId="19" hidden="1">#REF!</definedName>
    <definedName name="BExD7GAIGULTB3YHM1OS9RBQOTEC" hidden="1">#REF!</definedName>
    <definedName name="BExD7IE1DHIS52UFDCTSKPJQNRD5" localSheetId="8" hidden="1">#REF!</definedName>
    <definedName name="BExD7IE1DHIS52UFDCTSKPJQNRD5" localSheetId="19" hidden="1">#REF!</definedName>
    <definedName name="BExD7IE1DHIS52UFDCTSKPJQNRD5" hidden="1">#REF!</definedName>
    <definedName name="BExD7IUBGUWHYC9UNZ1IY5XFYKQN" localSheetId="8" hidden="1">#REF!</definedName>
    <definedName name="BExD7IUBGUWHYC9UNZ1IY5XFYKQN" localSheetId="19" hidden="1">#REF!</definedName>
    <definedName name="BExD7IUBGUWHYC9UNZ1IY5XFYKQN" hidden="1">#REF!</definedName>
    <definedName name="BExD7JQOJ35HGL8U2OCEI2P2JT7I" localSheetId="8" hidden="1">#REF!</definedName>
    <definedName name="BExD7JQOJ35HGL8U2OCEI2P2JT7I" localSheetId="19" hidden="1">#REF!</definedName>
    <definedName name="BExD7JQOJ35HGL8U2OCEI2P2JT7I" hidden="1">#REF!</definedName>
    <definedName name="BExD7KSDKNDNH95NDT3S7GM3MUU2" localSheetId="8" hidden="1">#REF!</definedName>
    <definedName name="BExD7KSDKNDNH95NDT3S7GM3MUU2" localSheetId="19" hidden="1">#REF!</definedName>
    <definedName name="BExD7KSDKNDNH95NDT3S7GM3MUU2" hidden="1">#REF!</definedName>
    <definedName name="BExD8H5O087KQVWIVPUUID5VMGMS" localSheetId="8" hidden="1">#REF!</definedName>
    <definedName name="BExD8H5O087KQVWIVPUUID5VMGMS" localSheetId="19" hidden="1">#REF!</definedName>
    <definedName name="BExD8H5O087KQVWIVPUUID5VMGMS" hidden="1">#REF!</definedName>
    <definedName name="BExD8HLWJHFK6566YQLGOAPIWD7G" localSheetId="8" hidden="1">#REF!</definedName>
    <definedName name="BExD8HLWJHFK6566YQLGOAPIWD7G" localSheetId="19" hidden="1">#REF!</definedName>
    <definedName name="BExD8HLWJHFK6566YQLGOAPIWD7G" hidden="1">#REF!</definedName>
    <definedName name="BExD8OCLZMFN5K3VZYI4Q4ITVKUA" localSheetId="8" hidden="1">#REF!</definedName>
    <definedName name="BExD8OCLZMFN5K3VZYI4Q4ITVKUA" localSheetId="19" hidden="1">#REF!</definedName>
    <definedName name="BExD8OCLZMFN5K3VZYI4Q4ITVKUA" hidden="1">#REF!</definedName>
    <definedName name="BExD93C1R6LC0631ECHVFYH0R0PD" localSheetId="8" hidden="1">#REF!</definedName>
    <definedName name="BExD93C1R6LC0631ECHVFYH0R0PD" localSheetId="19" hidden="1">#REF!</definedName>
    <definedName name="BExD93C1R6LC0631ECHVFYH0R0PD" hidden="1">#REF!</definedName>
    <definedName name="BExD97TXIO0COVNN4OH3DEJ33YLM" localSheetId="8" hidden="1">#REF!</definedName>
    <definedName name="BExD97TXIO0COVNN4OH3DEJ33YLM" localSheetId="19" hidden="1">#REF!</definedName>
    <definedName name="BExD97TXIO0COVNN4OH3DEJ33YLM" hidden="1">#REF!</definedName>
    <definedName name="BExD99RZ1RFIMK6O1ZHSPJ68X9Y5" localSheetId="8" hidden="1">#REF!</definedName>
    <definedName name="BExD99RZ1RFIMK6O1ZHSPJ68X9Y5" localSheetId="19" hidden="1">#REF!</definedName>
    <definedName name="BExD99RZ1RFIMK6O1ZHSPJ68X9Y5" hidden="1">#REF!</definedName>
    <definedName name="BExD9ATSNNU6SJVYYUCUG2AFS57W" localSheetId="8" hidden="1">#REF!</definedName>
    <definedName name="BExD9ATSNNU6SJVYYUCUG2AFS57W" localSheetId="19" hidden="1">#REF!</definedName>
    <definedName name="BExD9ATSNNU6SJVYYUCUG2AFS57W" hidden="1">#REF!</definedName>
    <definedName name="BExD9JO1QOKHUKL6DOEKDLUBPPKZ" localSheetId="8" hidden="1">#REF!</definedName>
    <definedName name="BExD9JO1QOKHUKL6DOEKDLUBPPKZ" localSheetId="19" hidden="1">#REF!</definedName>
    <definedName name="BExD9JO1QOKHUKL6DOEKDLUBPPKZ" hidden="1">#REF!</definedName>
    <definedName name="BExD9L0ID3VSOU609GKWYTA5BFMA" localSheetId="8" hidden="1">#REF!</definedName>
    <definedName name="BExD9L0ID3VSOU609GKWYTA5BFMA" localSheetId="19" hidden="1">#REF!</definedName>
    <definedName name="BExD9L0ID3VSOU609GKWYTA5BFMA" hidden="1">#REF!</definedName>
    <definedName name="BExD9M7SEMG0JK2FUTTZXWIEBTKB" localSheetId="8" hidden="1">#REF!</definedName>
    <definedName name="BExD9M7SEMG0JK2FUTTZXWIEBTKB" localSheetId="19" hidden="1">#REF!</definedName>
    <definedName name="BExD9M7SEMG0JK2FUTTZXWIEBTKB" hidden="1">#REF!</definedName>
    <definedName name="BExD9MNYBYB1AICQL5165G472IE2" localSheetId="8" hidden="1">#REF!</definedName>
    <definedName name="BExD9MNYBYB1AICQL5165G472IE2" localSheetId="19" hidden="1">#REF!</definedName>
    <definedName name="BExD9MNYBYB1AICQL5165G472IE2" hidden="1">#REF!</definedName>
    <definedName name="BExD9PNSYT7GASEGUVL48MUQ02WO" localSheetId="8" hidden="1">#REF!</definedName>
    <definedName name="BExD9PNSYT7GASEGUVL48MUQ02WO" localSheetId="19" hidden="1">#REF!</definedName>
    <definedName name="BExD9PNSYT7GASEGUVL48MUQ02WO" hidden="1">#REF!</definedName>
    <definedName name="BExD9TK2MIWFH5SKUYU9ZKF4NPHQ" localSheetId="8" hidden="1">#REF!</definedName>
    <definedName name="BExD9TK2MIWFH5SKUYU9ZKF4NPHQ" localSheetId="19" hidden="1">#REF!</definedName>
    <definedName name="BExD9TK2MIWFH5SKUYU9ZKF4NPHQ" hidden="1">#REF!</definedName>
    <definedName name="BExDA23J1UL1EN1K0BLX2TKAX4U0" localSheetId="8" hidden="1">#REF!</definedName>
    <definedName name="BExDA23J1UL1EN1K0BLX2TKAX4U0" localSheetId="19" hidden="1">#REF!</definedName>
    <definedName name="BExDA23J1UL1EN1K0BLX2TKAX4U0" hidden="1">#REF!</definedName>
    <definedName name="BExDA6594R2INH5X2F55YRZSKRND" localSheetId="8" hidden="1">#REF!</definedName>
    <definedName name="BExDA6594R2INH5X2F55YRZSKRND" localSheetId="19" hidden="1">#REF!</definedName>
    <definedName name="BExDA6594R2INH5X2F55YRZSKRND" hidden="1">#REF!</definedName>
    <definedName name="BExDA6LD9061UULVKUUI4QP8SK13" localSheetId="8" hidden="1">#REF!</definedName>
    <definedName name="BExDA6LD9061UULVKUUI4QP8SK13" localSheetId="19" hidden="1">#REF!</definedName>
    <definedName name="BExDA6LD9061UULVKUUI4QP8SK13" hidden="1">#REF!</definedName>
    <definedName name="BExDAGMVMNLQ6QXASB9R6D8DIT12" localSheetId="8" hidden="1">#REF!</definedName>
    <definedName name="BExDAGMVMNLQ6QXASB9R6D8DIT12" localSheetId="19" hidden="1">#REF!</definedName>
    <definedName name="BExDAGMVMNLQ6QXASB9R6D8DIT12" hidden="1">#REF!</definedName>
    <definedName name="BExDAYBHU9ADLXI8VRC7F608RVGM" localSheetId="8" hidden="1">#REF!</definedName>
    <definedName name="BExDAYBHU9ADLXI8VRC7F608RVGM" localSheetId="19" hidden="1">#REF!</definedName>
    <definedName name="BExDAYBHU9ADLXI8VRC7F608RVGM" hidden="1">#REF!</definedName>
    <definedName name="BExDBDR1XR0FV0CYUCB2OJ7CJCZU" localSheetId="8" hidden="1">#REF!</definedName>
    <definedName name="BExDBDR1XR0FV0CYUCB2OJ7CJCZU" localSheetId="19" hidden="1">#REF!</definedName>
    <definedName name="BExDBDR1XR0FV0CYUCB2OJ7CJCZU" hidden="1">#REF!</definedName>
    <definedName name="BExDC7F818VN0S18ID7XRCRVYPJ4" localSheetId="8" hidden="1">#REF!</definedName>
    <definedName name="BExDC7F818VN0S18ID7XRCRVYPJ4" localSheetId="19" hidden="1">#REF!</definedName>
    <definedName name="BExDC7F818VN0S18ID7XRCRVYPJ4" hidden="1">#REF!</definedName>
    <definedName name="BExDCL7K96PC9VZYB70ZW3QPVIJE" localSheetId="8" hidden="1">#REF!</definedName>
    <definedName name="BExDCL7K96PC9VZYB70ZW3QPVIJE" localSheetId="19" hidden="1">#REF!</definedName>
    <definedName name="BExDCL7K96PC9VZYB70ZW3QPVIJE" hidden="1">#REF!</definedName>
    <definedName name="BExDCP3UZ3C2O4C1F7KMU0Z9U32N" localSheetId="8" hidden="1">#REF!</definedName>
    <definedName name="BExDCP3UZ3C2O4C1F7KMU0Z9U32N" localSheetId="19" hidden="1">#REF!</definedName>
    <definedName name="BExDCP3UZ3C2O4C1F7KMU0Z9U32N" hidden="1">#REF!</definedName>
    <definedName name="BExENU8ISP26W97JG63CN1XT9KB4" localSheetId="8" hidden="1">#REF!</definedName>
    <definedName name="BExENU8ISP26W97JG63CN1XT9KB4" localSheetId="19" hidden="1">#REF!</definedName>
    <definedName name="BExENU8ISP26W97JG63CN1XT9KB4" hidden="1">#REF!</definedName>
    <definedName name="BExEO14OTKLVDBTNB2ONGZ4YB20H" localSheetId="8" hidden="1">#REF!</definedName>
    <definedName name="BExEO14OTKLVDBTNB2ONGZ4YB20H" localSheetId="19" hidden="1">#REF!</definedName>
    <definedName name="BExEO14OTKLVDBTNB2ONGZ4YB20H" hidden="1">#REF!</definedName>
    <definedName name="BExEO80UUNTK4DX33Z5TYLM8NYZM" localSheetId="8" hidden="1">#REF!</definedName>
    <definedName name="BExEO80UUNTK4DX33Z5TYLM8NYZM" localSheetId="19" hidden="1">#REF!</definedName>
    <definedName name="BExEO80UUNTK4DX33Z5TYLM8NYZM" hidden="1">#REF!</definedName>
    <definedName name="BExEOBX3WECDMYCV9RLN49APTXMM" localSheetId="8" hidden="1">#REF!</definedName>
    <definedName name="BExEOBX3WECDMYCV9RLN49APTXMM" localSheetId="19" hidden="1">#REF!</definedName>
    <definedName name="BExEOBX3WECDMYCV9RLN49APTXMM" hidden="1">#REF!</definedName>
    <definedName name="BExEPN9VIYI0FVL0HLZQXJFO6TT0" localSheetId="8" hidden="1">#REF!</definedName>
    <definedName name="BExEPN9VIYI0FVL0HLZQXJFO6TT0" localSheetId="19" hidden="1">#REF!</definedName>
    <definedName name="BExEPN9VIYI0FVL0HLZQXJFO6TT0" hidden="1">#REF!</definedName>
    <definedName name="BExEPQPUOD4B6H60DKEB9159F7DR" localSheetId="8" hidden="1">#REF!</definedName>
    <definedName name="BExEPQPUOD4B6H60DKEB9159F7DR" localSheetId="19" hidden="1">#REF!</definedName>
    <definedName name="BExEPQPUOD4B6H60DKEB9159F7DR" hidden="1">#REF!</definedName>
    <definedName name="BExEPYT6VDSMR8MU2341Q5GM2Y9V" localSheetId="8" hidden="1">#REF!</definedName>
    <definedName name="BExEPYT6VDSMR8MU2341Q5GM2Y9V" localSheetId="19" hidden="1">#REF!</definedName>
    <definedName name="BExEPYT6VDSMR8MU2341Q5GM2Y9V" hidden="1">#REF!</definedName>
    <definedName name="BExEQ2ENYLMY8K1796XBB31CJHNN" localSheetId="8" hidden="1">#REF!</definedName>
    <definedName name="BExEQ2ENYLMY8K1796XBB31CJHNN" localSheetId="19" hidden="1">#REF!</definedName>
    <definedName name="BExEQ2ENYLMY8K1796XBB31CJHNN" hidden="1">#REF!</definedName>
    <definedName name="BExEQ2PFE4N40LEPGDPS90WDL6BN" localSheetId="8" hidden="1">#REF!</definedName>
    <definedName name="BExEQ2PFE4N40LEPGDPS90WDL6BN" localSheetId="19" hidden="1">#REF!</definedName>
    <definedName name="BExEQ2PFE4N40LEPGDPS90WDL6BN" hidden="1">#REF!</definedName>
    <definedName name="BExEQ2PFURT24NQYGYVE8NKX1EGA" localSheetId="8" hidden="1">#REF!</definedName>
    <definedName name="BExEQ2PFURT24NQYGYVE8NKX1EGA" localSheetId="19" hidden="1">#REF!</definedName>
    <definedName name="BExEQ2PFURT24NQYGYVE8NKX1EGA" hidden="1">#REF!</definedName>
    <definedName name="BExEQB8ZWXO6IIGOEPWTLOJGE2NR" localSheetId="8" hidden="1">#REF!</definedName>
    <definedName name="BExEQB8ZWXO6IIGOEPWTLOJGE2NR" localSheetId="19" hidden="1">#REF!</definedName>
    <definedName name="BExEQB8ZWXO6IIGOEPWTLOJGE2NR" hidden="1">#REF!</definedName>
    <definedName name="BExEQBZX0EL6LIKPY01197ACK65H" localSheetId="8" hidden="1">#REF!</definedName>
    <definedName name="BExEQBZX0EL6LIKPY01197ACK65H" localSheetId="19" hidden="1">#REF!</definedName>
    <definedName name="BExEQBZX0EL6LIKPY01197ACK65H" hidden="1">#REF!</definedName>
    <definedName name="BExEQDXZALJLD4OBF74IKZBR13SR" localSheetId="8" hidden="1">#REF!</definedName>
    <definedName name="BExEQDXZALJLD4OBF74IKZBR13SR" localSheetId="19" hidden="1">#REF!</definedName>
    <definedName name="BExEQDXZALJLD4OBF74IKZBR13SR" hidden="1">#REF!</definedName>
    <definedName name="BExEQFLE2RPWGMWQAI4JMKUEFRPT" localSheetId="8" hidden="1">#REF!</definedName>
    <definedName name="BExEQFLE2RPWGMWQAI4JMKUEFRPT" localSheetId="19" hidden="1">#REF!</definedName>
    <definedName name="BExEQFLE2RPWGMWQAI4JMKUEFRPT" hidden="1">#REF!</definedName>
    <definedName name="BExEQJHNJV9U65F5VGIGX0VM02VF" localSheetId="8" hidden="1">#REF!</definedName>
    <definedName name="BExEQJHNJV9U65F5VGIGX0VM02VF" localSheetId="19" hidden="1">#REF!</definedName>
    <definedName name="BExEQJHNJV9U65F5VGIGX0VM02VF" hidden="1">#REF!</definedName>
    <definedName name="BExEQTZAP8R69U31W4LKGTKKGKQE" localSheetId="8" hidden="1">#REF!</definedName>
    <definedName name="BExEQTZAP8R69U31W4LKGTKKGKQE" localSheetId="19" hidden="1">#REF!</definedName>
    <definedName name="BExEQTZAP8R69U31W4LKGTKKGKQE" hidden="1">#REF!</definedName>
    <definedName name="BExER2O72H1F9WV6S1J04C15PXX7" localSheetId="8" hidden="1">#REF!</definedName>
    <definedName name="BExER2O72H1F9WV6S1J04C15PXX7" localSheetId="19" hidden="1">#REF!</definedName>
    <definedName name="BExER2O72H1F9WV6S1J04C15PXX7" hidden="1">#REF!</definedName>
    <definedName name="BExERIPCI7N2NW7JRL59DVT0TTSU" localSheetId="8" hidden="1">#REF!</definedName>
    <definedName name="BExERIPCI7N2NW7JRL59DVT0TTSU" localSheetId="19" hidden="1">#REF!</definedName>
    <definedName name="BExERIPCI7N2NW7JRL59DVT0TTSU" hidden="1">#REF!</definedName>
    <definedName name="BExERRUIKIOATPZ9U4HQ0V52RJAU" localSheetId="8" hidden="1">#REF!</definedName>
    <definedName name="BExERRUIKIOATPZ9U4HQ0V52RJAU" localSheetId="19" hidden="1">#REF!</definedName>
    <definedName name="BExERRUIKIOATPZ9U4HQ0V52RJAU" hidden="1">#REF!</definedName>
    <definedName name="BExERSANFNM1O7T65PC5MJ301YET" localSheetId="8" hidden="1">#REF!</definedName>
    <definedName name="BExERSANFNM1O7T65PC5MJ301YET" localSheetId="19" hidden="1">#REF!</definedName>
    <definedName name="BExERSANFNM1O7T65PC5MJ301YET" hidden="1">#REF!</definedName>
    <definedName name="BExERU8P606C6QQZZL55U0ZQYQF1" localSheetId="8" hidden="1">#REF!</definedName>
    <definedName name="BExERU8P606C6QQZZL55U0ZQYQF1" localSheetId="19" hidden="1">#REF!</definedName>
    <definedName name="BExERU8P606C6QQZZL55U0ZQYQF1" hidden="1">#REF!</definedName>
    <definedName name="BExERWCEBKQRYWRQLYJ4UCMMKTHG" localSheetId="8" hidden="1">#REF!</definedName>
    <definedName name="BExERWCEBKQRYWRQLYJ4UCMMKTHG" localSheetId="19" hidden="1">#REF!</definedName>
    <definedName name="BExERWCEBKQRYWRQLYJ4UCMMKTHG" hidden="1">#REF!</definedName>
    <definedName name="BExERXE1QW042A2T25RI4DVUU59O" localSheetId="8" hidden="1">#REF!</definedName>
    <definedName name="BExERXE1QW042A2T25RI4DVUU59O" localSheetId="19" hidden="1">#REF!</definedName>
    <definedName name="BExERXE1QW042A2T25RI4DVUU59O" hidden="1">#REF!</definedName>
    <definedName name="BExES44RHHDL3V7FLV6M20834WF1" localSheetId="8" hidden="1">#REF!</definedName>
    <definedName name="BExES44RHHDL3V7FLV6M20834WF1" localSheetId="19" hidden="1">#REF!</definedName>
    <definedName name="BExES44RHHDL3V7FLV6M20834WF1" hidden="1">#REF!</definedName>
    <definedName name="BExES4A7VE2X3RYYTVRLKZD4I7WU" localSheetId="8" hidden="1">#REF!</definedName>
    <definedName name="BExES4A7VE2X3RYYTVRLKZD4I7WU" localSheetId="19" hidden="1">#REF!</definedName>
    <definedName name="BExES4A7VE2X3RYYTVRLKZD4I7WU" hidden="1">#REF!</definedName>
    <definedName name="BExESLYUFDACMPARVY264HKBCXLX" localSheetId="8" hidden="1">#REF!</definedName>
    <definedName name="BExESLYUFDACMPARVY264HKBCXLX" localSheetId="19" hidden="1">#REF!</definedName>
    <definedName name="BExESLYUFDACMPARVY264HKBCXLX" hidden="1">#REF!</definedName>
    <definedName name="BExESMKD95A649M0WRSG6CXXP326" localSheetId="8" hidden="1">#REF!</definedName>
    <definedName name="BExESMKD95A649M0WRSG6CXXP326" localSheetId="19" hidden="1">#REF!</definedName>
    <definedName name="BExESMKD95A649M0WRSG6CXXP326" hidden="1">#REF!</definedName>
    <definedName name="BExESR27ZXJG5VMY4PR9D940VS7T" localSheetId="8" hidden="1">#REF!</definedName>
    <definedName name="BExESR27ZXJG5VMY4PR9D940VS7T" localSheetId="19" hidden="1">#REF!</definedName>
    <definedName name="BExESR27ZXJG5VMY4PR9D940VS7T" hidden="1">#REF!</definedName>
    <definedName name="BExESVK1YRJM6UG6FBYOF9CNX29X" localSheetId="8" hidden="1">#REF!</definedName>
    <definedName name="BExESVK1YRJM6UG6FBYOF9CNX29X" localSheetId="19" hidden="1">#REF!</definedName>
    <definedName name="BExESVK1YRJM6UG6FBYOF9CNX29X" hidden="1">#REF!</definedName>
    <definedName name="BExESZ03KXL8DQ2591HLR56ZML94" localSheetId="8" hidden="1">#REF!</definedName>
    <definedName name="BExESZ03KXL8DQ2591HLR56ZML94" localSheetId="19" hidden="1">#REF!</definedName>
    <definedName name="BExESZ03KXL8DQ2591HLR56ZML94" hidden="1">#REF!</definedName>
    <definedName name="BExESZAW5N443NRTKIP59OEI1CR6" localSheetId="8" hidden="1">#REF!</definedName>
    <definedName name="BExESZAW5N443NRTKIP59OEI1CR6" localSheetId="19" hidden="1">#REF!</definedName>
    <definedName name="BExESZAW5N443NRTKIP59OEI1CR6" hidden="1">#REF!</definedName>
    <definedName name="BExET3HXQ60A4O2OLKX8QNXRI6LQ" localSheetId="8" hidden="1">#REF!</definedName>
    <definedName name="BExET3HXQ60A4O2OLKX8QNXRI6LQ" localSheetId="19" hidden="1">#REF!</definedName>
    <definedName name="BExET3HXQ60A4O2OLKX8QNXRI6LQ" hidden="1">#REF!</definedName>
    <definedName name="BExET4EAH366GROMVVMDCSUI1018" localSheetId="8" hidden="1">#REF!</definedName>
    <definedName name="BExET4EAH366GROMVVMDCSUI1018" localSheetId="19" hidden="1">#REF!</definedName>
    <definedName name="BExET4EAH366GROMVVMDCSUI1018" hidden="1">#REF!</definedName>
    <definedName name="BExETA3B1FCIOA80H94K90FWXQKE" localSheetId="8" hidden="1">#REF!</definedName>
    <definedName name="BExETA3B1FCIOA80H94K90FWXQKE" localSheetId="19" hidden="1">#REF!</definedName>
    <definedName name="BExETA3B1FCIOA80H94K90FWXQKE" hidden="1">#REF!</definedName>
    <definedName name="BExETAZOYT4CJIT8RRKC9F2HJG1D" localSheetId="8" hidden="1">#REF!</definedName>
    <definedName name="BExETAZOYT4CJIT8RRKC9F2HJG1D" localSheetId="19" hidden="1">#REF!</definedName>
    <definedName name="BExETAZOYT4CJIT8RRKC9F2HJG1D" hidden="1">#REF!</definedName>
    <definedName name="BExETB55BNG40G9YOI2H6UHIR9WU" localSheetId="8" hidden="1">#REF!</definedName>
    <definedName name="BExETB55BNG40G9YOI2H6UHIR9WU" localSheetId="19" hidden="1">#REF!</definedName>
    <definedName name="BExETB55BNG40G9YOI2H6UHIR9WU" hidden="1">#REF!</definedName>
    <definedName name="BExETF6QD5A9GEINE1KZRRC2LXWM" localSheetId="8" hidden="1">#REF!</definedName>
    <definedName name="BExETF6QD5A9GEINE1KZRRC2LXWM" localSheetId="19" hidden="1">#REF!</definedName>
    <definedName name="BExETF6QD5A9GEINE1KZRRC2LXWM" hidden="1">#REF!</definedName>
    <definedName name="BExETQ9XRXLUACN82805SPSPNKHI" localSheetId="8" hidden="1">#REF!</definedName>
    <definedName name="BExETQ9XRXLUACN82805SPSPNKHI" localSheetId="19" hidden="1">#REF!</definedName>
    <definedName name="BExETQ9XRXLUACN82805SPSPNKHI" hidden="1">#REF!</definedName>
    <definedName name="BExETR0YRMOR63E6DHLEHV9QVVON" localSheetId="8" hidden="1">#REF!</definedName>
    <definedName name="BExETR0YRMOR63E6DHLEHV9QVVON" localSheetId="19" hidden="1">#REF!</definedName>
    <definedName name="BExETR0YRMOR63E6DHLEHV9QVVON" hidden="1">#REF!</definedName>
    <definedName name="BExETVO51BGF7GGNGB21UD7OIF15" localSheetId="8" hidden="1">#REF!</definedName>
    <definedName name="BExETVO51BGF7GGNGB21UD7OIF15" localSheetId="19" hidden="1">#REF!</definedName>
    <definedName name="BExETVO51BGF7GGNGB21UD7OIF15" hidden="1">#REF!</definedName>
    <definedName name="BExETVTGY38YXYYF7N73OYN6FYY3" localSheetId="8" hidden="1">#REF!</definedName>
    <definedName name="BExETVTGY38YXYYF7N73OYN6FYY3" localSheetId="19" hidden="1">#REF!</definedName>
    <definedName name="BExETVTGY38YXYYF7N73OYN6FYY3" hidden="1">#REF!</definedName>
    <definedName name="BExETVTH8RADW05P2XUUV7V44TWW" localSheetId="8" hidden="1">#REF!</definedName>
    <definedName name="BExETVTH8RADW05P2XUUV7V44TWW" localSheetId="19" hidden="1">#REF!</definedName>
    <definedName name="BExETVTH8RADW05P2XUUV7V44TWW" hidden="1">#REF!</definedName>
    <definedName name="BExETW9PYUAV5QY6A4VCYZRIOUX4" localSheetId="8" hidden="1">#REF!</definedName>
    <definedName name="BExETW9PYUAV5QY6A4VCYZRIOUX4" localSheetId="19" hidden="1">#REF!</definedName>
    <definedName name="BExETW9PYUAV5QY6A4VCYZRIOUX4" hidden="1">#REF!</definedName>
    <definedName name="BExEUGNELLVZ7K2PYWP2TG8T65XQ" localSheetId="8" hidden="1">#REF!</definedName>
    <definedName name="BExEUGNELLVZ7K2PYWP2TG8T65XQ" localSheetId="19" hidden="1">#REF!</definedName>
    <definedName name="BExEUGNELLVZ7K2PYWP2TG8T65XQ" hidden="1">#REF!</definedName>
    <definedName name="BExEUHUG1NGJGB6F1UH5IKFZ9B9M" localSheetId="8" hidden="1">#REF!</definedName>
    <definedName name="BExEUHUG1NGJGB6F1UH5IKFZ9B9M" localSheetId="19" hidden="1">#REF!</definedName>
    <definedName name="BExEUHUG1NGJGB6F1UH5IKFZ9B9M" hidden="1">#REF!</definedName>
    <definedName name="BExEUNE4T242Y59C6MS28MXEUGCP" localSheetId="8" hidden="1">#REF!</definedName>
    <definedName name="BExEUNE4T242Y59C6MS28MXEUGCP" localSheetId="19" hidden="1">#REF!</definedName>
    <definedName name="BExEUNE4T242Y59C6MS28MXEUGCP" hidden="1">#REF!</definedName>
    <definedName name="BExEUNU7FYVTR4DD1D31SS7PNXX2" localSheetId="8" hidden="1">#REF!</definedName>
    <definedName name="BExEUNU7FYVTR4DD1D31SS7PNXX2" localSheetId="19" hidden="1">#REF!</definedName>
    <definedName name="BExEUNU7FYVTR4DD1D31SS7PNXX2" hidden="1">#REF!</definedName>
    <definedName name="BExEUOAHB0OT3BACAHNZ3B905C0P" localSheetId="8" hidden="1">#REF!</definedName>
    <definedName name="BExEUOAHB0OT3BACAHNZ3B905C0P" localSheetId="19" hidden="1">#REF!</definedName>
    <definedName name="BExEUOAHB0OT3BACAHNZ3B905C0P" hidden="1">#REF!</definedName>
    <definedName name="BExEV2TP7NA3ZR6RJGH5ER370OUM" localSheetId="8" hidden="1">#REF!</definedName>
    <definedName name="BExEV2TP7NA3ZR6RJGH5ER370OUM" localSheetId="19" hidden="1">#REF!</definedName>
    <definedName name="BExEV2TP7NA3ZR6RJGH5ER370OUM" hidden="1">#REF!</definedName>
    <definedName name="BExEV3Q7M5YTX3CY3QCP1SUIEP2E" localSheetId="8" hidden="1">#REF!</definedName>
    <definedName name="BExEV3Q7M5YTX3CY3QCP1SUIEP2E" localSheetId="19" hidden="1">#REF!</definedName>
    <definedName name="BExEV3Q7M5YTX3CY3QCP1SUIEP2E" hidden="1">#REF!</definedName>
    <definedName name="BExEV69USLNYO2QRJRC0J92XUF00" localSheetId="8" hidden="1">#REF!</definedName>
    <definedName name="BExEV69USLNYO2QRJRC0J92XUF00" localSheetId="19" hidden="1">#REF!</definedName>
    <definedName name="BExEV69USLNYO2QRJRC0J92XUF00" hidden="1">#REF!</definedName>
    <definedName name="BExEV6KNTQOCFD7GV726XQEVQ7R6" localSheetId="8" hidden="1">#REF!</definedName>
    <definedName name="BExEV6KNTQOCFD7GV726XQEVQ7R6" localSheetId="19" hidden="1">#REF!</definedName>
    <definedName name="BExEV6KNTQOCFD7GV726XQEVQ7R6" hidden="1">#REF!</definedName>
    <definedName name="BExEV6VGM4POO9QT9KH3QA3VYCWM" localSheetId="8" hidden="1">#REF!</definedName>
    <definedName name="BExEV6VGM4POO9QT9KH3QA3VYCWM" localSheetId="19" hidden="1">#REF!</definedName>
    <definedName name="BExEV6VGM4POO9QT9KH3QA3VYCWM" hidden="1">#REF!</definedName>
    <definedName name="BExEVCEYMOI0PGO7HAEOS9CVMU2O" localSheetId="8" hidden="1">#REF!</definedName>
    <definedName name="BExEVCEYMOI0PGO7HAEOS9CVMU2O" localSheetId="19" hidden="1">#REF!</definedName>
    <definedName name="BExEVCEYMOI0PGO7HAEOS9CVMU2O" hidden="1">#REF!</definedName>
    <definedName name="BExEVET98G3FU6QBF9LHYWSAMV0O" localSheetId="8" hidden="1">#REF!</definedName>
    <definedName name="BExEVET98G3FU6QBF9LHYWSAMV0O" localSheetId="19" hidden="1">#REF!</definedName>
    <definedName name="BExEVET98G3FU6QBF9LHYWSAMV0O" hidden="1">#REF!</definedName>
    <definedName name="BExEVNCUT0PDUYNJH7G6BSEWZOT2" localSheetId="8" hidden="1">#REF!</definedName>
    <definedName name="BExEVNCUT0PDUYNJH7G6BSEWZOT2" localSheetId="19" hidden="1">#REF!</definedName>
    <definedName name="BExEVNCUT0PDUYNJH7G6BSEWZOT2" hidden="1">#REF!</definedName>
    <definedName name="BExEVPGF4V5J0WQRZKUM8F9TTKZJ" localSheetId="8" hidden="1">#REF!</definedName>
    <definedName name="BExEVPGF4V5J0WQRZKUM8F9TTKZJ" localSheetId="19" hidden="1">#REF!</definedName>
    <definedName name="BExEVPGF4V5J0WQRZKUM8F9TTKZJ" hidden="1">#REF!</definedName>
    <definedName name="BExEVVLIEVWYRF2UUC1H0H5QU1CP" localSheetId="8" hidden="1">#REF!</definedName>
    <definedName name="BExEVVLIEVWYRF2UUC1H0H5QU1CP" localSheetId="19" hidden="1">#REF!</definedName>
    <definedName name="BExEVVLIEVWYRF2UUC1H0H5QU1CP" hidden="1">#REF!</definedName>
    <definedName name="BExEVWCKO8T84GW9Z3X47915XKSH" localSheetId="8" hidden="1">#REF!</definedName>
    <definedName name="BExEVWCKO8T84GW9Z3X47915XKSH" localSheetId="19" hidden="1">#REF!</definedName>
    <definedName name="BExEVWCKO8T84GW9Z3X47915XKSH" hidden="1">#REF!</definedName>
    <definedName name="BExEVZSJWMZ5L2ZE7AZC57CXKW6T" localSheetId="8" hidden="1">#REF!</definedName>
    <definedName name="BExEVZSJWMZ5L2ZE7AZC57CXKW6T" localSheetId="19" hidden="1">#REF!</definedName>
    <definedName name="BExEVZSJWMZ5L2ZE7AZC57CXKW6T" hidden="1">#REF!</definedName>
    <definedName name="BExEW0JL1GFFCXMDGW54CI7Y8FZN" localSheetId="8" hidden="1">#REF!</definedName>
    <definedName name="BExEW0JL1GFFCXMDGW54CI7Y8FZN" localSheetId="19" hidden="1">#REF!</definedName>
    <definedName name="BExEW0JL1GFFCXMDGW54CI7Y8FZN" hidden="1">#REF!</definedName>
    <definedName name="BExEW68M9WL8214QH9C7VCK7BN08" localSheetId="8" hidden="1">#REF!</definedName>
    <definedName name="BExEW68M9WL8214QH9C7VCK7BN08" localSheetId="19" hidden="1">#REF!</definedName>
    <definedName name="BExEW68M9WL8214QH9C7VCK7BN08" hidden="1">#REF!</definedName>
    <definedName name="BExEW8HFKH6F47KIHYBDRUEFZ2ZZ" localSheetId="8" hidden="1">#REF!</definedName>
    <definedName name="BExEW8HFKH6F47KIHYBDRUEFZ2ZZ" localSheetId="19" hidden="1">#REF!</definedName>
    <definedName name="BExEW8HFKH6F47KIHYBDRUEFZ2ZZ" hidden="1">#REF!</definedName>
    <definedName name="BExEWB6JHMITZPXHB6JATOCLLKLJ" localSheetId="8" hidden="1">#REF!</definedName>
    <definedName name="BExEWB6JHMITZPXHB6JATOCLLKLJ" localSheetId="19" hidden="1">#REF!</definedName>
    <definedName name="BExEWB6JHMITZPXHB6JATOCLLKLJ" hidden="1">#REF!</definedName>
    <definedName name="BExEWNBGQS1U2LW3W84T4LSJ9K00" localSheetId="8" hidden="1">#REF!</definedName>
    <definedName name="BExEWNBGQS1U2LW3W84T4LSJ9K00" localSheetId="19" hidden="1">#REF!</definedName>
    <definedName name="BExEWNBGQS1U2LW3W84T4LSJ9K00" hidden="1">#REF!</definedName>
    <definedName name="BExEWO7STL7HNZSTY8VQBPTX1WK6" localSheetId="8" hidden="1">#REF!</definedName>
    <definedName name="BExEWO7STL7HNZSTY8VQBPTX1WK6" localSheetId="19" hidden="1">#REF!</definedName>
    <definedName name="BExEWO7STL7HNZSTY8VQBPTX1WK6" hidden="1">#REF!</definedName>
    <definedName name="BExEWQ0M1N3KMKTDJ73H10QSG4W1" localSheetId="8" hidden="1">#REF!</definedName>
    <definedName name="BExEWQ0M1N3KMKTDJ73H10QSG4W1" localSheetId="19" hidden="1">#REF!</definedName>
    <definedName name="BExEWQ0M1N3KMKTDJ73H10QSG4W1" hidden="1">#REF!</definedName>
    <definedName name="BExEX43OR6NH8GF32YY2ZB6Y8WGP" localSheetId="8" hidden="1">#REF!</definedName>
    <definedName name="BExEX43OR6NH8GF32YY2ZB6Y8WGP" localSheetId="19" hidden="1">#REF!</definedName>
    <definedName name="BExEX43OR6NH8GF32YY2ZB6Y8WGP" hidden="1">#REF!</definedName>
    <definedName name="BExEX85F3OSW8NSCYGYPS9372Z1Q" localSheetId="8" hidden="1">#REF!</definedName>
    <definedName name="BExEX85F3OSW8NSCYGYPS9372Z1Q" localSheetId="19" hidden="1">#REF!</definedName>
    <definedName name="BExEX85F3OSW8NSCYGYPS9372Z1Q" hidden="1">#REF!</definedName>
    <definedName name="BExEX9HWY2G6928ZVVVQF77QCM2C" localSheetId="8" hidden="1">#REF!</definedName>
    <definedName name="BExEX9HWY2G6928ZVVVQF77QCM2C" localSheetId="19" hidden="1">#REF!</definedName>
    <definedName name="BExEX9HWY2G6928ZVVVQF77QCM2C" hidden="1">#REF!</definedName>
    <definedName name="BExEXBQWAYKMVBRJRHB8PFCSYFVN" localSheetId="8" hidden="1">#REF!</definedName>
    <definedName name="BExEXBQWAYKMVBRJRHB8PFCSYFVN" localSheetId="19" hidden="1">#REF!</definedName>
    <definedName name="BExEXBQWAYKMVBRJRHB8PFCSYFVN" hidden="1">#REF!</definedName>
    <definedName name="BExEXGE2TE9MQWLQVHL7XGQWL102" localSheetId="8" hidden="1">#REF!</definedName>
    <definedName name="BExEXGE2TE9MQWLQVHL7XGQWL102" localSheetId="19" hidden="1">#REF!</definedName>
    <definedName name="BExEXGE2TE9MQWLQVHL7XGQWL102" hidden="1">#REF!</definedName>
    <definedName name="BExEXRBZ0DI9E2UFLLKYWGN66B61" localSheetId="8" hidden="1">#REF!</definedName>
    <definedName name="BExEXRBZ0DI9E2UFLLKYWGN66B61" localSheetId="19" hidden="1">#REF!</definedName>
    <definedName name="BExEXRBZ0DI9E2UFLLKYWGN66B61" hidden="1">#REF!</definedName>
    <definedName name="BExEXW4FSOZ9C2SZSQIAA3W82I5K" localSheetId="8" hidden="1">#REF!</definedName>
    <definedName name="BExEXW4FSOZ9C2SZSQIAA3W82I5K" localSheetId="19" hidden="1">#REF!</definedName>
    <definedName name="BExEXW4FSOZ9C2SZSQIAA3W82I5K" hidden="1">#REF!</definedName>
    <definedName name="BExEXZ4H2ZUNEW5I6I74GK08QAQC" localSheetId="8" hidden="1">#REF!</definedName>
    <definedName name="BExEXZ4H2ZUNEW5I6I74GK08QAQC" localSheetId="19" hidden="1">#REF!</definedName>
    <definedName name="BExEXZ4H2ZUNEW5I6I74GK08QAQC" hidden="1">#REF!</definedName>
    <definedName name="BExEY42GK80HA9M84NTZ3NV9K2VI" localSheetId="8" hidden="1">#REF!</definedName>
    <definedName name="BExEY42GK80HA9M84NTZ3NV9K2VI" localSheetId="19" hidden="1">#REF!</definedName>
    <definedName name="BExEY42GK80HA9M84NTZ3NV9K2VI" hidden="1">#REF!</definedName>
    <definedName name="BExEYLG9FL9V1JPPNZ3FUDNSEJ4V" localSheetId="8" hidden="1">#REF!</definedName>
    <definedName name="BExEYLG9FL9V1JPPNZ3FUDNSEJ4V" localSheetId="19" hidden="1">#REF!</definedName>
    <definedName name="BExEYLG9FL9V1JPPNZ3FUDNSEJ4V" hidden="1">#REF!</definedName>
    <definedName name="BExEYOW8C1B3OUUCIGEC7L8OOW1Z" localSheetId="8" hidden="1">#REF!</definedName>
    <definedName name="BExEYOW8C1B3OUUCIGEC7L8OOW1Z" localSheetId="19" hidden="1">#REF!</definedName>
    <definedName name="BExEYOW8C1B3OUUCIGEC7L8OOW1Z" hidden="1">#REF!</definedName>
    <definedName name="BExEYPCI2LT224YS4M3T50V85FAG" localSheetId="8" hidden="1">#REF!</definedName>
    <definedName name="BExEYPCI2LT224YS4M3T50V85FAG" localSheetId="19" hidden="1">#REF!</definedName>
    <definedName name="BExEYPCI2LT224YS4M3T50V85FAG" hidden="1">#REF!</definedName>
    <definedName name="BExEYUQJXZT6N5HJH8ACJF6SRWEE" localSheetId="8" hidden="1">#REF!</definedName>
    <definedName name="BExEYUQJXZT6N5HJH8ACJF6SRWEE" localSheetId="19" hidden="1">#REF!</definedName>
    <definedName name="BExEYUQJXZT6N5HJH8ACJF6SRWEE" hidden="1">#REF!</definedName>
    <definedName name="BExEYYC7KLO4XJQW9GMGVVJQXF4C" localSheetId="8" hidden="1">#REF!</definedName>
    <definedName name="BExEYYC7KLO4XJQW9GMGVVJQXF4C" localSheetId="19" hidden="1">#REF!</definedName>
    <definedName name="BExEYYC7KLO4XJQW9GMGVVJQXF4C" hidden="1">#REF!</definedName>
    <definedName name="BExEZ1S6VZCG01ZPLBSS9Z1SBOJ2" localSheetId="8" hidden="1">#REF!</definedName>
    <definedName name="BExEZ1S6VZCG01ZPLBSS9Z1SBOJ2" localSheetId="19" hidden="1">#REF!</definedName>
    <definedName name="BExEZ1S6VZCG01ZPLBSS9Z1SBOJ2" hidden="1">#REF!</definedName>
    <definedName name="BExEZ6KV8TDKOO0Y66LSH9DCFW5M" localSheetId="8" hidden="1">#REF!</definedName>
    <definedName name="BExEZ6KV8TDKOO0Y66LSH9DCFW5M" localSheetId="19" hidden="1">#REF!</definedName>
    <definedName name="BExEZ6KV8TDKOO0Y66LSH9DCFW5M" hidden="1">#REF!</definedName>
    <definedName name="BExEZGBFNJR8DLPN0V11AU22L6WY" localSheetId="8" hidden="1">#REF!</definedName>
    <definedName name="BExEZGBFNJR8DLPN0V11AU22L6WY" localSheetId="19" hidden="1">#REF!</definedName>
    <definedName name="BExEZGBFNJR8DLPN0V11AU22L6WY" hidden="1">#REF!</definedName>
    <definedName name="BExEZVR61GWO1ZM3XHWUKRJJMQXV" localSheetId="8" hidden="1">#REF!</definedName>
    <definedName name="BExEZVR61GWO1ZM3XHWUKRJJMQXV" localSheetId="19" hidden="1">#REF!</definedName>
    <definedName name="BExEZVR61GWO1ZM3XHWUKRJJMQXV" hidden="1">#REF!</definedName>
    <definedName name="BExF02Y3V3QEPO2XLDSK47APK9XJ" localSheetId="8" hidden="1">#REF!</definedName>
    <definedName name="BExF02Y3V3QEPO2XLDSK47APK9XJ" localSheetId="19" hidden="1">#REF!</definedName>
    <definedName name="BExF02Y3V3QEPO2XLDSK47APK9XJ" hidden="1">#REF!</definedName>
    <definedName name="BExF03E824NHBODFUZ3PZ5HLF85X" localSheetId="8" hidden="1">#REF!</definedName>
    <definedName name="BExF03E824NHBODFUZ3PZ5HLF85X" localSheetId="19" hidden="1">#REF!</definedName>
    <definedName name="BExF03E824NHBODFUZ3PZ5HLF85X" hidden="1">#REF!</definedName>
    <definedName name="BExF09OS91RT7N7IW8JLMZ121ZP3" localSheetId="8" hidden="1">#REF!</definedName>
    <definedName name="BExF09OS91RT7N7IW8JLMZ121ZP3" localSheetId="19" hidden="1">#REF!</definedName>
    <definedName name="BExF09OS91RT7N7IW8JLMZ121ZP3" hidden="1">#REF!</definedName>
    <definedName name="BExF0D4SEQ7RRCAER8UQKUJ4HH0Q" localSheetId="8" hidden="1">#REF!</definedName>
    <definedName name="BExF0D4SEQ7RRCAER8UQKUJ4HH0Q" localSheetId="19" hidden="1">#REF!</definedName>
    <definedName name="BExF0D4SEQ7RRCAER8UQKUJ4HH0Q" hidden="1">#REF!</definedName>
    <definedName name="BExF0D4Z97PCG5JI9CC2TFB553AX" localSheetId="8" hidden="1">#REF!</definedName>
    <definedName name="BExF0D4Z97PCG5JI9CC2TFB553AX" localSheetId="19" hidden="1">#REF!</definedName>
    <definedName name="BExF0D4Z97PCG5JI9CC2TFB553AX" hidden="1">#REF!</definedName>
    <definedName name="BExF0DAB1PUE0V936NFEK68CCKTJ" localSheetId="8" hidden="1">#REF!</definedName>
    <definedName name="BExF0DAB1PUE0V936NFEK68CCKTJ" localSheetId="19" hidden="1">#REF!</definedName>
    <definedName name="BExF0DAB1PUE0V936NFEK68CCKTJ" hidden="1">#REF!</definedName>
    <definedName name="BExF0LOEHV42P2DV7QL8O7HOQ3N9" localSheetId="8" hidden="1">#REF!</definedName>
    <definedName name="BExF0LOEHV42P2DV7QL8O7HOQ3N9" localSheetId="19" hidden="1">#REF!</definedName>
    <definedName name="BExF0LOEHV42P2DV7QL8O7HOQ3N9" hidden="1">#REF!</definedName>
    <definedName name="BExF0QRT0ZP2578DKKC9SRW40F5L" localSheetId="8" hidden="1">#REF!</definedName>
    <definedName name="BExF0QRT0ZP2578DKKC9SRW40F5L" localSheetId="19" hidden="1">#REF!</definedName>
    <definedName name="BExF0QRT0ZP2578DKKC9SRW40F5L" hidden="1">#REF!</definedName>
    <definedName name="BExF0WRM9VO25RLSO03ZOCE8H7K5" localSheetId="8" hidden="1">#REF!</definedName>
    <definedName name="BExF0WRM9VO25RLSO03ZOCE8H7K5" localSheetId="19" hidden="1">#REF!</definedName>
    <definedName name="BExF0WRM9VO25RLSO03ZOCE8H7K5" hidden="1">#REF!</definedName>
    <definedName name="BExF0ZRI7W4RSLIDLHTSM0AWXO3S" localSheetId="8" hidden="1">#REF!</definedName>
    <definedName name="BExF0ZRI7W4RSLIDLHTSM0AWXO3S" localSheetId="19" hidden="1">#REF!</definedName>
    <definedName name="BExF0ZRI7W4RSLIDLHTSM0AWXO3S" hidden="1">#REF!</definedName>
    <definedName name="BExF19CT3MMZZ2T5EWMDNG3UOJ01" localSheetId="8" hidden="1">#REF!</definedName>
    <definedName name="BExF19CT3MMZZ2T5EWMDNG3UOJ01" localSheetId="19" hidden="1">#REF!</definedName>
    <definedName name="BExF19CT3MMZZ2T5EWMDNG3UOJ01" hidden="1">#REF!</definedName>
    <definedName name="BExF1C1VNHJBRW2XQKVSL1KSLFZ8" localSheetId="8" hidden="1">#REF!</definedName>
    <definedName name="BExF1C1VNHJBRW2XQKVSL1KSLFZ8" localSheetId="19" hidden="1">#REF!</definedName>
    <definedName name="BExF1C1VNHJBRW2XQKVSL1KSLFZ8" hidden="1">#REF!</definedName>
    <definedName name="BExF1M38U6NX17YJA8YU359B5Z4M" localSheetId="8" hidden="1">#REF!</definedName>
    <definedName name="BExF1M38U6NX17YJA8YU359B5Z4M" localSheetId="19" hidden="1">#REF!</definedName>
    <definedName name="BExF1M38U6NX17YJA8YU359B5Z4M" hidden="1">#REF!</definedName>
    <definedName name="BExF1MU4W3NPEY0OHRDWP5IANCBB" localSheetId="8" hidden="1">#REF!</definedName>
    <definedName name="BExF1MU4W3NPEY0OHRDWP5IANCBB" localSheetId="19" hidden="1">#REF!</definedName>
    <definedName name="BExF1MU4W3NPEY0OHRDWP5IANCBB" hidden="1">#REF!</definedName>
    <definedName name="BExF1MZN8MWMOKOARHJ1QAF9HPGT" localSheetId="8" hidden="1">#REF!</definedName>
    <definedName name="BExF1MZN8MWMOKOARHJ1QAF9HPGT" localSheetId="19" hidden="1">#REF!</definedName>
    <definedName name="BExF1MZN8MWMOKOARHJ1QAF9HPGT" hidden="1">#REF!</definedName>
    <definedName name="BExF1US4ZIQYSU5LBFYNRA9N0K2O" localSheetId="8" hidden="1">#REF!</definedName>
    <definedName name="BExF1US4ZIQYSU5LBFYNRA9N0K2O" localSheetId="19" hidden="1">#REF!</definedName>
    <definedName name="BExF1US4ZIQYSU5LBFYNRA9N0K2O" hidden="1">#REF!</definedName>
    <definedName name="BExF272JNPJCK1XLBG016XXBVFO8" localSheetId="8" hidden="1">#REF!</definedName>
    <definedName name="BExF272JNPJCK1XLBG016XXBVFO8" localSheetId="19" hidden="1">#REF!</definedName>
    <definedName name="BExF272JNPJCK1XLBG016XXBVFO8" hidden="1">#REF!</definedName>
    <definedName name="BExF2CWZN6E87RGTBMD4YQI2QT7R" localSheetId="8" hidden="1">#REF!</definedName>
    <definedName name="BExF2CWZN6E87RGTBMD4YQI2QT7R" localSheetId="19" hidden="1">#REF!</definedName>
    <definedName name="BExF2CWZN6E87RGTBMD4YQI2QT7R" hidden="1">#REF!</definedName>
    <definedName name="BExF2DYO1WQ7GMXSTAQRDBW1NSFG" localSheetId="8" hidden="1">#REF!</definedName>
    <definedName name="BExF2DYO1WQ7GMXSTAQRDBW1NSFG" localSheetId="19" hidden="1">#REF!</definedName>
    <definedName name="BExF2DYO1WQ7GMXSTAQRDBW1NSFG" hidden="1">#REF!</definedName>
    <definedName name="BExF2H9D3MC9XKLPZ6VIP4F7G4YN" localSheetId="8" hidden="1">#REF!</definedName>
    <definedName name="BExF2H9D3MC9XKLPZ6VIP4F7G4YN" localSheetId="19" hidden="1">#REF!</definedName>
    <definedName name="BExF2H9D3MC9XKLPZ6VIP4F7G4YN" hidden="1">#REF!</definedName>
    <definedName name="BExF2MSWNUY9Z6BZJQZ538PPTION" localSheetId="8" hidden="1">#REF!</definedName>
    <definedName name="BExF2MSWNUY9Z6BZJQZ538PPTION" localSheetId="19" hidden="1">#REF!</definedName>
    <definedName name="BExF2MSWNUY9Z6BZJQZ538PPTION" hidden="1">#REF!</definedName>
    <definedName name="BExF2QZYWHTYGUTTXR15CKCV3LS7" localSheetId="8" hidden="1">#REF!</definedName>
    <definedName name="BExF2QZYWHTYGUTTXR15CKCV3LS7" localSheetId="19" hidden="1">#REF!</definedName>
    <definedName name="BExF2QZYWHTYGUTTXR15CKCV3LS7" hidden="1">#REF!</definedName>
    <definedName name="BExF2T8Y6TSJ74RMSZOA9CEH4OZ6" localSheetId="8" hidden="1">#REF!</definedName>
    <definedName name="BExF2T8Y6TSJ74RMSZOA9CEH4OZ6" localSheetId="19" hidden="1">#REF!</definedName>
    <definedName name="BExF2T8Y6TSJ74RMSZOA9CEH4OZ6" hidden="1">#REF!</definedName>
    <definedName name="BExF31N3YM4F37EOOY8M8VI1KXN8" localSheetId="8" hidden="1">#REF!</definedName>
    <definedName name="BExF31N3YM4F37EOOY8M8VI1KXN8" localSheetId="19" hidden="1">#REF!</definedName>
    <definedName name="BExF31N3YM4F37EOOY8M8VI1KXN8" hidden="1">#REF!</definedName>
    <definedName name="BExF37C1YKBT79Z9SOJAG5MXQGTU" localSheetId="8" hidden="1">#REF!</definedName>
    <definedName name="BExF37C1YKBT79Z9SOJAG5MXQGTU" localSheetId="19" hidden="1">#REF!</definedName>
    <definedName name="BExF37C1YKBT79Z9SOJAG5MXQGTU" hidden="1">#REF!</definedName>
    <definedName name="BExF3A6HPA6DGYALZNHHJPMCUYZR" localSheetId="8" hidden="1">#REF!</definedName>
    <definedName name="BExF3A6HPA6DGYALZNHHJPMCUYZR" localSheetId="19" hidden="1">#REF!</definedName>
    <definedName name="BExF3A6HPA6DGYALZNHHJPMCUYZR" hidden="1">#REF!</definedName>
    <definedName name="BExF3GMJW5D7066GYKTMM3CVH1HE" localSheetId="8" hidden="1">#REF!</definedName>
    <definedName name="BExF3GMJW5D7066GYKTMM3CVH1HE" localSheetId="19" hidden="1">#REF!</definedName>
    <definedName name="BExF3GMJW5D7066GYKTMM3CVH1HE" hidden="1">#REF!</definedName>
    <definedName name="BExF3I9T44X7DV9HHV51DVDDPPZG" localSheetId="8" hidden="1">#REF!</definedName>
    <definedName name="BExF3I9T44X7DV9HHV51DVDDPPZG" localSheetId="19" hidden="1">#REF!</definedName>
    <definedName name="BExF3I9T44X7DV9HHV51DVDDPPZG" hidden="1">#REF!</definedName>
    <definedName name="BExF3IKLZ35F2D4DI7R7P7NZLVC3" localSheetId="8" hidden="1">#REF!</definedName>
    <definedName name="BExF3IKLZ35F2D4DI7R7P7NZLVC3" localSheetId="19" hidden="1">#REF!</definedName>
    <definedName name="BExF3IKLZ35F2D4DI7R7P7NZLVC3" hidden="1">#REF!</definedName>
    <definedName name="BExF3JMFX5DILOIFUDIO1HZUK875" localSheetId="8" hidden="1">#REF!</definedName>
    <definedName name="BExF3JMFX5DILOIFUDIO1HZUK875" localSheetId="19" hidden="1">#REF!</definedName>
    <definedName name="BExF3JMFX5DILOIFUDIO1HZUK875" hidden="1">#REF!</definedName>
    <definedName name="BExF3KIO2G9LJYXZ61H8PJJ6OQXV" localSheetId="8" hidden="1">#REF!</definedName>
    <definedName name="BExF3KIO2G9LJYXZ61H8PJJ6OQXV" localSheetId="19" hidden="1">#REF!</definedName>
    <definedName name="BExF3KIO2G9LJYXZ61H8PJJ6OQXV" hidden="1">#REF!</definedName>
    <definedName name="BExF3MGVCZHXDAUDZAGUYESZ3RC8" localSheetId="8" hidden="1">#REF!</definedName>
    <definedName name="BExF3MGVCZHXDAUDZAGUYESZ3RC8" localSheetId="19" hidden="1">#REF!</definedName>
    <definedName name="BExF3MGVCZHXDAUDZAGUYESZ3RC8" hidden="1">#REF!</definedName>
    <definedName name="BExF3NTC4BGZEM6B87TCFX277QCS" localSheetId="8" hidden="1">#REF!</definedName>
    <definedName name="BExF3NTC4BGZEM6B87TCFX277QCS" localSheetId="19" hidden="1">#REF!</definedName>
    <definedName name="BExF3NTC4BGZEM6B87TCFX277QCS" hidden="1">#REF!</definedName>
    <definedName name="BExF3Q2DOSQI9SIAXB522CN0WBZ7" localSheetId="8" hidden="1">#REF!</definedName>
    <definedName name="BExF3Q2DOSQI9SIAXB522CN0WBZ7" localSheetId="19" hidden="1">#REF!</definedName>
    <definedName name="BExF3Q2DOSQI9SIAXB522CN0WBZ7" hidden="1">#REF!</definedName>
    <definedName name="BExF3Q7NI90WT31QHYSJDIG0LLLJ" localSheetId="8" hidden="1">#REF!</definedName>
    <definedName name="BExF3Q7NI90WT31QHYSJDIG0LLLJ" localSheetId="19" hidden="1">#REF!</definedName>
    <definedName name="BExF3Q7NI90WT31QHYSJDIG0LLLJ" hidden="1">#REF!</definedName>
    <definedName name="BExF3QD55TIY1MSBSRK9TUJKBEWO" localSheetId="8" hidden="1">#REF!</definedName>
    <definedName name="BExF3QD55TIY1MSBSRK9TUJKBEWO" localSheetId="19" hidden="1">#REF!</definedName>
    <definedName name="BExF3QD55TIY1MSBSRK9TUJKBEWO" hidden="1">#REF!</definedName>
    <definedName name="BExF3QT8J6RIF1L3R700MBSKIOKW" localSheetId="8" hidden="1">#REF!</definedName>
    <definedName name="BExF3QT8J6RIF1L3R700MBSKIOKW" localSheetId="19" hidden="1">#REF!</definedName>
    <definedName name="BExF3QT8J6RIF1L3R700MBSKIOKW" hidden="1">#REF!</definedName>
    <definedName name="BExF42SSBVPMLK2UB3B7FPEIY9TU" localSheetId="8" hidden="1">#REF!</definedName>
    <definedName name="BExF42SSBVPMLK2UB3B7FPEIY9TU" localSheetId="19" hidden="1">#REF!</definedName>
    <definedName name="BExF42SSBVPMLK2UB3B7FPEIY9TU" hidden="1">#REF!</definedName>
    <definedName name="BExF4HXSWB50BKYPWA0HTT8W56H6" localSheetId="8" hidden="1">#REF!</definedName>
    <definedName name="BExF4HXSWB50BKYPWA0HTT8W56H6" localSheetId="19" hidden="1">#REF!</definedName>
    <definedName name="BExF4HXSWB50BKYPWA0HTT8W56H6" hidden="1">#REF!</definedName>
    <definedName name="BExF4J4Y60OUA8GY6YN8XVRUX80A" localSheetId="8" hidden="1">#REF!</definedName>
    <definedName name="BExF4J4Y60OUA8GY6YN8XVRUX80A" localSheetId="19" hidden="1">#REF!</definedName>
    <definedName name="BExF4J4Y60OUA8GY6YN8XVRUX80A" hidden="1">#REF!</definedName>
    <definedName name="BExF4KHF04IWW4LQ95FHQPFE4Y9K" localSheetId="8" hidden="1">#REF!</definedName>
    <definedName name="BExF4KHF04IWW4LQ95FHQPFE4Y9K" localSheetId="19" hidden="1">#REF!</definedName>
    <definedName name="BExF4KHF04IWW4LQ95FHQPFE4Y9K" hidden="1">#REF!</definedName>
    <definedName name="BExF4MVQM5Y0QRDLDFSKWWTF709C" localSheetId="8" hidden="1">#REF!</definedName>
    <definedName name="BExF4MVQM5Y0QRDLDFSKWWTF709C" localSheetId="19" hidden="1">#REF!</definedName>
    <definedName name="BExF4MVQM5Y0QRDLDFSKWWTF709C" hidden="1">#REF!</definedName>
    <definedName name="BExF4PVMZYV36E8HOYY06J81AMBI" localSheetId="8" hidden="1">#REF!</definedName>
    <definedName name="BExF4PVMZYV36E8HOYY06J81AMBI" localSheetId="19" hidden="1">#REF!</definedName>
    <definedName name="BExF4PVMZYV36E8HOYY06J81AMBI" hidden="1">#REF!</definedName>
    <definedName name="BExF4SF9NEX1FZE9N8EXT89PM54D" localSheetId="8" hidden="1">#REF!</definedName>
    <definedName name="BExF4SF9NEX1FZE9N8EXT89PM54D" localSheetId="19" hidden="1">#REF!</definedName>
    <definedName name="BExF4SF9NEX1FZE9N8EXT89PM54D" hidden="1">#REF!</definedName>
    <definedName name="BExF52GTGP8MHGII4KJ8TJGR8W8U" localSheetId="8" hidden="1">#REF!</definedName>
    <definedName name="BExF52GTGP8MHGII4KJ8TJGR8W8U" localSheetId="19" hidden="1">#REF!</definedName>
    <definedName name="BExF52GTGP8MHGII4KJ8TJGR8W8U" hidden="1">#REF!</definedName>
    <definedName name="BExF57K7L3UC1I2FSAWURR4SN0UN" localSheetId="8" hidden="1">#REF!</definedName>
    <definedName name="BExF57K7L3UC1I2FSAWURR4SN0UN" localSheetId="19" hidden="1">#REF!</definedName>
    <definedName name="BExF57K7L3UC1I2FSAWURR4SN0UN" hidden="1">#REF!</definedName>
    <definedName name="BExF5HR2GFV7O8LKG9SJ4BY78LYA" localSheetId="8" hidden="1">#REF!</definedName>
    <definedName name="BExF5HR2GFV7O8LKG9SJ4BY78LYA" localSheetId="19" hidden="1">#REF!</definedName>
    <definedName name="BExF5HR2GFV7O8LKG9SJ4BY78LYA" hidden="1">#REF!</definedName>
    <definedName name="BExF5ZFO2A29GHWR5ES64Z9OS16J" localSheetId="8" hidden="1">#REF!</definedName>
    <definedName name="BExF5ZFO2A29GHWR5ES64Z9OS16J" localSheetId="19" hidden="1">#REF!</definedName>
    <definedName name="BExF5ZFO2A29GHWR5ES64Z9OS16J" hidden="1">#REF!</definedName>
    <definedName name="BExF63S045JO7H2ZJCBTBVH3SUIF" localSheetId="8" hidden="1">#REF!</definedName>
    <definedName name="BExF63S045JO7H2ZJCBTBVH3SUIF" localSheetId="19" hidden="1">#REF!</definedName>
    <definedName name="BExF63S045JO7H2ZJCBTBVH3SUIF" hidden="1">#REF!</definedName>
    <definedName name="BExF642TEGTXCI9A61ZOONJCB0U1" localSheetId="8" hidden="1">#REF!</definedName>
    <definedName name="BExF642TEGTXCI9A61ZOONJCB0U1" localSheetId="19" hidden="1">#REF!</definedName>
    <definedName name="BExF642TEGTXCI9A61ZOONJCB0U1" hidden="1">#REF!</definedName>
    <definedName name="BExF67O951CF8UJF3KBDNR0E83C1" localSheetId="8" hidden="1">#REF!</definedName>
    <definedName name="BExF67O951CF8UJF3KBDNR0E83C1" localSheetId="19" hidden="1">#REF!</definedName>
    <definedName name="BExF67O951CF8UJF3KBDNR0E83C1" hidden="1">#REF!</definedName>
    <definedName name="BExF6EV7I35NVMIJGYTB6E24YVPA" localSheetId="8" hidden="1">#REF!</definedName>
    <definedName name="BExF6EV7I35NVMIJGYTB6E24YVPA" localSheetId="19" hidden="1">#REF!</definedName>
    <definedName name="BExF6EV7I35NVMIJGYTB6E24YVPA" hidden="1">#REF!</definedName>
    <definedName name="BExF6FGUF393KTMBT40S5BYAFG00" localSheetId="8" hidden="1">#REF!</definedName>
    <definedName name="BExF6FGUF393KTMBT40S5BYAFG00" localSheetId="19" hidden="1">#REF!</definedName>
    <definedName name="BExF6FGUF393KTMBT40S5BYAFG00" hidden="1">#REF!</definedName>
    <definedName name="BExF6GNYXWY8A0SY4PW1B6KJMMTM" localSheetId="8" hidden="1">#REF!</definedName>
    <definedName name="BExF6GNYXWY8A0SY4PW1B6KJMMTM" localSheetId="19" hidden="1">#REF!</definedName>
    <definedName name="BExF6GNYXWY8A0SY4PW1B6KJMMTM" hidden="1">#REF!</definedName>
    <definedName name="BExF6IB8K74Z0AFT05GPOKKZW7C9" localSheetId="8" hidden="1">#REF!</definedName>
    <definedName name="BExF6IB8K74Z0AFT05GPOKKZW7C9" localSheetId="19" hidden="1">#REF!</definedName>
    <definedName name="BExF6IB8K74Z0AFT05GPOKKZW7C9" hidden="1">#REF!</definedName>
    <definedName name="BExF6NUXJI11W2IAZNAM1QWC0459" localSheetId="8" hidden="1">#REF!</definedName>
    <definedName name="BExF6NUXJI11W2IAZNAM1QWC0459" localSheetId="19" hidden="1">#REF!</definedName>
    <definedName name="BExF6NUXJI11W2IAZNAM1QWC0459" hidden="1">#REF!</definedName>
    <definedName name="BExF6RR76KNVIXGJOVFO8GDILKGZ" localSheetId="8" hidden="1">#REF!</definedName>
    <definedName name="BExF6RR76KNVIXGJOVFO8GDILKGZ" localSheetId="19" hidden="1">#REF!</definedName>
    <definedName name="BExF6RR76KNVIXGJOVFO8GDILKGZ" hidden="1">#REF!</definedName>
    <definedName name="BExF6ZE8D5CMPJPRWT6S4HM56LPF" localSheetId="8" hidden="1">#REF!</definedName>
    <definedName name="BExF6ZE8D5CMPJPRWT6S4HM56LPF" localSheetId="19" hidden="1">#REF!</definedName>
    <definedName name="BExF6ZE8D5CMPJPRWT6S4HM56LPF" hidden="1">#REF!</definedName>
    <definedName name="BExF76FV8SF7AJK7B35AL7VTZF6D" localSheetId="8" hidden="1">#REF!</definedName>
    <definedName name="BExF76FV8SF7AJK7B35AL7VTZF6D" localSheetId="19" hidden="1">#REF!</definedName>
    <definedName name="BExF76FV8SF7AJK7B35AL7VTZF6D" hidden="1">#REF!</definedName>
    <definedName name="BExF7EOIMC1OYL1N7835KGOI0FIZ" localSheetId="8" hidden="1">#REF!</definedName>
    <definedName name="BExF7EOIMC1OYL1N7835KGOI0FIZ" localSheetId="19" hidden="1">#REF!</definedName>
    <definedName name="BExF7EOIMC1OYL1N7835KGOI0FIZ" hidden="1">#REF!</definedName>
    <definedName name="BExF7K88K7ASGV6RAOAGH52G04VR" localSheetId="8" hidden="1">#REF!</definedName>
    <definedName name="BExF7K88K7ASGV6RAOAGH52G04VR" localSheetId="19" hidden="1">#REF!</definedName>
    <definedName name="BExF7K88K7ASGV6RAOAGH52G04VR" hidden="1">#REF!</definedName>
    <definedName name="BExF7OVDRP3LHNAF2CX4V84CKKIR" localSheetId="8" hidden="1">#REF!</definedName>
    <definedName name="BExF7OVDRP3LHNAF2CX4V84CKKIR" localSheetId="19" hidden="1">#REF!</definedName>
    <definedName name="BExF7OVDRP3LHNAF2CX4V84CKKIR" hidden="1">#REF!</definedName>
    <definedName name="BExF7QO41X2A2SL8UXDNP99GY7U9" localSheetId="8" hidden="1">#REF!</definedName>
    <definedName name="BExF7QO41X2A2SL8UXDNP99GY7U9" localSheetId="19" hidden="1">#REF!</definedName>
    <definedName name="BExF7QO41X2A2SL8UXDNP99GY7U9" hidden="1">#REF!</definedName>
    <definedName name="BExF7QYWRJ8S4SID84VVXH3TN7X8" localSheetId="8" hidden="1">#REF!</definedName>
    <definedName name="BExF7QYWRJ8S4SID84VVXH3TN7X8" localSheetId="19" hidden="1">#REF!</definedName>
    <definedName name="BExF7QYWRJ8S4SID84VVXH3TN7X8" hidden="1">#REF!</definedName>
    <definedName name="BExF81GI8B8WBHXFTET68A9358BR" localSheetId="8" hidden="1">#REF!</definedName>
    <definedName name="BExF81GI8B8WBHXFTET68A9358BR" localSheetId="19" hidden="1">#REF!</definedName>
    <definedName name="BExF81GI8B8WBHXFTET68A9358BR" hidden="1">#REF!</definedName>
    <definedName name="BExGKN1EUJWHOYSSFY4XX6T9QVV5" localSheetId="8" hidden="1">#REF!</definedName>
    <definedName name="BExGKN1EUJWHOYSSFY4XX6T9QVV5" localSheetId="19" hidden="1">#REF!</definedName>
    <definedName name="BExGKN1EUJWHOYSSFY4XX6T9QVV5" hidden="1">#REF!</definedName>
    <definedName name="BExGL97US0Y3KXXASUTVR26XLT70" localSheetId="8" hidden="1">#REF!</definedName>
    <definedName name="BExGL97US0Y3KXXASUTVR26XLT70" localSheetId="19" hidden="1">#REF!</definedName>
    <definedName name="BExGL97US0Y3KXXASUTVR26XLT70" hidden="1">#REF!</definedName>
    <definedName name="BExGL9TEJAX73AMCXKXTMRO9T6QA" localSheetId="8" hidden="1">#REF!</definedName>
    <definedName name="BExGL9TEJAX73AMCXKXTMRO9T6QA" localSheetId="19" hidden="1">#REF!</definedName>
    <definedName name="BExGL9TEJAX73AMCXKXTMRO9T6QA" hidden="1">#REF!</definedName>
    <definedName name="BExGLBM5GKGBJDTZSMMBZBAVQ7N1" localSheetId="8" hidden="1">#REF!</definedName>
    <definedName name="BExGLBM5GKGBJDTZSMMBZBAVQ7N1" localSheetId="19" hidden="1">#REF!</definedName>
    <definedName name="BExGLBM5GKGBJDTZSMMBZBAVQ7N1" hidden="1">#REF!</definedName>
    <definedName name="BExGLC7R4C33RO0PID97ZPPVCW4M" localSheetId="8" hidden="1">#REF!</definedName>
    <definedName name="BExGLC7R4C33RO0PID97ZPPVCW4M" localSheetId="19" hidden="1">#REF!</definedName>
    <definedName name="BExGLC7R4C33RO0PID97ZPPVCW4M" hidden="1">#REF!</definedName>
    <definedName name="BExGLFIF7HCFSHNQHKEV6RY0WCO3" localSheetId="8" hidden="1">#REF!</definedName>
    <definedName name="BExGLFIF7HCFSHNQHKEV6RY0WCO3" localSheetId="19" hidden="1">#REF!</definedName>
    <definedName name="BExGLFIF7HCFSHNQHKEV6RY0WCO3" hidden="1">#REF!</definedName>
    <definedName name="BExGLPP9Z6SH15N8AV0F7H58S14K" localSheetId="8" hidden="1">#REF!</definedName>
    <definedName name="BExGLPP9Z6SH15N8AV0F7H58S14K" localSheetId="19" hidden="1">#REF!</definedName>
    <definedName name="BExGLPP9Z6SH15N8AV0F7H58S14K" hidden="1">#REF!</definedName>
    <definedName name="BExGLQATG820J44V2O4JEICPUUTR" localSheetId="8" hidden="1">#REF!</definedName>
    <definedName name="BExGLQATG820J44V2O4JEICPUUTR" localSheetId="19" hidden="1">#REF!</definedName>
    <definedName name="BExGLQATG820J44V2O4JEICPUUTR" hidden="1">#REF!</definedName>
    <definedName name="BExGLTARRL0J772UD2TXEYAVPY6E" localSheetId="8" hidden="1">#REF!</definedName>
    <definedName name="BExGLTARRL0J772UD2TXEYAVPY6E" localSheetId="19" hidden="1">#REF!</definedName>
    <definedName name="BExGLTARRL0J772UD2TXEYAVPY6E" hidden="1">#REF!</definedName>
    <definedName name="BExGLYE6RZTAAWHJBG2QFJPTDS2Q" localSheetId="8" hidden="1">#REF!</definedName>
    <definedName name="BExGLYE6RZTAAWHJBG2QFJPTDS2Q" localSheetId="19" hidden="1">#REF!</definedName>
    <definedName name="BExGLYE6RZTAAWHJBG2QFJPTDS2Q" hidden="1">#REF!</definedName>
    <definedName name="BExGM4DZ65OAQP7MA4LN6QMYZOFF" localSheetId="8" hidden="1">#REF!</definedName>
    <definedName name="BExGM4DZ65OAQP7MA4LN6QMYZOFF" localSheetId="19" hidden="1">#REF!</definedName>
    <definedName name="BExGM4DZ65OAQP7MA4LN6QMYZOFF" hidden="1">#REF!</definedName>
    <definedName name="BExGMCXCWEC9XNUOEMZ61TMI6CUO" localSheetId="8" hidden="1">#REF!</definedName>
    <definedName name="BExGMCXCWEC9XNUOEMZ61TMI6CUO" localSheetId="19" hidden="1">#REF!</definedName>
    <definedName name="BExGMCXCWEC9XNUOEMZ61TMI6CUO" hidden="1">#REF!</definedName>
    <definedName name="BExGMJDGIH0MEPC2TUSFUCY2ROTB" localSheetId="8" hidden="1">#REF!</definedName>
    <definedName name="BExGMJDGIH0MEPC2TUSFUCY2ROTB" localSheetId="19" hidden="1">#REF!</definedName>
    <definedName name="BExGMJDGIH0MEPC2TUSFUCY2ROTB" hidden="1">#REF!</definedName>
    <definedName name="BExGMKPW2HPKN0M0XKF3AZ8YP0D6" localSheetId="8" hidden="1">#REF!</definedName>
    <definedName name="BExGMKPW2HPKN0M0XKF3AZ8YP0D6" localSheetId="19" hidden="1">#REF!</definedName>
    <definedName name="BExGMKPW2HPKN0M0XKF3AZ8YP0D6" hidden="1">#REF!</definedName>
    <definedName name="BExGMOGUOL3NATNV0TIZH2J6DLLD" localSheetId="8" hidden="1">#REF!</definedName>
    <definedName name="BExGMOGUOL3NATNV0TIZH2J6DLLD" localSheetId="19" hidden="1">#REF!</definedName>
    <definedName name="BExGMOGUOL3NATNV0TIZH2J6DLLD" hidden="1">#REF!</definedName>
    <definedName name="BExGMP2F175LGL6QVSJGP6GKYHHA" localSheetId="8" hidden="1">#REF!</definedName>
    <definedName name="BExGMP2F175LGL6QVSJGP6GKYHHA" localSheetId="19" hidden="1">#REF!</definedName>
    <definedName name="BExGMP2F175LGL6QVSJGP6GKYHHA" hidden="1">#REF!</definedName>
    <definedName name="BExGMPIIP8GKML2VVA8OEFL43NCS" localSheetId="8" hidden="1">#REF!</definedName>
    <definedName name="BExGMPIIP8GKML2VVA8OEFL43NCS" localSheetId="19" hidden="1">#REF!</definedName>
    <definedName name="BExGMPIIP8GKML2VVA8OEFL43NCS" hidden="1">#REF!</definedName>
    <definedName name="BExGMZ3SRIXLXMWBVOXXV3M4U4YL" localSheetId="8" hidden="1">#REF!</definedName>
    <definedName name="BExGMZ3SRIXLXMWBVOXXV3M4U4YL" localSheetId="19" hidden="1">#REF!</definedName>
    <definedName name="BExGMZ3SRIXLXMWBVOXXV3M4U4YL" hidden="1">#REF!</definedName>
    <definedName name="BExGMZ3UBN48IXU1ZEFYECEMZ1IM" localSheetId="8" hidden="1">#REF!</definedName>
    <definedName name="BExGMZ3UBN48IXU1ZEFYECEMZ1IM" localSheetId="19" hidden="1">#REF!</definedName>
    <definedName name="BExGMZ3UBN48IXU1ZEFYECEMZ1IM" hidden="1">#REF!</definedName>
    <definedName name="BExGN4I0QATXNZCLZJM1KH1OIJQH" localSheetId="8" hidden="1">#REF!</definedName>
    <definedName name="BExGN4I0QATXNZCLZJM1KH1OIJQH" localSheetId="19" hidden="1">#REF!</definedName>
    <definedName name="BExGN4I0QATXNZCLZJM1KH1OIJQH" hidden="1">#REF!</definedName>
    <definedName name="BExGN9FZ2RWCMSY1YOBJKZMNIM9R" localSheetId="8" hidden="1">#REF!</definedName>
    <definedName name="BExGN9FZ2RWCMSY1YOBJKZMNIM9R" localSheetId="19" hidden="1">#REF!</definedName>
    <definedName name="BExGN9FZ2RWCMSY1YOBJKZMNIM9R" hidden="1">#REF!</definedName>
    <definedName name="BExGNDSIMTHOCXXG6QOGR6DA8SGG" localSheetId="8" hidden="1">#REF!</definedName>
    <definedName name="BExGNDSIMTHOCXXG6QOGR6DA8SGG" localSheetId="19" hidden="1">#REF!</definedName>
    <definedName name="BExGNDSIMTHOCXXG6QOGR6DA8SGG" hidden="1">#REF!</definedName>
    <definedName name="BExGNHOS7RBERG1J2M2HVGSRZL5G" localSheetId="8" hidden="1">#REF!</definedName>
    <definedName name="BExGNHOS7RBERG1J2M2HVGSRZL5G" localSheetId="19" hidden="1">#REF!</definedName>
    <definedName name="BExGNHOS7RBERG1J2M2HVGSRZL5G" hidden="1">#REF!</definedName>
    <definedName name="BExGNJ18W3Q55XAXY8XTFB80IVMV" localSheetId="8" hidden="1">#REF!</definedName>
    <definedName name="BExGNJ18W3Q55XAXY8XTFB80IVMV" localSheetId="19" hidden="1">#REF!</definedName>
    <definedName name="BExGNJ18W3Q55XAXY8XTFB80IVMV" hidden="1">#REF!</definedName>
    <definedName name="BExGNN2YQ9BDAZXT2GLCSAPXKIM7" localSheetId="8" hidden="1">#REF!</definedName>
    <definedName name="BExGNN2YQ9BDAZXT2GLCSAPXKIM7" localSheetId="19" hidden="1">#REF!</definedName>
    <definedName name="BExGNN2YQ9BDAZXT2GLCSAPXKIM7" hidden="1">#REF!</definedName>
    <definedName name="BExGNP6INLF5NZFP5ME6K7C9Y0NH" localSheetId="8" hidden="1">#REF!</definedName>
    <definedName name="BExGNP6INLF5NZFP5ME6K7C9Y0NH" localSheetId="19" hidden="1">#REF!</definedName>
    <definedName name="BExGNP6INLF5NZFP5ME6K7C9Y0NH" hidden="1">#REF!</definedName>
    <definedName name="BExGNSS0CKRPKHO25R3TDBEL2NHX" localSheetId="8" hidden="1">#REF!</definedName>
    <definedName name="BExGNSS0CKRPKHO25R3TDBEL2NHX" localSheetId="19" hidden="1">#REF!</definedName>
    <definedName name="BExGNSS0CKRPKHO25R3TDBEL2NHX" hidden="1">#REF!</definedName>
    <definedName name="BExGNYH0MO8NOVS85L15G0RWX4GW" localSheetId="8" hidden="1">#REF!</definedName>
    <definedName name="BExGNYH0MO8NOVS85L15G0RWX4GW" localSheetId="19" hidden="1">#REF!</definedName>
    <definedName name="BExGNYH0MO8NOVS85L15G0RWX4GW" hidden="1">#REF!</definedName>
    <definedName name="BExGNZO44DEG8CGIDYSEGDUQ531R" localSheetId="8" hidden="1">#REF!</definedName>
    <definedName name="BExGNZO44DEG8CGIDYSEGDUQ531R" localSheetId="19" hidden="1">#REF!</definedName>
    <definedName name="BExGNZO44DEG8CGIDYSEGDUQ531R" hidden="1">#REF!</definedName>
    <definedName name="BExGO22GMMPZVQY9RQ8MDKZDP5G3" localSheetId="8" hidden="1">#REF!</definedName>
    <definedName name="BExGO22GMMPZVQY9RQ8MDKZDP5G3" localSheetId="19" hidden="1">#REF!</definedName>
    <definedName name="BExGO22GMMPZVQY9RQ8MDKZDP5G3" hidden="1">#REF!</definedName>
    <definedName name="BExGO2O0V6UYDY26AX8OSN72F77N" localSheetId="8" hidden="1">#REF!</definedName>
    <definedName name="BExGO2O0V6UYDY26AX8OSN72F77N" localSheetId="19" hidden="1">#REF!</definedName>
    <definedName name="BExGO2O0V6UYDY26AX8OSN72F77N" hidden="1">#REF!</definedName>
    <definedName name="BExGO2YUBOVLYHY1QSIHRE1KLAFV" localSheetId="8" hidden="1">#REF!</definedName>
    <definedName name="BExGO2YUBOVLYHY1QSIHRE1KLAFV" localSheetId="19" hidden="1">#REF!</definedName>
    <definedName name="BExGO2YUBOVLYHY1QSIHRE1KLAFV" hidden="1">#REF!</definedName>
    <definedName name="BExGO70E2O70LF46V8T26YFPL4V8" localSheetId="8" hidden="1">#REF!</definedName>
    <definedName name="BExGO70E2O70LF46V8T26YFPL4V8" localSheetId="19" hidden="1">#REF!</definedName>
    <definedName name="BExGO70E2O70LF46V8T26YFPL4V8" hidden="1">#REF!</definedName>
    <definedName name="BExGOB25QJMQCQE76MRW9X58OIOO" localSheetId="8" hidden="1">#REF!</definedName>
    <definedName name="BExGOB25QJMQCQE76MRW9X58OIOO" localSheetId="19" hidden="1">#REF!</definedName>
    <definedName name="BExGOB25QJMQCQE76MRW9X58OIOO" hidden="1">#REF!</definedName>
    <definedName name="BExGODAZKJ9EXMQZNQR5YDBSS525" localSheetId="8" hidden="1">#REF!</definedName>
    <definedName name="BExGODAZKJ9EXMQZNQR5YDBSS525" localSheetId="19" hidden="1">#REF!</definedName>
    <definedName name="BExGODAZKJ9EXMQZNQR5YDBSS525" hidden="1">#REF!</definedName>
    <definedName name="BExGODR8ZSMUC11I56QHSZ686XV5" localSheetId="8" hidden="1">#REF!</definedName>
    <definedName name="BExGODR8ZSMUC11I56QHSZ686XV5" localSheetId="19" hidden="1">#REF!</definedName>
    <definedName name="BExGODR8ZSMUC11I56QHSZ686XV5" hidden="1">#REF!</definedName>
    <definedName name="BExGOXJDHUDPDT8I8IVGVW9J0R5Q" localSheetId="8" hidden="1">#REF!</definedName>
    <definedName name="BExGOXJDHUDPDT8I8IVGVW9J0R5Q" localSheetId="19" hidden="1">#REF!</definedName>
    <definedName name="BExGOXJDHUDPDT8I8IVGVW9J0R5Q" hidden="1">#REF!</definedName>
    <definedName name="BExGPAPYI1N5W3IH8H485BHSVOY3" localSheetId="8" hidden="1">#REF!</definedName>
    <definedName name="BExGPAPYI1N5W3IH8H485BHSVOY3" localSheetId="19" hidden="1">#REF!</definedName>
    <definedName name="BExGPAPYI1N5W3IH8H485BHSVOY3" hidden="1">#REF!</definedName>
    <definedName name="BExGPFO3GOKYO2922Y91GMQRCMOA" localSheetId="8" hidden="1">#REF!</definedName>
    <definedName name="BExGPFO3GOKYO2922Y91GMQRCMOA" localSheetId="19" hidden="1">#REF!</definedName>
    <definedName name="BExGPFO3GOKYO2922Y91GMQRCMOA" hidden="1">#REF!</definedName>
    <definedName name="BExGPHGT5KDOCMV2EFS4OVKTWBRD" localSheetId="8" hidden="1">#REF!</definedName>
    <definedName name="BExGPHGT5KDOCMV2EFS4OVKTWBRD" localSheetId="19" hidden="1">#REF!</definedName>
    <definedName name="BExGPHGT5KDOCMV2EFS4OVKTWBRD" hidden="1">#REF!</definedName>
    <definedName name="BExGPID72Y4Y619LWASUQZKZHJNC" localSheetId="8" hidden="1">#REF!</definedName>
    <definedName name="BExGPID72Y4Y619LWASUQZKZHJNC" localSheetId="19" hidden="1">#REF!</definedName>
    <definedName name="BExGPID72Y4Y619LWASUQZKZHJNC" hidden="1">#REF!</definedName>
    <definedName name="BExGPPENQIANVGLVQJ77DK5JPRTB" localSheetId="8" hidden="1">#REF!</definedName>
    <definedName name="BExGPPENQIANVGLVQJ77DK5JPRTB" localSheetId="19" hidden="1">#REF!</definedName>
    <definedName name="BExGPPENQIANVGLVQJ77DK5JPRTB" hidden="1">#REF!</definedName>
    <definedName name="BExGPSUUG7TL5F5PTYU6G4HPJV1B" localSheetId="8" hidden="1">#REF!</definedName>
    <definedName name="BExGPSUUG7TL5F5PTYU6G4HPJV1B" localSheetId="19" hidden="1">#REF!</definedName>
    <definedName name="BExGPSUUG7TL5F5PTYU6G4HPJV1B" hidden="1">#REF!</definedName>
    <definedName name="BExGQ1E950UYXYWQ84EZEQPWHVYY" localSheetId="8" hidden="1">#REF!</definedName>
    <definedName name="BExGQ1E950UYXYWQ84EZEQPWHVYY" localSheetId="19" hidden="1">#REF!</definedName>
    <definedName name="BExGQ1E950UYXYWQ84EZEQPWHVYY" hidden="1">#REF!</definedName>
    <definedName name="BExGQ1ZU4967P72AHF4V1D0FOL5C" localSheetId="8" hidden="1">#REF!</definedName>
    <definedName name="BExGQ1ZU4967P72AHF4V1D0FOL5C" localSheetId="19" hidden="1">#REF!</definedName>
    <definedName name="BExGQ1ZU4967P72AHF4V1D0FOL5C" hidden="1">#REF!</definedName>
    <definedName name="BExGQ36ZOMR9GV8T05M605MMOY3Y" localSheetId="8" hidden="1">#REF!</definedName>
    <definedName name="BExGQ36ZOMR9GV8T05M605MMOY3Y" localSheetId="19" hidden="1">#REF!</definedName>
    <definedName name="BExGQ36ZOMR9GV8T05M605MMOY3Y" hidden="1">#REF!</definedName>
    <definedName name="BExGQ4ZP0PPMLDNVBUG12W9FFVI9" localSheetId="8" hidden="1">#REF!</definedName>
    <definedName name="BExGQ4ZP0PPMLDNVBUG12W9FFVI9" localSheetId="19" hidden="1">#REF!</definedName>
    <definedName name="BExGQ4ZP0PPMLDNVBUG12W9FFVI9" hidden="1">#REF!</definedName>
    <definedName name="BExGQ61DTJ0SBFMDFBAK3XZ9O0ZO" localSheetId="8" hidden="1">#REF!</definedName>
    <definedName name="BExGQ61DTJ0SBFMDFBAK3XZ9O0ZO" localSheetId="19" hidden="1">#REF!</definedName>
    <definedName name="BExGQ61DTJ0SBFMDFBAK3XZ9O0ZO" hidden="1">#REF!</definedName>
    <definedName name="BExGQ6SG9XEOD0VMBAR22YPZWSTA" localSheetId="8" hidden="1">#REF!</definedName>
    <definedName name="BExGQ6SG9XEOD0VMBAR22YPZWSTA" localSheetId="19" hidden="1">#REF!</definedName>
    <definedName name="BExGQ6SG9XEOD0VMBAR22YPZWSTA" hidden="1">#REF!</definedName>
    <definedName name="BExGQ8FQN3FRAGH5H2V74848P5JX" localSheetId="8" hidden="1">#REF!</definedName>
    <definedName name="BExGQ8FQN3FRAGH5H2V74848P5JX" localSheetId="19" hidden="1">#REF!</definedName>
    <definedName name="BExGQ8FQN3FRAGH5H2V74848P5JX" hidden="1">#REF!</definedName>
    <definedName name="BExGQGJ1A7LNZUS8QSMOG8UNGLMK" localSheetId="8" hidden="1">#REF!</definedName>
    <definedName name="BExGQGJ1A7LNZUS8QSMOG8UNGLMK" localSheetId="19" hidden="1">#REF!</definedName>
    <definedName name="BExGQGJ1A7LNZUS8QSMOG8UNGLMK" hidden="1">#REF!</definedName>
    <definedName name="BExGQLBNZ35IK2VK33HJUAE4ADX2" localSheetId="8" hidden="1">#REF!</definedName>
    <definedName name="BExGQLBNZ35IK2VK33HJUAE4ADX2" localSheetId="19" hidden="1">#REF!</definedName>
    <definedName name="BExGQLBNZ35IK2VK33HJUAE4ADX2" hidden="1">#REF!</definedName>
    <definedName name="BExGQPO7ENFEQC0NC6MC9OZR2LHY" localSheetId="8" hidden="1">#REF!</definedName>
    <definedName name="BExGQPO7ENFEQC0NC6MC9OZR2LHY" localSheetId="19" hidden="1">#REF!</definedName>
    <definedName name="BExGQPO7ENFEQC0NC6MC9OZR2LHY" hidden="1">#REF!</definedName>
    <definedName name="BExGQX0H4EZMXBJTKJJE4ICJWN5O" localSheetId="8" hidden="1">#REF!</definedName>
    <definedName name="BExGQX0H4EZMXBJTKJJE4ICJWN5O" localSheetId="19" hidden="1">#REF!</definedName>
    <definedName name="BExGQX0H4EZMXBJTKJJE4ICJWN5O" hidden="1">#REF!</definedName>
    <definedName name="BExGR4CW3WRIID17GGX4MI9ZDHFE" localSheetId="8" hidden="1">#REF!</definedName>
    <definedName name="BExGR4CW3WRIID17GGX4MI9ZDHFE" localSheetId="19" hidden="1">#REF!</definedName>
    <definedName name="BExGR4CW3WRIID17GGX4MI9ZDHFE" hidden="1">#REF!</definedName>
    <definedName name="BExGR65GJX27MU2OL6NI5PB8XVB4" localSheetId="8" hidden="1">#REF!</definedName>
    <definedName name="BExGR65GJX27MU2OL6NI5PB8XVB4" localSheetId="19" hidden="1">#REF!</definedName>
    <definedName name="BExGR65GJX27MU2OL6NI5PB8XVB4" hidden="1">#REF!</definedName>
    <definedName name="BExGR6LQ97HETGS3CT96L4IK0JSH" localSheetId="8" hidden="1">#REF!</definedName>
    <definedName name="BExGR6LQ97HETGS3CT96L4IK0JSH" localSheetId="19" hidden="1">#REF!</definedName>
    <definedName name="BExGR6LQ97HETGS3CT96L4IK0JSH" hidden="1">#REF!</definedName>
    <definedName name="BExGR9ATP2LVT7B9OCPSLJ11H9SX" localSheetId="8" hidden="1">#REF!</definedName>
    <definedName name="BExGR9ATP2LVT7B9OCPSLJ11H9SX" localSheetId="19" hidden="1">#REF!</definedName>
    <definedName name="BExGR9ATP2LVT7B9OCPSLJ11H9SX" hidden="1">#REF!</definedName>
    <definedName name="BExGRILCZ3BMTGDY72B1Q9BUGW0J" localSheetId="8" hidden="1">#REF!</definedName>
    <definedName name="BExGRILCZ3BMTGDY72B1Q9BUGW0J" localSheetId="19" hidden="1">#REF!</definedName>
    <definedName name="BExGRILCZ3BMTGDY72B1Q9BUGW0J" hidden="1">#REF!</definedName>
    <definedName name="BExGRNZJ74Y6OYJB9F9Y9T3CAHOS" localSheetId="8" hidden="1">#REF!</definedName>
    <definedName name="BExGRNZJ74Y6OYJB9F9Y9T3CAHOS" localSheetId="19" hidden="1">#REF!</definedName>
    <definedName name="BExGRNZJ74Y6OYJB9F9Y9T3CAHOS" hidden="1">#REF!</definedName>
    <definedName name="BExGRPC5QJQ7UGQ4P7CFWVGRQGFW" localSheetId="8" hidden="1">#REF!</definedName>
    <definedName name="BExGRPC5QJQ7UGQ4P7CFWVGRQGFW" localSheetId="19" hidden="1">#REF!</definedName>
    <definedName name="BExGRPC5QJQ7UGQ4P7CFWVGRQGFW" hidden="1">#REF!</definedName>
    <definedName name="BExGRSMULUXOBEN8G0TK90PRKQ9O" localSheetId="8" hidden="1">#REF!</definedName>
    <definedName name="BExGRSMULUXOBEN8G0TK90PRKQ9O" localSheetId="19" hidden="1">#REF!</definedName>
    <definedName name="BExGRSMULUXOBEN8G0TK90PRKQ9O" hidden="1">#REF!</definedName>
    <definedName name="BExGRUKVVKDL8483WI70VN2QZDGD" localSheetId="8" hidden="1">#REF!</definedName>
    <definedName name="BExGRUKVVKDL8483WI70VN2QZDGD" localSheetId="19" hidden="1">#REF!</definedName>
    <definedName name="BExGRUKVVKDL8483WI70VN2QZDGD" hidden="1">#REF!</definedName>
    <definedName name="BExGS2IWR5DUNJ1U9PAKIV8CMBNI" localSheetId="8" hidden="1">#REF!</definedName>
    <definedName name="BExGS2IWR5DUNJ1U9PAKIV8CMBNI" localSheetId="19" hidden="1">#REF!</definedName>
    <definedName name="BExGS2IWR5DUNJ1U9PAKIV8CMBNI" hidden="1">#REF!</definedName>
    <definedName name="BExGS69P9FFTEOPDS0MWFKF45G47" localSheetId="8" hidden="1">#REF!</definedName>
    <definedName name="BExGS69P9FFTEOPDS0MWFKF45G47" localSheetId="19" hidden="1">#REF!</definedName>
    <definedName name="BExGS69P9FFTEOPDS0MWFKF45G47" hidden="1">#REF!</definedName>
    <definedName name="BExGS6F1JFHM5MUJ1RFO50WP6D05" localSheetId="8" hidden="1">#REF!</definedName>
    <definedName name="BExGS6F1JFHM5MUJ1RFO50WP6D05" localSheetId="19" hidden="1">#REF!</definedName>
    <definedName name="BExGS6F1JFHM5MUJ1RFO50WP6D05" hidden="1">#REF!</definedName>
    <definedName name="BExGSA5YB5ZGE4NHDVCZ55TQAJTL" localSheetId="8" hidden="1">#REF!</definedName>
    <definedName name="BExGSA5YB5ZGE4NHDVCZ55TQAJTL" localSheetId="19" hidden="1">#REF!</definedName>
    <definedName name="BExGSA5YB5ZGE4NHDVCZ55TQAJTL" hidden="1">#REF!</definedName>
    <definedName name="BExGSBYPYOBOB218ABCIM2X63GJ8" localSheetId="8" hidden="1">#REF!</definedName>
    <definedName name="BExGSBYPYOBOB218ABCIM2X63GJ8" localSheetId="19" hidden="1">#REF!</definedName>
    <definedName name="BExGSBYPYOBOB218ABCIM2X63GJ8" hidden="1">#REF!</definedName>
    <definedName name="BExGSCEUCQQVDEEKWJ677QTGUVTE" localSheetId="8" hidden="1">#REF!</definedName>
    <definedName name="BExGSCEUCQQVDEEKWJ677QTGUVTE" localSheetId="19" hidden="1">#REF!</definedName>
    <definedName name="BExGSCEUCQQVDEEKWJ677QTGUVTE" hidden="1">#REF!</definedName>
    <definedName name="BExGSQY65LH1PCKKM5WHDW83F35O" localSheetId="8" hidden="1">#REF!</definedName>
    <definedName name="BExGSQY65LH1PCKKM5WHDW83F35O" localSheetId="19" hidden="1">#REF!</definedName>
    <definedName name="BExGSQY65LH1PCKKM5WHDW83F35O" hidden="1">#REF!</definedName>
    <definedName name="BExGSYW1GKISF0PMUAK3XJK9PEW9" localSheetId="8" hidden="1">#REF!</definedName>
    <definedName name="BExGSYW1GKISF0PMUAK3XJK9PEW9" localSheetId="19" hidden="1">#REF!</definedName>
    <definedName name="BExGSYW1GKISF0PMUAK3XJK9PEW9" hidden="1">#REF!</definedName>
    <definedName name="BExGT0DZJB6LSF6L693UUB9EY1VQ" localSheetId="8" hidden="1">#REF!</definedName>
    <definedName name="BExGT0DZJB6LSF6L693UUB9EY1VQ" localSheetId="19" hidden="1">#REF!</definedName>
    <definedName name="BExGT0DZJB6LSF6L693UUB9EY1VQ" hidden="1">#REF!</definedName>
    <definedName name="BExGTEMKIEF46KBIDWCAOAN5U718" localSheetId="8" hidden="1">#REF!</definedName>
    <definedName name="BExGTEMKIEF46KBIDWCAOAN5U718" localSheetId="19" hidden="1">#REF!</definedName>
    <definedName name="BExGTEMKIEF46KBIDWCAOAN5U718" hidden="1">#REF!</definedName>
    <definedName name="BExGTGVFIF8HOQXR54SK065A8M4K" localSheetId="8" hidden="1">#REF!</definedName>
    <definedName name="BExGTGVFIF8HOQXR54SK065A8M4K" localSheetId="19" hidden="1">#REF!</definedName>
    <definedName name="BExGTGVFIF8HOQXR54SK065A8M4K" hidden="1">#REF!</definedName>
    <definedName name="BExGTIYX3OWPIINOGY1E4QQYSKHP" localSheetId="8" hidden="1">#REF!</definedName>
    <definedName name="BExGTIYX3OWPIINOGY1E4QQYSKHP" localSheetId="19" hidden="1">#REF!</definedName>
    <definedName name="BExGTIYX3OWPIINOGY1E4QQYSKHP" hidden="1">#REF!</definedName>
    <definedName name="BExGTKGUN0KUU3C0RL2LK98D8MEK" localSheetId="8" hidden="1">#REF!</definedName>
    <definedName name="BExGTKGUN0KUU3C0RL2LK98D8MEK" localSheetId="19" hidden="1">#REF!</definedName>
    <definedName name="BExGTKGUN0KUU3C0RL2LK98D8MEK" hidden="1">#REF!</definedName>
    <definedName name="BExGTV3U5SZUPLTWEMEY3IIN1L4L" localSheetId="8" hidden="1">#REF!</definedName>
    <definedName name="BExGTV3U5SZUPLTWEMEY3IIN1L4L" localSheetId="19" hidden="1">#REF!</definedName>
    <definedName name="BExGTV3U5SZUPLTWEMEY3IIN1L4L" hidden="1">#REF!</definedName>
    <definedName name="BExGTZ046J7VMUG4YPKFN2K8TWB7" localSheetId="8" hidden="1">#REF!</definedName>
    <definedName name="BExGTZ046J7VMUG4YPKFN2K8TWB7" localSheetId="19" hidden="1">#REF!</definedName>
    <definedName name="BExGTZ046J7VMUG4YPKFN2K8TWB7" hidden="1">#REF!</definedName>
    <definedName name="BExGTZ04EFFQ3Z3JMM0G35JYWUK3" localSheetId="8" hidden="1">#REF!</definedName>
    <definedName name="BExGTZ04EFFQ3Z3JMM0G35JYWUK3" localSheetId="19" hidden="1">#REF!</definedName>
    <definedName name="BExGTZ04EFFQ3Z3JMM0G35JYWUK3" hidden="1">#REF!</definedName>
    <definedName name="BExGU2G9OPRZRIU9YGF6NX9FUW0J" localSheetId="8" hidden="1">#REF!</definedName>
    <definedName name="BExGU2G9OPRZRIU9YGF6NX9FUW0J" localSheetId="19" hidden="1">#REF!</definedName>
    <definedName name="BExGU2G9OPRZRIU9YGF6NX9FUW0J" hidden="1">#REF!</definedName>
    <definedName name="BExGU6HTKLRZO8UOI3DTAM5RFDBA" localSheetId="8" hidden="1">#REF!</definedName>
    <definedName name="BExGU6HTKLRZO8UOI3DTAM5RFDBA" localSheetId="19" hidden="1">#REF!</definedName>
    <definedName name="BExGU6HTKLRZO8UOI3DTAM5RFDBA" hidden="1">#REF!</definedName>
    <definedName name="BExGUDDZXFFQHAF4UZF8ZB1HO7H6" localSheetId="8" hidden="1">#REF!</definedName>
    <definedName name="BExGUDDZXFFQHAF4UZF8ZB1HO7H6" localSheetId="19" hidden="1">#REF!</definedName>
    <definedName name="BExGUDDZXFFQHAF4UZF8ZB1HO7H6" hidden="1">#REF!</definedName>
    <definedName name="BExGUI6NCRHY7EAB6SK6EPPMWFG1" localSheetId="8" hidden="1">#REF!</definedName>
    <definedName name="BExGUI6NCRHY7EAB6SK6EPPMWFG1" localSheetId="19" hidden="1">#REF!</definedName>
    <definedName name="BExGUI6NCRHY7EAB6SK6EPPMWFG1" hidden="1">#REF!</definedName>
    <definedName name="BExGUIBXBRHGM97ZX6GBA4ZDQ79C" localSheetId="8" hidden="1">#REF!</definedName>
    <definedName name="BExGUIBXBRHGM97ZX6GBA4ZDQ79C" localSheetId="19" hidden="1">#REF!</definedName>
    <definedName name="BExGUIBXBRHGM97ZX6GBA4ZDQ79C" hidden="1">#REF!</definedName>
    <definedName name="BExGUM8D91UNPCOO4TKP9FGX85TF" localSheetId="8" hidden="1">#REF!</definedName>
    <definedName name="BExGUM8D91UNPCOO4TKP9FGX85TF" localSheetId="19" hidden="1">#REF!</definedName>
    <definedName name="BExGUM8D91UNPCOO4TKP9FGX85TF" hidden="1">#REF!</definedName>
    <definedName name="BExGUMDP0WYFBZL2MCB36WWJIC04" localSheetId="8" hidden="1">#REF!</definedName>
    <definedName name="BExGUMDP0WYFBZL2MCB36WWJIC04" localSheetId="19" hidden="1">#REF!</definedName>
    <definedName name="BExGUMDP0WYFBZL2MCB36WWJIC04" hidden="1">#REF!</definedName>
    <definedName name="BExGUQF9N9FKI7S0H30WUAEB5LPD" localSheetId="8" hidden="1">#REF!</definedName>
    <definedName name="BExGUQF9N9FKI7S0H30WUAEB5LPD" localSheetId="19" hidden="1">#REF!</definedName>
    <definedName name="BExGUQF9N9FKI7S0H30WUAEB5LPD" hidden="1">#REF!</definedName>
    <definedName name="BExGUR6BA03XPBK60SQUW197GJ5X" localSheetId="8" hidden="1">#REF!</definedName>
    <definedName name="BExGUR6BA03XPBK60SQUW197GJ5X" localSheetId="19" hidden="1">#REF!</definedName>
    <definedName name="BExGUR6BA03XPBK60SQUW197GJ5X" hidden="1">#REF!</definedName>
    <definedName name="BExGUVIP60TA4B7X2PFGMBFUSKGX" localSheetId="8" hidden="1">#REF!</definedName>
    <definedName name="BExGUVIP60TA4B7X2PFGMBFUSKGX" localSheetId="19" hidden="1">#REF!</definedName>
    <definedName name="BExGUVIP60TA4B7X2PFGMBFUSKGX" hidden="1">#REF!</definedName>
    <definedName name="BExGUVTIIWAK5T0F5FD428QDO46W" localSheetId="8" hidden="1">#REF!</definedName>
    <definedName name="BExGUVTIIWAK5T0F5FD428QDO46W" localSheetId="19" hidden="1">#REF!</definedName>
    <definedName name="BExGUVTIIWAK5T0F5FD428QDO46W" hidden="1">#REF!</definedName>
    <definedName name="BExGUZKF06F209XL1IZWVJEQ82EE" localSheetId="8" hidden="1">#REF!</definedName>
    <definedName name="BExGUZKF06F209XL1IZWVJEQ82EE" localSheetId="19" hidden="1">#REF!</definedName>
    <definedName name="BExGUZKF06F209XL1IZWVJEQ82EE" hidden="1">#REF!</definedName>
    <definedName name="BExGUZPWM950OZ8P1A3N86LXK97U" localSheetId="8" hidden="1">#REF!</definedName>
    <definedName name="BExGUZPWM950OZ8P1A3N86LXK97U" localSheetId="19" hidden="1">#REF!</definedName>
    <definedName name="BExGUZPWM950OZ8P1A3N86LXK97U" hidden="1">#REF!</definedName>
    <definedName name="BExGV2EVT380QHD4AP2RL9MR8L5L" localSheetId="8" hidden="1">#REF!</definedName>
    <definedName name="BExGV2EVT380QHD4AP2RL9MR8L5L" localSheetId="19" hidden="1">#REF!</definedName>
    <definedName name="BExGV2EVT380QHD4AP2RL9MR8L5L" hidden="1">#REF!</definedName>
    <definedName name="BExGVBUSKOI7KB24K40PTXJE6MER" localSheetId="8" hidden="1">#REF!</definedName>
    <definedName name="BExGVBUSKOI7KB24K40PTXJE6MER" localSheetId="19" hidden="1">#REF!</definedName>
    <definedName name="BExGVBUSKOI7KB24K40PTXJE6MER" hidden="1">#REF!</definedName>
    <definedName name="BExGVGSQSVWTL2MNI6TT8Y92W3KA" localSheetId="8" hidden="1">#REF!</definedName>
    <definedName name="BExGVGSQSVWTL2MNI6TT8Y92W3KA" localSheetId="19" hidden="1">#REF!</definedName>
    <definedName name="BExGVGSQSVWTL2MNI6TT8Y92W3KA" hidden="1">#REF!</definedName>
    <definedName name="BExGVHP63K0GSYU17R73XGX6W2U6" localSheetId="8" hidden="1">#REF!</definedName>
    <definedName name="BExGVHP63K0GSYU17R73XGX6W2U6" localSheetId="19" hidden="1">#REF!</definedName>
    <definedName name="BExGVHP63K0GSYU17R73XGX6W2U6" hidden="1">#REF!</definedName>
    <definedName name="BExGVN3DDSLKWSP9MVJS9QMNEUIK" localSheetId="8" hidden="1">#REF!</definedName>
    <definedName name="BExGVN3DDSLKWSP9MVJS9QMNEUIK" localSheetId="19" hidden="1">#REF!</definedName>
    <definedName name="BExGVN3DDSLKWSP9MVJS9QMNEUIK" hidden="1">#REF!</definedName>
    <definedName name="BExGVUVVMLOCR9DPVUZSQ141EE4J" localSheetId="8" hidden="1">#REF!</definedName>
    <definedName name="BExGVUVVMLOCR9DPVUZSQ141EE4J" localSheetId="19" hidden="1">#REF!</definedName>
    <definedName name="BExGVUVVMLOCR9DPVUZSQ141EE4J" hidden="1">#REF!</definedName>
    <definedName name="BExGVV6OOLDQ3TXZK51TTF3YX0WN" localSheetId="8" hidden="1">#REF!</definedName>
    <definedName name="BExGVV6OOLDQ3TXZK51TTF3YX0WN" localSheetId="19" hidden="1">#REF!</definedName>
    <definedName name="BExGVV6OOLDQ3TXZK51TTF3YX0WN" hidden="1">#REF!</definedName>
    <definedName name="BExGW0KVS7U0C87XFZ78QW991IEV" localSheetId="8" hidden="1">#REF!</definedName>
    <definedName name="BExGW0KVS7U0C87XFZ78QW991IEV" localSheetId="19" hidden="1">#REF!</definedName>
    <definedName name="BExGW0KVS7U0C87XFZ78QW991IEV" hidden="1">#REF!</definedName>
    <definedName name="BExGW0Q7QHE29TGNWAWQ6GR0V6TQ" localSheetId="8" hidden="1">#REF!</definedName>
    <definedName name="BExGW0Q7QHE29TGNWAWQ6GR0V6TQ" localSheetId="19" hidden="1">#REF!</definedName>
    <definedName name="BExGW0Q7QHE29TGNWAWQ6GR0V6TQ" hidden="1">#REF!</definedName>
    <definedName name="BExGW2Z7AMPG6H9EXA9ML6EZVGGA" localSheetId="8" hidden="1">#REF!</definedName>
    <definedName name="BExGW2Z7AMPG6H9EXA9ML6EZVGGA" localSheetId="19" hidden="1">#REF!</definedName>
    <definedName name="BExGW2Z7AMPG6H9EXA9ML6EZVGGA" hidden="1">#REF!</definedName>
    <definedName name="BExGWABG5VT5XO1A196RK61AXA8C" localSheetId="8" hidden="1">#REF!</definedName>
    <definedName name="BExGWABG5VT5XO1A196RK61AXA8C" localSheetId="19" hidden="1">#REF!</definedName>
    <definedName name="BExGWABG5VT5XO1A196RK61AXA8C" hidden="1">#REF!</definedName>
    <definedName name="BExGWEO0JDG84NYLEAV5NSOAGMJZ" localSheetId="8" hidden="1">#REF!</definedName>
    <definedName name="BExGWEO0JDG84NYLEAV5NSOAGMJZ" localSheetId="19" hidden="1">#REF!</definedName>
    <definedName name="BExGWEO0JDG84NYLEAV5NSOAGMJZ" hidden="1">#REF!</definedName>
    <definedName name="BExGWLEOC70Z8QAJTPT2PDHTNM4L" localSheetId="8" hidden="1">#REF!</definedName>
    <definedName name="BExGWLEOC70Z8QAJTPT2PDHTNM4L" localSheetId="19" hidden="1">#REF!</definedName>
    <definedName name="BExGWLEOC70Z8QAJTPT2PDHTNM4L" hidden="1">#REF!</definedName>
    <definedName name="BExGWNCXLCRTLBVMTXYJ5PHQI6SS" localSheetId="8" hidden="1">#REF!</definedName>
    <definedName name="BExGWNCXLCRTLBVMTXYJ5PHQI6SS" localSheetId="19" hidden="1">#REF!</definedName>
    <definedName name="BExGWNCXLCRTLBVMTXYJ5PHQI6SS" hidden="1">#REF!</definedName>
    <definedName name="BExGX4L8N6ERT0Q4EVVNA97EGD80" localSheetId="8" hidden="1">#REF!</definedName>
    <definedName name="BExGX4L8N6ERT0Q4EVVNA97EGD80" localSheetId="19" hidden="1">#REF!</definedName>
    <definedName name="BExGX4L8N6ERT0Q4EVVNA97EGD80" hidden="1">#REF!</definedName>
    <definedName name="BExGX5MWTL78XM0QCP4NT564ML39" localSheetId="8" hidden="1">#REF!</definedName>
    <definedName name="BExGX5MWTL78XM0QCP4NT564ML39" localSheetId="19" hidden="1">#REF!</definedName>
    <definedName name="BExGX5MWTL78XM0QCP4NT564ML39" hidden="1">#REF!</definedName>
    <definedName name="BExGX6U988MCFIGDA1282F92U9AA" localSheetId="8" hidden="1">#REF!</definedName>
    <definedName name="BExGX6U988MCFIGDA1282F92U9AA" localSheetId="19" hidden="1">#REF!</definedName>
    <definedName name="BExGX6U988MCFIGDA1282F92U9AA" hidden="1">#REF!</definedName>
    <definedName name="BExGX7FTB1CKAT5HUW6H531FIY6I" localSheetId="8" hidden="1">#REF!</definedName>
    <definedName name="BExGX7FTB1CKAT5HUW6H531FIY6I" localSheetId="19" hidden="1">#REF!</definedName>
    <definedName name="BExGX7FTB1CKAT5HUW6H531FIY6I" hidden="1">#REF!</definedName>
    <definedName name="BExGX9DVACJQIZ4GH6YAD2A7F70O" localSheetId="8" hidden="1">#REF!</definedName>
    <definedName name="BExGX9DVACJQIZ4GH6YAD2A7F70O" localSheetId="19" hidden="1">#REF!</definedName>
    <definedName name="BExGX9DVACJQIZ4GH6YAD2A7F70O" hidden="1">#REF!</definedName>
    <definedName name="BExGXCZBQISQ3IMF6DJH1OXNAQP8" localSheetId="8" hidden="1">#REF!</definedName>
    <definedName name="BExGXCZBQISQ3IMF6DJH1OXNAQP8" localSheetId="19" hidden="1">#REF!</definedName>
    <definedName name="BExGXCZBQISQ3IMF6DJH1OXNAQP8" hidden="1">#REF!</definedName>
    <definedName name="BExGXDVP2S2Y8Z8Q43I78RCIK3DD" localSheetId="8" hidden="1">#REF!</definedName>
    <definedName name="BExGXDVP2S2Y8Z8Q43I78RCIK3DD" localSheetId="19" hidden="1">#REF!</definedName>
    <definedName name="BExGXDVP2S2Y8Z8Q43I78RCIK3DD" hidden="1">#REF!</definedName>
    <definedName name="BExGXJ9W5JU7TT9S0BKL5Y6VVB39" localSheetId="8" hidden="1">#REF!</definedName>
    <definedName name="BExGXJ9W5JU7TT9S0BKL5Y6VVB39" localSheetId="19" hidden="1">#REF!</definedName>
    <definedName name="BExGXJ9W5JU7TT9S0BKL5Y6VVB39" hidden="1">#REF!</definedName>
    <definedName name="BExGXWB73RJ4BASBQTQ8EY0EC1EB" localSheetId="8" hidden="1">#REF!</definedName>
    <definedName name="BExGXWB73RJ4BASBQTQ8EY0EC1EB" localSheetId="19" hidden="1">#REF!</definedName>
    <definedName name="BExGXWB73RJ4BASBQTQ8EY0EC1EB" hidden="1">#REF!</definedName>
    <definedName name="BExGXZ0ABB43C7SMRKZHWOSU9EQX" localSheetId="8" hidden="1">#REF!</definedName>
    <definedName name="BExGXZ0ABB43C7SMRKZHWOSU9EQX" localSheetId="19" hidden="1">#REF!</definedName>
    <definedName name="BExGXZ0ABB43C7SMRKZHWOSU9EQX" hidden="1">#REF!</definedName>
    <definedName name="BExGY6SU3SYVCJ3AG2ITY59SAZ5A" localSheetId="8" hidden="1">#REF!</definedName>
    <definedName name="BExGY6SU3SYVCJ3AG2ITY59SAZ5A" localSheetId="19" hidden="1">#REF!</definedName>
    <definedName name="BExGY6SU3SYVCJ3AG2ITY59SAZ5A" hidden="1">#REF!</definedName>
    <definedName name="BExGY6YA4P5KMY2VHT0DYK3YTFAX" localSheetId="8" hidden="1">#REF!</definedName>
    <definedName name="BExGY6YA4P5KMY2VHT0DYK3YTFAX" localSheetId="19" hidden="1">#REF!</definedName>
    <definedName name="BExGY6YA4P5KMY2VHT0DYK3YTFAX" hidden="1">#REF!</definedName>
    <definedName name="BExGY8G88PVVRYHPHRPJZFSX6HSC" localSheetId="8" hidden="1">#REF!</definedName>
    <definedName name="BExGY8G88PVVRYHPHRPJZFSX6HSC" localSheetId="19" hidden="1">#REF!</definedName>
    <definedName name="BExGY8G88PVVRYHPHRPJZFSX6HSC" hidden="1">#REF!</definedName>
    <definedName name="BExGYC718HTZ80PNKYPVIYGRJVF6" localSheetId="8" hidden="1">#REF!</definedName>
    <definedName name="BExGYC718HTZ80PNKYPVIYGRJVF6" localSheetId="19" hidden="1">#REF!</definedName>
    <definedName name="BExGYC718HTZ80PNKYPVIYGRJVF6" hidden="1">#REF!</definedName>
    <definedName name="BExGYCNATXZY2FID93B17YWIPPRD" localSheetId="8" hidden="1">#REF!</definedName>
    <definedName name="BExGYCNATXZY2FID93B17YWIPPRD" localSheetId="19" hidden="1">#REF!</definedName>
    <definedName name="BExGYCNATXZY2FID93B17YWIPPRD" hidden="1">#REF!</definedName>
    <definedName name="BExGYGJJJ3BBCQAOA51WHP01HN73" localSheetId="8" hidden="1">#REF!</definedName>
    <definedName name="BExGYGJJJ3BBCQAOA51WHP01HN73" localSheetId="19" hidden="1">#REF!</definedName>
    <definedName name="BExGYGJJJ3BBCQAOA51WHP01HN73" hidden="1">#REF!</definedName>
    <definedName name="BExGYOS6TV2C72PLRFU8RP1I58GY" localSheetId="8" hidden="1">#REF!</definedName>
    <definedName name="BExGYOS6TV2C72PLRFU8RP1I58GY" localSheetId="19" hidden="1">#REF!</definedName>
    <definedName name="BExGYOS6TV2C72PLRFU8RP1I58GY" hidden="1">#REF!</definedName>
    <definedName name="BExGYXBM828PX0KPDVAZBWDL6MJZ" localSheetId="8" hidden="1">#REF!</definedName>
    <definedName name="BExGYXBM828PX0KPDVAZBWDL6MJZ" localSheetId="19" hidden="1">#REF!</definedName>
    <definedName name="BExGYXBM828PX0KPDVAZBWDL6MJZ" hidden="1">#REF!</definedName>
    <definedName name="BExGZJ78ZWZCVHZ3BKEKFJZ6MAEO" localSheetId="8" hidden="1">#REF!</definedName>
    <definedName name="BExGZJ78ZWZCVHZ3BKEKFJZ6MAEO" localSheetId="19" hidden="1">#REF!</definedName>
    <definedName name="BExGZJ78ZWZCVHZ3BKEKFJZ6MAEO" hidden="1">#REF!</definedName>
    <definedName name="BExGZOLH2QV73J3M9IWDDPA62TP4" localSheetId="8" hidden="1">#REF!</definedName>
    <definedName name="BExGZOLH2QV73J3M9IWDDPA62TP4" localSheetId="19" hidden="1">#REF!</definedName>
    <definedName name="BExGZOLH2QV73J3M9IWDDPA62TP4" hidden="1">#REF!</definedName>
    <definedName name="BExGZP1PWGFKVVVN4YDIS22DZPCR" localSheetId="8" hidden="1">#REF!</definedName>
    <definedName name="BExGZP1PWGFKVVVN4YDIS22DZPCR" localSheetId="19" hidden="1">#REF!</definedName>
    <definedName name="BExGZP1PWGFKVVVN4YDIS22DZPCR" hidden="1">#REF!</definedName>
    <definedName name="BExGZQUHCPM6G5U9OM8JU339JAG6" localSheetId="8" hidden="1">#REF!</definedName>
    <definedName name="BExGZQUHCPM6G5U9OM8JU339JAG6" localSheetId="19" hidden="1">#REF!</definedName>
    <definedName name="BExGZQUHCPM6G5U9OM8JU339JAG6" hidden="1">#REF!</definedName>
    <definedName name="BExH00FQKX09BD5WU4DB5KPXAUYA" localSheetId="8" hidden="1">#REF!</definedName>
    <definedName name="BExH00FQKX09BD5WU4DB5KPXAUYA" localSheetId="19" hidden="1">#REF!</definedName>
    <definedName name="BExH00FQKX09BD5WU4DB5KPXAUYA" hidden="1">#REF!</definedName>
    <definedName name="BExH00L21GZX5YJJGVMOAWBERLP5" localSheetId="8" hidden="1">#REF!</definedName>
    <definedName name="BExH00L21GZX5YJJGVMOAWBERLP5" localSheetId="19" hidden="1">#REF!</definedName>
    <definedName name="BExH00L21GZX5YJJGVMOAWBERLP5" hidden="1">#REF!</definedName>
    <definedName name="BExH02ZD6VAY1KQLAQYBBI6WWIZB" localSheetId="8" hidden="1">#REF!</definedName>
    <definedName name="BExH02ZD6VAY1KQLAQYBBI6WWIZB" localSheetId="19" hidden="1">#REF!</definedName>
    <definedName name="BExH02ZD6VAY1KQLAQYBBI6WWIZB" hidden="1">#REF!</definedName>
    <definedName name="BExH08Z6LQCGGSGSAILMHX4X7JMD" localSheetId="8" hidden="1">#REF!</definedName>
    <definedName name="BExH08Z6LQCGGSGSAILMHX4X7JMD" localSheetId="19" hidden="1">#REF!</definedName>
    <definedName name="BExH08Z6LQCGGSGSAILMHX4X7JMD" hidden="1">#REF!</definedName>
    <definedName name="BExH0KT9Z8HEVRRQRGQ8YHXRLIJA" localSheetId="8" hidden="1">#REF!</definedName>
    <definedName name="BExH0KT9Z8HEVRRQRGQ8YHXRLIJA" localSheetId="19" hidden="1">#REF!</definedName>
    <definedName name="BExH0KT9Z8HEVRRQRGQ8YHXRLIJA" hidden="1">#REF!</definedName>
    <definedName name="BExH0M0FDN12YBOCKL3XL2Z7T7Y8" localSheetId="8" hidden="1">#REF!</definedName>
    <definedName name="BExH0M0FDN12YBOCKL3XL2Z7T7Y8" localSheetId="19" hidden="1">#REF!</definedName>
    <definedName name="BExH0M0FDN12YBOCKL3XL2Z7T7Y8" hidden="1">#REF!</definedName>
    <definedName name="BExH0O9G06YPZ5TN9RYT326I1CP2" localSheetId="8" hidden="1">#REF!</definedName>
    <definedName name="BExH0O9G06YPZ5TN9RYT326I1CP2" localSheetId="19" hidden="1">#REF!</definedName>
    <definedName name="BExH0O9G06YPZ5TN9RYT326I1CP2" hidden="1">#REF!</definedName>
    <definedName name="BExH0PGM6RG0F3AAGULBIGOH91C2" localSheetId="8" hidden="1">#REF!</definedName>
    <definedName name="BExH0PGM6RG0F3AAGULBIGOH91C2" localSheetId="19" hidden="1">#REF!</definedName>
    <definedName name="BExH0PGM6RG0F3AAGULBIGOH91C2" hidden="1">#REF!</definedName>
    <definedName name="BExH0QIB3F0YZLM5XYHBCU5F0OVR" localSheetId="8" hidden="1">#REF!</definedName>
    <definedName name="BExH0QIB3F0YZLM5XYHBCU5F0OVR" localSheetId="19" hidden="1">#REF!</definedName>
    <definedName name="BExH0QIB3F0YZLM5XYHBCU5F0OVR" hidden="1">#REF!</definedName>
    <definedName name="BExH0RK5LJAAP7O67ZFB4RG6WPPL" localSheetId="8" hidden="1">#REF!</definedName>
    <definedName name="BExH0RK5LJAAP7O67ZFB4RG6WPPL" localSheetId="19" hidden="1">#REF!</definedName>
    <definedName name="BExH0RK5LJAAP7O67ZFB4RG6WPPL" hidden="1">#REF!</definedName>
    <definedName name="BExH0WNJAKTJRCKMTX8O4KNMIIJM" localSheetId="8" hidden="1">#REF!</definedName>
    <definedName name="BExH0WNJAKTJRCKMTX8O4KNMIIJM" localSheetId="19" hidden="1">#REF!</definedName>
    <definedName name="BExH0WNJAKTJRCKMTX8O4KNMIIJM" hidden="1">#REF!</definedName>
    <definedName name="BExH12Y4WX542WI3ZEM15AK4UM9J" localSheetId="8" hidden="1">#REF!</definedName>
    <definedName name="BExH12Y4WX542WI3ZEM15AK4UM9J" localSheetId="19" hidden="1">#REF!</definedName>
    <definedName name="BExH12Y4WX542WI3ZEM15AK4UM9J" hidden="1">#REF!</definedName>
    <definedName name="BExH18CCU7B8JWO8AWGEQRLWZG6J" localSheetId="8" hidden="1">#REF!</definedName>
    <definedName name="BExH18CCU7B8JWO8AWGEQRLWZG6J" localSheetId="19" hidden="1">#REF!</definedName>
    <definedName name="BExH18CCU7B8JWO8AWGEQRLWZG6J" hidden="1">#REF!</definedName>
    <definedName name="BExH1BN2H92IQKKP5IREFSS9FBF2" localSheetId="8" hidden="1">#REF!</definedName>
    <definedName name="BExH1BN2H92IQKKP5IREFSS9FBF2" localSheetId="19" hidden="1">#REF!</definedName>
    <definedName name="BExH1BN2H92IQKKP5IREFSS9FBF2" hidden="1">#REF!</definedName>
    <definedName name="BExH1FDTQXR9QQ31WDB7OPXU7MPT" localSheetId="8" hidden="1">#REF!</definedName>
    <definedName name="BExH1FDTQXR9QQ31WDB7OPXU7MPT" localSheetId="19" hidden="1">#REF!</definedName>
    <definedName name="BExH1FDTQXR9QQ31WDB7OPXU7MPT" hidden="1">#REF!</definedName>
    <definedName name="BExH1FOMEUIJNIDJAUY0ZQFBJSY9" localSheetId="8" hidden="1">#REF!</definedName>
    <definedName name="BExH1FOMEUIJNIDJAUY0ZQFBJSY9" localSheetId="19" hidden="1">#REF!</definedName>
    <definedName name="BExH1FOMEUIJNIDJAUY0ZQFBJSY9" hidden="1">#REF!</definedName>
    <definedName name="BExH1GA6TT290OTIZ8C3N610CYZ1" localSheetId="8" hidden="1">#REF!</definedName>
    <definedName name="BExH1GA6TT290OTIZ8C3N610CYZ1" localSheetId="19" hidden="1">#REF!</definedName>
    <definedName name="BExH1GA6TT290OTIZ8C3N610CYZ1" hidden="1">#REF!</definedName>
    <definedName name="BExH1I8E3HJSZLFRZZ1ZKX7TBJEP" localSheetId="8" hidden="1">#REF!</definedName>
    <definedName name="BExH1I8E3HJSZLFRZZ1ZKX7TBJEP" localSheetId="19" hidden="1">#REF!</definedName>
    <definedName name="BExH1I8E3HJSZLFRZZ1ZKX7TBJEP" hidden="1">#REF!</definedName>
    <definedName name="BExH1JFFHEBFX9BWJMNIA3N66R3Z" localSheetId="8" hidden="1">#REF!</definedName>
    <definedName name="BExH1JFFHEBFX9BWJMNIA3N66R3Z" localSheetId="19" hidden="1">#REF!</definedName>
    <definedName name="BExH1JFFHEBFX9BWJMNIA3N66R3Z" hidden="1">#REF!</definedName>
    <definedName name="BExH1XYRKX51T571O1SRBP9J1D98" localSheetId="8" hidden="1">#REF!</definedName>
    <definedName name="BExH1XYRKX51T571O1SRBP9J1D98" localSheetId="19" hidden="1">#REF!</definedName>
    <definedName name="BExH1XYRKX51T571O1SRBP9J1D98" hidden="1">#REF!</definedName>
    <definedName name="BExH1Z0GIUSVTF2H1G1I3PDGBNK2" localSheetId="8" hidden="1">#REF!</definedName>
    <definedName name="BExH1Z0GIUSVTF2H1G1I3PDGBNK2" localSheetId="19" hidden="1">#REF!</definedName>
    <definedName name="BExH1Z0GIUSVTF2H1G1I3PDGBNK2" hidden="1">#REF!</definedName>
    <definedName name="BExH225UTM6S9FW4MUDZS7F1PQSH" localSheetId="8" hidden="1">#REF!</definedName>
    <definedName name="BExH225UTM6S9FW4MUDZS7F1PQSH" localSheetId="19" hidden="1">#REF!</definedName>
    <definedName name="BExH225UTM6S9FW4MUDZS7F1PQSH" hidden="1">#REF!</definedName>
    <definedName name="BExH23271RF7AYZ542KHQTH68GQ7" localSheetId="8" hidden="1">#REF!</definedName>
    <definedName name="BExH23271RF7AYZ542KHQTH68GQ7" localSheetId="19" hidden="1">#REF!</definedName>
    <definedName name="BExH23271RF7AYZ542KHQTH68GQ7" hidden="1">#REF!</definedName>
    <definedName name="BExH2DP58R7D1BGUFBM2FHESVRF0" localSheetId="8" hidden="1">#REF!</definedName>
    <definedName name="BExH2DP58R7D1BGUFBM2FHESVRF0" localSheetId="19" hidden="1">#REF!</definedName>
    <definedName name="BExH2DP58R7D1BGUFBM2FHESVRF0" hidden="1">#REF!</definedName>
    <definedName name="BExH2GJQR4JALNB314RY0LDI49VH" localSheetId="8" hidden="1">#REF!</definedName>
    <definedName name="BExH2GJQR4JALNB314RY0LDI49VH" localSheetId="19" hidden="1">#REF!</definedName>
    <definedName name="BExH2GJQR4JALNB314RY0LDI49VH" hidden="1">#REF!</definedName>
    <definedName name="BExH2JZR49T7644JFVE7B3N7RZM9" localSheetId="8" hidden="1">#REF!</definedName>
    <definedName name="BExH2JZR49T7644JFVE7B3N7RZM9" localSheetId="19" hidden="1">#REF!</definedName>
    <definedName name="BExH2JZR49T7644JFVE7B3N7RZM9" hidden="1">#REF!</definedName>
    <definedName name="BExH2QVWL3AXHSB9EK2GQRD0DBRH" localSheetId="8" hidden="1">#REF!</definedName>
    <definedName name="BExH2QVWL3AXHSB9EK2GQRD0DBRH" localSheetId="19" hidden="1">#REF!</definedName>
    <definedName name="BExH2QVWL3AXHSB9EK2GQRD0DBRH" hidden="1">#REF!</definedName>
    <definedName name="BExH2WKXV8X5S2GSBBTWGI0NLNAH" localSheetId="8" hidden="1">#REF!</definedName>
    <definedName name="BExH2WKXV8X5S2GSBBTWGI0NLNAH" localSheetId="19" hidden="1">#REF!</definedName>
    <definedName name="BExH2WKXV8X5S2GSBBTWGI0NLNAH" hidden="1">#REF!</definedName>
    <definedName name="BExH2XS1UFYFGU0S0EBXX90W2WE8" localSheetId="8" hidden="1">#REF!</definedName>
    <definedName name="BExH2XS1UFYFGU0S0EBXX90W2WE8" localSheetId="19" hidden="1">#REF!</definedName>
    <definedName name="BExH2XS1UFYFGU0S0EBXX90W2WE8" hidden="1">#REF!</definedName>
    <definedName name="BExH2XS1X04DMUN544K5RU4XPDCI" localSheetId="8" hidden="1">#REF!</definedName>
    <definedName name="BExH2XS1X04DMUN544K5RU4XPDCI" localSheetId="19" hidden="1">#REF!</definedName>
    <definedName name="BExH2XS1X04DMUN544K5RU4XPDCI" hidden="1">#REF!</definedName>
    <definedName name="BExH2XS2TND9SB0GC295R4FP6K5Y" localSheetId="8" hidden="1">#REF!</definedName>
    <definedName name="BExH2XS2TND9SB0GC295R4FP6K5Y" localSheetId="19" hidden="1">#REF!</definedName>
    <definedName name="BExH2XS2TND9SB0GC295R4FP6K5Y" hidden="1">#REF!</definedName>
    <definedName name="BExH2ZA0SZ4SSITL50NA8LZ3OEX6" localSheetId="8" hidden="1">#REF!</definedName>
    <definedName name="BExH2ZA0SZ4SSITL50NA8LZ3OEX6" localSheetId="19" hidden="1">#REF!</definedName>
    <definedName name="BExH2ZA0SZ4SSITL50NA8LZ3OEX6" hidden="1">#REF!</definedName>
    <definedName name="BExH31Z3JNVJPESWKXHILGXZHP2M" localSheetId="8" hidden="1">#REF!</definedName>
    <definedName name="BExH31Z3JNVJPESWKXHILGXZHP2M" localSheetId="19" hidden="1">#REF!</definedName>
    <definedName name="BExH31Z3JNVJPESWKXHILGXZHP2M" hidden="1">#REF!</definedName>
    <definedName name="BExH3E9HZ3QJCDZW7WI7YACFQCHE" localSheetId="8" hidden="1">#REF!</definedName>
    <definedName name="BExH3E9HZ3QJCDZW7WI7YACFQCHE" localSheetId="19" hidden="1">#REF!</definedName>
    <definedName name="BExH3E9HZ3QJCDZW7WI7YACFQCHE" hidden="1">#REF!</definedName>
    <definedName name="BExH3IRB6764RQ5HBYRLH6XCT29X" localSheetId="8" hidden="1">#REF!</definedName>
    <definedName name="BExH3IRB6764RQ5HBYRLH6XCT29X" localSheetId="19" hidden="1">#REF!</definedName>
    <definedName name="BExH3IRB6764RQ5HBYRLH6XCT29X" hidden="1">#REF!</definedName>
    <definedName name="BExIG2U8V6RSB47SXLCQG3Q68YRO" localSheetId="8" hidden="1">#REF!</definedName>
    <definedName name="BExIG2U8V6RSB47SXLCQG3Q68YRO" localSheetId="19" hidden="1">#REF!</definedName>
    <definedName name="BExIG2U8V6RSB47SXLCQG3Q68YRO" hidden="1">#REF!</definedName>
    <definedName name="BExIGJBO8R13LV7CZ7C1YCP974NN" localSheetId="8" hidden="1">#REF!</definedName>
    <definedName name="BExIGJBO8R13LV7CZ7C1YCP974NN" localSheetId="19" hidden="1">#REF!</definedName>
    <definedName name="BExIGJBO8R13LV7CZ7C1YCP974NN" hidden="1">#REF!</definedName>
    <definedName name="BExIGWT86FPOEYTI8GXCGU5Y3KGK" localSheetId="8" hidden="1">#REF!</definedName>
    <definedName name="BExIGWT86FPOEYTI8GXCGU5Y3KGK" localSheetId="19" hidden="1">#REF!</definedName>
    <definedName name="BExIGWT86FPOEYTI8GXCGU5Y3KGK" hidden="1">#REF!</definedName>
    <definedName name="BExIHBHXA7E7VUTBVHXXXCH3A5CL" localSheetId="8" hidden="1">#REF!</definedName>
    <definedName name="BExIHBHXA7E7VUTBVHXXXCH3A5CL" localSheetId="19" hidden="1">#REF!</definedName>
    <definedName name="BExIHBHXA7E7VUTBVHXXXCH3A5CL" hidden="1">#REF!</definedName>
    <definedName name="BExIHBSOGRSH1GKS6GKBRAJ7GXFQ" localSheetId="8" hidden="1">#REF!</definedName>
    <definedName name="BExIHBSOGRSH1GKS6GKBRAJ7GXFQ" localSheetId="19" hidden="1">#REF!</definedName>
    <definedName name="BExIHBSOGRSH1GKS6GKBRAJ7GXFQ" hidden="1">#REF!</definedName>
    <definedName name="BExIHDFY73YM0AHAR2Z5OJTFKSL2" localSheetId="8" hidden="1">#REF!</definedName>
    <definedName name="BExIHDFY73YM0AHAR2Z5OJTFKSL2" localSheetId="19" hidden="1">#REF!</definedName>
    <definedName name="BExIHDFY73YM0AHAR2Z5OJTFKSL2" hidden="1">#REF!</definedName>
    <definedName name="BExIHPQCQTGEW8QOJVIQ4VX0P6DX" localSheetId="8" hidden="1">#REF!</definedName>
    <definedName name="BExIHPQCQTGEW8QOJVIQ4VX0P6DX" localSheetId="19" hidden="1">#REF!</definedName>
    <definedName name="BExIHPQCQTGEW8QOJVIQ4VX0P6DX" hidden="1">#REF!</definedName>
    <definedName name="BExII1KN91Q7DLW0UB7W2TJ5ACT9" localSheetId="8" hidden="1">#REF!</definedName>
    <definedName name="BExII1KN91Q7DLW0UB7W2TJ5ACT9" localSheetId="19" hidden="1">#REF!</definedName>
    <definedName name="BExII1KN91Q7DLW0UB7W2TJ5ACT9" hidden="1">#REF!</definedName>
    <definedName name="BExII50LI8I0CDOOZEMIVHVA2V95" localSheetId="8" hidden="1">#REF!</definedName>
    <definedName name="BExII50LI8I0CDOOZEMIVHVA2V95" localSheetId="19" hidden="1">#REF!</definedName>
    <definedName name="BExII50LI8I0CDOOZEMIVHVA2V95" hidden="1">#REF!</definedName>
    <definedName name="BExIINQWABWRGYDT02DOJQ5L7BQF" localSheetId="8" hidden="1">#REF!</definedName>
    <definedName name="BExIINQWABWRGYDT02DOJQ5L7BQF" localSheetId="19" hidden="1">#REF!</definedName>
    <definedName name="BExIINQWABWRGYDT02DOJQ5L7BQF" hidden="1">#REF!</definedName>
    <definedName name="BExIIXMY38TQD12CVV4S57L3I809" localSheetId="8" hidden="1">#REF!</definedName>
    <definedName name="BExIIXMY38TQD12CVV4S57L3I809" localSheetId="19" hidden="1">#REF!</definedName>
    <definedName name="BExIIXMY38TQD12CVV4S57L3I809" hidden="1">#REF!</definedName>
    <definedName name="BExIIY37NEVU2LGS1JE4VR9AN6W4" localSheetId="8" hidden="1">#REF!</definedName>
    <definedName name="BExIIY37NEVU2LGS1JE4VR9AN6W4" localSheetId="19" hidden="1">#REF!</definedName>
    <definedName name="BExIIY37NEVU2LGS1JE4VR9AN6W4" hidden="1">#REF!</definedName>
    <definedName name="BExIIYJAGXR8TPZ1KCYM7EGJ79UW" localSheetId="8" hidden="1">#REF!</definedName>
    <definedName name="BExIIYJAGXR8TPZ1KCYM7EGJ79UW" localSheetId="19" hidden="1">#REF!</definedName>
    <definedName name="BExIIYJAGXR8TPZ1KCYM7EGJ79UW" hidden="1">#REF!</definedName>
    <definedName name="BExIJ3160YCWGAVEU0208ZGXXG3P" localSheetId="8" hidden="1">#REF!</definedName>
    <definedName name="BExIJ3160YCWGAVEU0208ZGXXG3P" localSheetId="19" hidden="1">#REF!</definedName>
    <definedName name="BExIJ3160YCWGAVEU0208ZGXXG3P" hidden="1">#REF!</definedName>
    <definedName name="BExIJFGZJ5ED9D6KAY4PGQYLELAX" localSheetId="8" hidden="1">#REF!</definedName>
    <definedName name="BExIJFGZJ5ED9D6KAY4PGQYLELAX" localSheetId="19" hidden="1">#REF!</definedName>
    <definedName name="BExIJFGZJ5ED9D6KAY4PGQYLELAX" hidden="1">#REF!</definedName>
    <definedName name="BExIJQK80ZEKSTV62E59AYJYUNLI" localSheetId="8" hidden="1">#REF!</definedName>
    <definedName name="BExIJQK80ZEKSTV62E59AYJYUNLI" localSheetId="19" hidden="1">#REF!</definedName>
    <definedName name="BExIJQK80ZEKSTV62E59AYJYUNLI" hidden="1">#REF!</definedName>
    <definedName name="BExIJRLX3M0YQLU1D5Y9V7HM5QNM" localSheetId="8" hidden="1">#REF!</definedName>
    <definedName name="BExIJRLX3M0YQLU1D5Y9V7HM5QNM" localSheetId="19" hidden="1">#REF!</definedName>
    <definedName name="BExIJRLX3M0YQLU1D5Y9V7HM5QNM" hidden="1">#REF!</definedName>
    <definedName name="BExIJV22J0QA7286KNPMHO1ZUCB3" localSheetId="8" hidden="1">#REF!</definedName>
    <definedName name="BExIJV22J0QA7286KNPMHO1ZUCB3" localSheetId="19" hidden="1">#REF!</definedName>
    <definedName name="BExIJV22J0QA7286KNPMHO1ZUCB3" hidden="1">#REF!</definedName>
    <definedName name="BExIJVI6OC7B6ZE9V4PAOYZXKNER" localSheetId="8" hidden="1">#REF!</definedName>
    <definedName name="BExIJVI6OC7B6ZE9V4PAOYZXKNER" localSheetId="19" hidden="1">#REF!</definedName>
    <definedName name="BExIJVI6OC7B6ZE9V4PAOYZXKNER" hidden="1">#REF!</definedName>
    <definedName name="BExIJWK0NGTGQ4X7D5VIVXD14JHI" localSheetId="8" hidden="1">#REF!</definedName>
    <definedName name="BExIJWK0NGTGQ4X7D5VIVXD14JHI" localSheetId="19" hidden="1">#REF!</definedName>
    <definedName name="BExIJWK0NGTGQ4X7D5VIVXD14JHI" hidden="1">#REF!</definedName>
    <definedName name="BExIJWPCIYINEJUTXU74VK7WG031" localSheetId="8" hidden="1">#REF!</definedName>
    <definedName name="BExIJWPCIYINEJUTXU74VK7WG031" localSheetId="19" hidden="1">#REF!</definedName>
    <definedName name="BExIJWPCIYINEJUTXU74VK7WG031" hidden="1">#REF!</definedName>
    <definedName name="BExIKHTXPZR5A8OHB6HDP6QWDHAD" localSheetId="8" hidden="1">#REF!</definedName>
    <definedName name="BExIKHTXPZR5A8OHB6HDP6QWDHAD" localSheetId="19" hidden="1">#REF!</definedName>
    <definedName name="BExIKHTXPZR5A8OHB6HDP6QWDHAD" hidden="1">#REF!</definedName>
    <definedName name="BExIKMMJOETSAXJYY1SIKM58LMA2" localSheetId="8" hidden="1">#REF!</definedName>
    <definedName name="BExIKMMJOETSAXJYY1SIKM58LMA2" localSheetId="19" hidden="1">#REF!</definedName>
    <definedName name="BExIKMMJOETSAXJYY1SIKM58LMA2" hidden="1">#REF!</definedName>
    <definedName name="BExIKRF6AQ6VOO9KCIWSM6FY8M7D" localSheetId="8" hidden="1">#REF!</definedName>
    <definedName name="BExIKRF6AQ6VOO9KCIWSM6FY8M7D" localSheetId="19" hidden="1">#REF!</definedName>
    <definedName name="BExIKRF6AQ6VOO9KCIWSM6FY8M7D" hidden="1">#REF!</definedName>
    <definedName name="BExIKTYZESFT3LC0ASFMFKSE0D1X" localSheetId="8" hidden="1">#REF!</definedName>
    <definedName name="BExIKTYZESFT3LC0ASFMFKSE0D1X" localSheetId="19" hidden="1">#REF!</definedName>
    <definedName name="BExIKTYZESFT3LC0ASFMFKSE0D1X" hidden="1">#REF!</definedName>
    <definedName name="BExIKXVA6M8K0PTRYAGXS666L335" localSheetId="8" hidden="1">#REF!</definedName>
    <definedName name="BExIKXVA6M8K0PTRYAGXS666L335" localSheetId="19" hidden="1">#REF!</definedName>
    <definedName name="BExIKXVA6M8K0PTRYAGXS666L335" hidden="1">#REF!</definedName>
    <definedName name="BExIL0PMZ2SXK9R6MLP43KBU1J2P" localSheetId="8" hidden="1">#REF!</definedName>
    <definedName name="BExIL0PMZ2SXK9R6MLP43KBU1J2P" localSheetId="19" hidden="1">#REF!</definedName>
    <definedName name="BExIL0PMZ2SXK9R6MLP43KBU1J2P" hidden="1">#REF!</definedName>
    <definedName name="BExIL1WSMNNQQK98YHWHV5HVONIZ" localSheetId="8" hidden="1">#REF!</definedName>
    <definedName name="BExIL1WSMNNQQK98YHWHV5HVONIZ" localSheetId="19" hidden="1">#REF!</definedName>
    <definedName name="BExIL1WSMNNQQK98YHWHV5HVONIZ" hidden="1">#REF!</definedName>
    <definedName name="BExILAAXRTRAD18K74M6MGUEEPUM" localSheetId="8" hidden="1">#REF!</definedName>
    <definedName name="BExILAAXRTRAD18K74M6MGUEEPUM" localSheetId="19" hidden="1">#REF!</definedName>
    <definedName name="BExILAAXRTRAD18K74M6MGUEEPUM" hidden="1">#REF!</definedName>
    <definedName name="BExILG5F338C0FFLMVOKMKF8X5ZP" localSheetId="8" hidden="1">#REF!</definedName>
    <definedName name="BExILG5F338C0FFLMVOKMKF8X5ZP" localSheetId="19" hidden="1">#REF!</definedName>
    <definedName name="BExILG5F338C0FFLMVOKMKF8X5ZP" hidden="1">#REF!</definedName>
    <definedName name="BExILGQTQM0HOD0BJI90YO7GOIN3" localSheetId="8" hidden="1">#REF!</definedName>
    <definedName name="BExILGQTQM0HOD0BJI90YO7GOIN3" localSheetId="19" hidden="1">#REF!</definedName>
    <definedName name="BExILGQTQM0HOD0BJI90YO7GOIN3" hidden="1">#REF!</definedName>
    <definedName name="BExILPL7P2BNCD7MYCGTQ9F0R5JX" localSheetId="8" hidden="1">#REF!</definedName>
    <definedName name="BExILPL7P2BNCD7MYCGTQ9F0R5JX" localSheetId="19" hidden="1">#REF!</definedName>
    <definedName name="BExILPL7P2BNCD7MYCGTQ9F0R5JX" hidden="1">#REF!</definedName>
    <definedName name="BExILVVS4B1B4G7IO0LPUDWY9K8W" localSheetId="8" hidden="1">#REF!</definedName>
    <definedName name="BExILVVS4B1B4G7IO0LPUDWY9K8W" localSheetId="19" hidden="1">#REF!</definedName>
    <definedName name="BExILVVS4B1B4G7IO0LPUDWY9K8W" hidden="1">#REF!</definedName>
    <definedName name="BExIM9DBUB7ZGF4B20FVUO9QGOX2" localSheetId="8" hidden="1">#REF!</definedName>
    <definedName name="BExIM9DBUB7ZGF4B20FVUO9QGOX2" localSheetId="19" hidden="1">#REF!</definedName>
    <definedName name="BExIM9DBUB7ZGF4B20FVUO9QGOX2" hidden="1">#REF!</definedName>
    <definedName name="BExIMCTBZ4WAESGCDWJ64SB4F0L1" localSheetId="8" hidden="1">#REF!</definedName>
    <definedName name="BExIMCTBZ4WAESGCDWJ64SB4F0L1" localSheetId="19" hidden="1">#REF!</definedName>
    <definedName name="BExIMCTBZ4WAESGCDWJ64SB4F0L1" hidden="1">#REF!</definedName>
    <definedName name="BExIMGK9Z94TFPWWZFMD10HV0IF6" localSheetId="8" hidden="1">#REF!</definedName>
    <definedName name="BExIMGK9Z94TFPWWZFMD10HV0IF6" localSheetId="19" hidden="1">#REF!</definedName>
    <definedName name="BExIMGK9Z94TFPWWZFMD10HV0IF6" hidden="1">#REF!</definedName>
    <definedName name="BExIMPEGKG18TELVC33T4OQTNBWC" localSheetId="8" hidden="1">#REF!</definedName>
    <definedName name="BExIMPEGKG18TELVC33T4OQTNBWC" localSheetId="19" hidden="1">#REF!</definedName>
    <definedName name="BExIMPEGKG18TELVC33T4OQTNBWC" hidden="1">#REF!</definedName>
    <definedName name="BExIN4OR435DL1US13JQPOQK8GD5" localSheetId="8" hidden="1">#REF!</definedName>
    <definedName name="BExIN4OR435DL1US13JQPOQK8GD5" localSheetId="19" hidden="1">#REF!</definedName>
    <definedName name="BExIN4OR435DL1US13JQPOQK8GD5" hidden="1">#REF!</definedName>
    <definedName name="BExINI6A7H3KSFRFA6UBBDPKW37F" localSheetId="8" hidden="1">#REF!</definedName>
    <definedName name="BExINI6A7H3KSFRFA6UBBDPKW37F" localSheetId="19" hidden="1">#REF!</definedName>
    <definedName name="BExINI6A7H3KSFRFA6UBBDPKW37F" hidden="1">#REF!</definedName>
    <definedName name="BExINIMK8XC3JOBT2EXYFHHH52H0" localSheetId="8" hidden="1">#REF!</definedName>
    <definedName name="BExINIMK8XC3JOBT2EXYFHHH52H0" localSheetId="19" hidden="1">#REF!</definedName>
    <definedName name="BExINIMK8XC3JOBT2EXYFHHH52H0" hidden="1">#REF!</definedName>
    <definedName name="BExINLX401ZKEGWU168DS4JUM2J6" localSheetId="8" hidden="1">#REF!</definedName>
    <definedName name="BExINLX401ZKEGWU168DS4JUM2J6" localSheetId="19" hidden="1">#REF!</definedName>
    <definedName name="BExINLX401ZKEGWU168DS4JUM2J6" hidden="1">#REF!</definedName>
    <definedName name="BExINMYYJO1FTV1CZF6O5XCFAMQX" localSheetId="8" hidden="1">#REF!</definedName>
    <definedName name="BExINMYYJO1FTV1CZF6O5XCFAMQX" localSheetId="19" hidden="1">#REF!</definedName>
    <definedName name="BExINMYYJO1FTV1CZF6O5XCFAMQX" hidden="1">#REF!</definedName>
    <definedName name="BExINP2H4KI05FRFV5PKZFE00HKO" localSheetId="8" hidden="1">#REF!</definedName>
    <definedName name="BExINP2H4KI05FRFV5PKZFE00HKO" localSheetId="19" hidden="1">#REF!</definedName>
    <definedName name="BExINP2H4KI05FRFV5PKZFE00HKO" hidden="1">#REF!</definedName>
    <definedName name="BExINPTCEJ9RPDEBJEJH80NATGUQ" localSheetId="8" hidden="1">#REF!</definedName>
    <definedName name="BExINPTCEJ9RPDEBJEJH80NATGUQ" localSheetId="19" hidden="1">#REF!</definedName>
    <definedName name="BExINPTCEJ9RPDEBJEJH80NATGUQ" hidden="1">#REF!</definedName>
    <definedName name="BExINWEQMNJ70A6JRXC2LACBX1GX" localSheetId="8" hidden="1">#REF!</definedName>
    <definedName name="BExINWEQMNJ70A6JRXC2LACBX1GX" localSheetId="19" hidden="1">#REF!</definedName>
    <definedName name="BExINWEQMNJ70A6JRXC2LACBX1GX" hidden="1">#REF!</definedName>
    <definedName name="BExINZELVWYGU876QUUZCIMXPBQC" localSheetId="8" hidden="1">#REF!</definedName>
    <definedName name="BExINZELVWYGU876QUUZCIMXPBQC" localSheetId="19" hidden="1">#REF!</definedName>
    <definedName name="BExINZELVWYGU876QUUZCIMXPBQC" hidden="1">#REF!</definedName>
    <definedName name="BExIO9QZ59ZHRA8SX6QICH2AY8A2" localSheetId="8" hidden="1">#REF!</definedName>
    <definedName name="BExIO9QZ59ZHRA8SX6QICH2AY8A2" localSheetId="19" hidden="1">#REF!</definedName>
    <definedName name="BExIO9QZ59ZHRA8SX6QICH2AY8A2" hidden="1">#REF!</definedName>
    <definedName name="BExIOAHV525SMMGFDJFE7456JPBD" localSheetId="8" hidden="1">#REF!</definedName>
    <definedName name="BExIOAHV525SMMGFDJFE7456JPBD" localSheetId="19" hidden="1">#REF!</definedName>
    <definedName name="BExIOAHV525SMMGFDJFE7456JPBD" hidden="1">#REF!</definedName>
    <definedName name="BExIOCQUQHKUU1KONGSDOLQTQEIC" localSheetId="8" hidden="1">#REF!</definedName>
    <definedName name="BExIOCQUQHKUU1KONGSDOLQTQEIC" localSheetId="19" hidden="1">#REF!</definedName>
    <definedName name="BExIOCQUQHKUU1KONGSDOLQTQEIC" hidden="1">#REF!</definedName>
    <definedName name="BExIOFAGCDQQKALMX3V0KU94KUQO" localSheetId="8" hidden="1">#REF!</definedName>
    <definedName name="BExIOFAGCDQQKALMX3V0KU94KUQO" localSheetId="19" hidden="1">#REF!</definedName>
    <definedName name="BExIOFAGCDQQKALMX3V0KU94KUQO" hidden="1">#REF!</definedName>
    <definedName name="BExIOFL8Y5O61VLKTB4H20IJNWS1" localSheetId="8" hidden="1">#REF!</definedName>
    <definedName name="BExIOFL8Y5O61VLKTB4H20IJNWS1" localSheetId="19" hidden="1">#REF!</definedName>
    <definedName name="BExIOFL8Y5O61VLKTB4H20IJNWS1" hidden="1">#REF!</definedName>
    <definedName name="BExIOMBXRW5NS4ZPYX9G5QREZ5J6" localSheetId="8" hidden="1">#REF!</definedName>
    <definedName name="BExIOMBXRW5NS4ZPYX9G5QREZ5J6" localSheetId="19" hidden="1">#REF!</definedName>
    <definedName name="BExIOMBXRW5NS4ZPYX9G5QREZ5J6" hidden="1">#REF!</definedName>
    <definedName name="BExIORA3GK78T7C7SNBJJUONJ0LS" localSheetId="8" hidden="1">#REF!</definedName>
    <definedName name="BExIORA3GK78T7C7SNBJJUONJ0LS" localSheetId="19" hidden="1">#REF!</definedName>
    <definedName name="BExIORA3GK78T7C7SNBJJUONJ0LS" hidden="1">#REF!</definedName>
    <definedName name="BExIORFDXP4AVIEBLSTZ8ETSXMNM" localSheetId="8" hidden="1">#REF!</definedName>
    <definedName name="BExIORFDXP4AVIEBLSTZ8ETSXMNM" localSheetId="19" hidden="1">#REF!</definedName>
    <definedName name="BExIORFDXP4AVIEBLSTZ8ETSXMNM" hidden="1">#REF!</definedName>
    <definedName name="BExIOTZ5EFZ2NASVQ05RH15HRSW6" localSheetId="8" hidden="1">#REF!</definedName>
    <definedName name="BExIOTZ5EFZ2NASVQ05RH15HRSW6" localSheetId="19" hidden="1">#REF!</definedName>
    <definedName name="BExIOTZ5EFZ2NASVQ05RH15HRSW6" hidden="1">#REF!</definedName>
    <definedName name="BExIP8YNN6UUE1GZ223SWH7DLGKO" localSheetId="8" hidden="1">#REF!</definedName>
    <definedName name="BExIP8YNN6UUE1GZ223SWH7DLGKO" localSheetId="19" hidden="1">#REF!</definedName>
    <definedName name="BExIP8YNN6UUE1GZ223SWH7DLGKO" hidden="1">#REF!</definedName>
    <definedName name="BExIPAB4AOL592OJCC1CFAXTLF1A" localSheetId="8" hidden="1">#REF!</definedName>
    <definedName name="BExIPAB4AOL592OJCC1CFAXTLF1A" localSheetId="19" hidden="1">#REF!</definedName>
    <definedName name="BExIPAB4AOL592OJCC1CFAXTLF1A" hidden="1">#REF!</definedName>
    <definedName name="BExIPB25DKX4S2ZCKQN7KWSC3JBF" localSheetId="8" hidden="1">#REF!</definedName>
    <definedName name="BExIPB25DKX4S2ZCKQN7KWSC3JBF" localSheetId="19" hidden="1">#REF!</definedName>
    <definedName name="BExIPB25DKX4S2ZCKQN7KWSC3JBF" hidden="1">#REF!</definedName>
    <definedName name="BExIPCUX4I4S2N50TLMMLALYLH9S" localSheetId="8" hidden="1">#REF!</definedName>
    <definedName name="BExIPCUX4I4S2N50TLMMLALYLH9S" localSheetId="19" hidden="1">#REF!</definedName>
    <definedName name="BExIPCUX4I4S2N50TLMMLALYLH9S" hidden="1">#REF!</definedName>
    <definedName name="BExIPDLT8JYAMGE5HTN4D1YHZF3V" localSheetId="8" hidden="1">#REF!</definedName>
    <definedName name="BExIPDLT8JYAMGE5HTN4D1YHZF3V" localSheetId="19" hidden="1">#REF!</definedName>
    <definedName name="BExIPDLT8JYAMGE5HTN4D1YHZF3V" hidden="1">#REF!</definedName>
    <definedName name="BExIPG040Q08EWIWL6CAVR3GRI43" localSheetId="8" hidden="1">#REF!</definedName>
    <definedName name="BExIPG040Q08EWIWL6CAVR3GRI43" localSheetId="19" hidden="1">#REF!</definedName>
    <definedName name="BExIPG040Q08EWIWL6CAVR3GRI43" hidden="1">#REF!</definedName>
    <definedName name="BExIPKNFUDPDKOSH5GHDVNA8D66S" localSheetId="8" hidden="1">#REF!</definedName>
    <definedName name="BExIPKNFUDPDKOSH5GHDVNA8D66S" localSheetId="19" hidden="1">#REF!</definedName>
    <definedName name="BExIPKNFUDPDKOSH5GHDVNA8D66S" hidden="1">#REF!</definedName>
    <definedName name="BExIPVL5VEVK9Q7AYB7EC2VZWBEZ" localSheetId="8" hidden="1">#REF!</definedName>
    <definedName name="BExIPVL5VEVK9Q7AYB7EC2VZWBEZ" localSheetId="19" hidden="1">#REF!</definedName>
    <definedName name="BExIPVL5VEVK9Q7AYB7EC2VZWBEZ" hidden="1">#REF!</definedName>
    <definedName name="BExIQ1VS9A2FHVD9TUHKG9K8EVVP" localSheetId="8" hidden="1">#REF!</definedName>
    <definedName name="BExIQ1VS9A2FHVD9TUHKG9K8EVVP" localSheetId="19" hidden="1">#REF!</definedName>
    <definedName name="BExIQ1VS9A2FHVD9TUHKG9K8EVVP" hidden="1">#REF!</definedName>
    <definedName name="BExIQ3J19L30PSQ2CXNT6IHW0I7V" localSheetId="8" hidden="1">#REF!</definedName>
    <definedName name="BExIQ3J19L30PSQ2CXNT6IHW0I7V" localSheetId="19" hidden="1">#REF!</definedName>
    <definedName name="BExIQ3J19L30PSQ2CXNT6IHW0I7V" hidden="1">#REF!</definedName>
    <definedName name="BExIQ3OJ7M04XCY276IO0LJA5XUK" localSheetId="8" hidden="1">#REF!</definedName>
    <definedName name="BExIQ3OJ7M04XCY276IO0LJA5XUK" localSheetId="19" hidden="1">#REF!</definedName>
    <definedName name="BExIQ3OJ7M04XCY276IO0LJA5XUK" hidden="1">#REF!</definedName>
    <definedName name="BExIQ5S19ITB0NDRUN4XV7B905ED" localSheetId="8" hidden="1">#REF!</definedName>
    <definedName name="BExIQ5S19ITB0NDRUN4XV7B905ED" localSheetId="19" hidden="1">#REF!</definedName>
    <definedName name="BExIQ5S19ITB0NDRUN4XV7B905ED" hidden="1">#REF!</definedName>
    <definedName name="BExIQ810MMN2UN0EQ9CRQAFWA19X" localSheetId="8" hidden="1">#REF!</definedName>
    <definedName name="BExIQ810MMN2UN0EQ9CRQAFWA19X" localSheetId="19" hidden="1">#REF!</definedName>
    <definedName name="BExIQ810MMN2UN0EQ9CRQAFWA19X" hidden="1">#REF!</definedName>
    <definedName name="BExIQ9TMQT2EIXSVQW7GVSOAW2VJ" localSheetId="8" hidden="1">#REF!</definedName>
    <definedName name="BExIQ9TMQT2EIXSVQW7GVSOAW2VJ" localSheetId="19" hidden="1">#REF!</definedName>
    <definedName name="BExIQ9TMQT2EIXSVQW7GVSOAW2VJ" hidden="1">#REF!</definedName>
    <definedName name="BExIQBMDE1L6J4H27K1FMSHQKDSE" localSheetId="8" hidden="1">#REF!</definedName>
    <definedName name="BExIQBMDE1L6J4H27K1FMSHQKDSE" localSheetId="19" hidden="1">#REF!</definedName>
    <definedName name="BExIQBMDE1L6J4H27K1FMSHQKDSE" hidden="1">#REF!</definedName>
    <definedName name="BExIQE65LVXUOF3UZFO7SDHFJH22" localSheetId="8" hidden="1">#REF!</definedName>
    <definedName name="BExIQE65LVXUOF3UZFO7SDHFJH22" localSheetId="19" hidden="1">#REF!</definedName>
    <definedName name="BExIQE65LVXUOF3UZFO7SDHFJH22" hidden="1">#REF!</definedName>
    <definedName name="BExIQG9OO2KKBOWTMD1OXY36TEGA" localSheetId="8" hidden="1">#REF!</definedName>
    <definedName name="BExIQG9OO2KKBOWTMD1OXY36TEGA" localSheetId="19" hidden="1">#REF!</definedName>
    <definedName name="BExIQG9OO2KKBOWTMD1OXY36TEGA" hidden="1">#REF!</definedName>
    <definedName name="BExIQHWZ65ALA9VAFCJEGIL1145G" localSheetId="8" hidden="1">#REF!</definedName>
    <definedName name="BExIQHWZ65ALA9VAFCJEGIL1145G" localSheetId="19" hidden="1">#REF!</definedName>
    <definedName name="BExIQHWZ65ALA9VAFCJEGIL1145G" hidden="1">#REF!</definedName>
    <definedName name="BExIQX1XBB31HZTYEEVOBSE3C5A6" localSheetId="8" hidden="1">#REF!</definedName>
    <definedName name="BExIQX1XBB31HZTYEEVOBSE3C5A6" localSheetId="19" hidden="1">#REF!</definedName>
    <definedName name="BExIQX1XBB31HZTYEEVOBSE3C5A6" hidden="1">#REF!</definedName>
    <definedName name="BExIR2ALYRP9FW99DK2084J7IIDC" localSheetId="8" hidden="1">#REF!</definedName>
    <definedName name="BExIR2ALYRP9FW99DK2084J7IIDC" localSheetId="19" hidden="1">#REF!</definedName>
    <definedName name="BExIR2ALYRP9FW99DK2084J7IIDC" hidden="1">#REF!</definedName>
    <definedName name="BExIR8FQETPTQYW37DBVDWG3J4JW" localSheetId="8" hidden="1">#REF!</definedName>
    <definedName name="BExIR8FQETPTQYW37DBVDWG3J4JW" localSheetId="19" hidden="1">#REF!</definedName>
    <definedName name="BExIR8FQETPTQYW37DBVDWG3J4JW" hidden="1">#REF!</definedName>
    <definedName name="BExIRHKWQB1PP4ZLB0C3AVUBAFMD" localSheetId="8" hidden="1">#REF!</definedName>
    <definedName name="BExIRHKWQB1PP4ZLB0C3AVUBAFMD" localSheetId="19" hidden="1">#REF!</definedName>
    <definedName name="BExIRHKWQB1PP4ZLB0C3AVUBAFMD" hidden="1">#REF!</definedName>
    <definedName name="BExIRJTRJPQR3OTAGAV7JTA4VMPS" localSheetId="8" hidden="1">#REF!</definedName>
    <definedName name="BExIRJTRJPQR3OTAGAV7JTA4VMPS" localSheetId="19" hidden="1">#REF!</definedName>
    <definedName name="BExIRJTRJPQR3OTAGAV7JTA4VMPS" hidden="1">#REF!</definedName>
    <definedName name="BExIROH27RJOG6VI7ZHR0RZGAZZ4" localSheetId="8" hidden="1">#REF!</definedName>
    <definedName name="BExIROH27RJOG6VI7ZHR0RZGAZZ4" localSheetId="19" hidden="1">#REF!</definedName>
    <definedName name="BExIROH27RJOG6VI7ZHR0RZGAZZ4" hidden="1">#REF!</definedName>
    <definedName name="BExIRRBGTY01OQOI3U5SW59RFDFI" localSheetId="8" hidden="1">#REF!</definedName>
    <definedName name="BExIRRBGTY01OQOI3U5SW59RFDFI" localSheetId="19" hidden="1">#REF!</definedName>
    <definedName name="BExIRRBGTY01OQOI3U5SW59RFDFI" hidden="1">#REF!</definedName>
    <definedName name="BExIS4T0DRF57HYO7OGG72KBOFOI" localSheetId="8" hidden="1">#REF!</definedName>
    <definedName name="BExIS4T0DRF57HYO7OGG72KBOFOI" localSheetId="19" hidden="1">#REF!</definedName>
    <definedName name="BExIS4T0DRF57HYO7OGG72KBOFOI" hidden="1">#REF!</definedName>
    <definedName name="BExIS77BJDDK18PGI9DSEYZPIL7P" localSheetId="8" hidden="1">#REF!</definedName>
    <definedName name="BExIS77BJDDK18PGI9DSEYZPIL7P" localSheetId="19" hidden="1">#REF!</definedName>
    <definedName name="BExIS77BJDDK18PGI9DSEYZPIL7P" hidden="1">#REF!</definedName>
    <definedName name="BExIS8USL1T3Z97CZ30HJ98E2GXQ" localSheetId="8" hidden="1">#REF!</definedName>
    <definedName name="BExIS8USL1T3Z97CZ30HJ98E2GXQ" localSheetId="19" hidden="1">#REF!</definedName>
    <definedName name="BExIS8USL1T3Z97CZ30HJ98E2GXQ" hidden="1">#REF!</definedName>
    <definedName name="BExISC5B700MZUBFTQ9K4IKTF7HR" localSheetId="8" hidden="1">#REF!</definedName>
    <definedName name="BExISC5B700MZUBFTQ9K4IKTF7HR" localSheetId="19" hidden="1">#REF!</definedName>
    <definedName name="BExISC5B700MZUBFTQ9K4IKTF7HR" hidden="1">#REF!</definedName>
    <definedName name="BExISDHXS49S1H56ENBPRF1NLD5C" localSheetId="8" hidden="1">#REF!</definedName>
    <definedName name="BExISDHXS49S1H56ENBPRF1NLD5C" localSheetId="19" hidden="1">#REF!</definedName>
    <definedName name="BExISDHXS49S1H56ENBPRF1NLD5C" hidden="1">#REF!</definedName>
    <definedName name="BExISM1JLV54A21A164IURMPGUMU" localSheetId="8" hidden="1">#REF!</definedName>
    <definedName name="BExISM1JLV54A21A164IURMPGUMU" localSheetId="19" hidden="1">#REF!</definedName>
    <definedName name="BExISM1JLV54A21A164IURMPGUMU" hidden="1">#REF!</definedName>
    <definedName name="BExISRFKJYUZ4AKW44IJF7RF9Y90" localSheetId="8" hidden="1">#REF!</definedName>
    <definedName name="BExISRFKJYUZ4AKW44IJF7RF9Y90" localSheetId="19" hidden="1">#REF!</definedName>
    <definedName name="BExISRFKJYUZ4AKW44IJF7RF9Y90" hidden="1">#REF!</definedName>
    <definedName name="BExISSMVV57JAUB6CSGBMBFVNGWK" localSheetId="8" hidden="1">#REF!</definedName>
    <definedName name="BExISSMVV57JAUB6CSGBMBFVNGWK" localSheetId="19" hidden="1">#REF!</definedName>
    <definedName name="BExISSMVV57JAUB6CSGBMBFVNGWK" hidden="1">#REF!</definedName>
    <definedName name="BExIT16AD4HCD0WQCCA72AKLQHK1" localSheetId="8" hidden="1">#REF!</definedName>
    <definedName name="BExIT16AD4HCD0WQCCA72AKLQHK1" localSheetId="19" hidden="1">#REF!</definedName>
    <definedName name="BExIT16AD4HCD0WQCCA72AKLQHK1" hidden="1">#REF!</definedName>
    <definedName name="BExIT1MK8TBAK3SNP36A8FKDQSOK" localSheetId="8" hidden="1">#REF!</definedName>
    <definedName name="BExIT1MK8TBAK3SNP36A8FKDQSOK" localSheetId="19" hidden="1">#REF!</definedName>
    <definedName name="BExIT1MK8TBAK3SNP36A8FKDQSOK" hidden="1">#REF!</definedName>
    <definedName name="BExIT9PPVL7XGGIZS7G6QI6L7H9U" localSheetId="8" hidden="1">#REF!</definedName>
    <definedName name="BExIT9PPVL7XGGIZS7G6QI6L7H9U" localSheetId="19" hidden="1">#REF!</definedName>
    <definedName name="BExIT9PPVL7XGGIZS7G6QI6L7H9U" hidden="1">#REF!</definedName>
    <definedName name="BExITBNYANV2S8KD56GOGCKW393R" localSheetId="8" hidden="1">#REF!</definedName>
    <definedName name="BExITBNYANV2S8KD56GOGCKW393R" localSheetId="19" hidden="1">#REF!</definedName>
    <definedName name="BExITBNYANV2S8KD56GOGCKW393R" hidden="1">#REF!</definedName>
    <definedName name="BExITGB4FVAV0LE88D7JMX7FBYXI" localSheetId="8" hidden="1">#REF!</definedName>
    <definedName name="BExITGB4FVAV0LE88D7JMX7FBYXI" localSheetId="19" hidden="1">#REF!</definedName>
    <definedName name="BExITGB4FVAV0LE88D7JMX7FBYXI" hidden="1">#REF!</definedName>
    <definedName name="BExITI3TQ14K842P38QF0PNWSWNO" localSheetId="8" hidden="1">#REF!</definedName>
    <definedName name="BExITI3TQ14K842P38QF0PNWSWNO" localSheetId="19" hidden="1">#REF!</definedName>
    <definedName name="BExITI3TQ14K842P38QF0PNWSWNO" hidden="1">#REF!</definedName>
    <definedName name="BExIU9OGER4TPMETACWUEP1UENK0" localSheetId="8" hidden="1">#REF!</definedName>
    <definedName name="BExIU9OGER4TPMETACWUEP1UENK0" localSheetId="19" hidden="1">#REF!</definedName>
    <definedName name="BExIU9OGER4TPMETACWUEP1UENK0" hidden="1">#REF!</definedName>
    <definedName name="BExIUD4OJGH65NFNQ4VMCE3R4J1X" localSheetId="8" hidden="1">#REF!</definedName>
    <definedName name="BExIUD4OJGH65NFNQ4VMCE3R4J1X" localSheetId="19" hidden="1">#REF!</definedName>
    <definedName name="BExIUD4OJGH65NFNQ4VMCE3R4J1X" hidden="1">#REF!</definedName>
    <definedName name="BExIUQM0XWNNW3MJD26EOVIT7FSU" localSheetId="8" hidden="1">#REF!</definedName>
    <definedName name="BExIUQM0XWNNW3MJD26EOVIT7FSU" localSheetId="19" hidden="1">#REF!</definedName>
    <definedName name="BExIUQM0XWNNW3MJD26EOVIT7FSU" hidden="1">#REF!</definedName>
    <definedName name="BExIUTB5OAAXYW0OFMP0PS40SPOB" localSheetId="8" hidden="1">#REF!</definedName>
    <definedName name="BExIUTB5OAAXYW0OFMP0PS40SPOB" localSheetId="19" hidden="1">#REF!</definedName>
    <definedName name="BExIUTB5OAAXYW0OFMP0PS40SPOB" hidden="1">#REF!</definedName>
    <definedName name="BExIUUT2MHIOV6R3WHA0DPM1KBKY" localSheetId="8" hidden="1">#REF!</definedName>
    <definedName name="BExIUUT2MHIOV6R3WHA0DPM1KBKY" localSheetId="19" hidden="1">#REF!</definedName>
    <definedName name="BExIUUT2MHIOV6R3WHA0DPM1KBKY" hidden="1">#REF!</definedName>
    <definedName name="BExIUYPDT1AM6MWGWQS646PIZIWC" localSheetId="8" hidden="1">#REF!</definedName>
    <definedName name="BExIUYPDT1AM6MWGWQS646PIZIWC" localSheetId="19" hidden="1">#REF!</definedName>
    <definedName name="BExIUYPDT1AM6MWGWQS646PIZIWC" hidden="1">#REF!</definedName>
    <definedName name="BExIV0I2O9F8D1UK1SI8AEYR6U0A" localSheetId="8" hidden="1">#REF!</definedName>
    <definedName name="BExIV0I2O9F8D1UK1SI8AEYR6U0A" localSheetId="19" hidden="1">#REF!</definedName>
    <definedName name="BExIV0I2O9F8D1UK1SI8AEYR6U0A" hidden="1">#REF!</definedName>
    <definedName name="BExIV2LM38XPLRTWT0R44TMQ59E5" localSheetId="8" hidden="1">#REF!</definedName>
    <definedName name="BExIV2LM38XPLRTWT0R44TMQ59E5" localSheetId="19" hidden="1">#REF!</definedName>
    <definedName name="BExIV2LM38XPLRTWT0R44TMQ59E5" hidden="1">#REF!</definedName>
    <definedName name="BExIV3HY4S0YRV1F7XEMF2YHAR2I" localSheetId="8" hidden="1">#REF!</definedName>
    <definedName name="BExIV3HY4S0YRV1F7XEMF2YHAR2I" localSheetId="19" hidden="1">#REF!</definedName>
    <definedName name="BExIV3HY4S0YRV1F7XEMF2YHAR2I" hidden="1">#REF!</definedName>
    <definedName name="BExIV6HUZFRIFLXW2SICKGTAH1PV" localSheetId="8" hidden="1">#REF!</definedName>
    <definedName name="BExIV6HUZFRIFLXW2SICKGTAH1PV" localSheetId="19" hidden="1">#REF!</definedName>
    <definedName name="BExIV6HUZFRIFLXW2SICKGTAH1PV" hidden="1">#REF!</definedName>
    <definedName name="BExIVCXWL6H5LD9DHDIA4F5U9TQL" localSheetId="8" hidden="1">#REF!</definedName>
    <definedName name="BExIVCXWL6H5LD9DHDIA4F5U9TQL" localSheetId="19" hidden="1">#REF!</definedName>
    <definedName name="BExIVCXWL6H5LD9DHDIA4F5U9TQL" hidden="1">#REF!</definedName>
    <definedName name="BExIVEVYJ7KL8QNR5ZTOSD11I5A6" localSheetId="8" hidden="1">#REF!</definedName>
    <definedName name="BExIVEVYJ7KL8QNR5ZTOSD11I5A6" localSheetId="19" hidden="1">#REF!</definedName>
    <definedName name="BExIVEVYJ7KL8QNR5ZTOSD11I5A6" hidden="1">#REF!</definedName>
    <definedName name="BExIVJ30S9U8MA1TUBRND8DGF96D" localSheetId="8" hidden="1">#REF!</definedName>
    <definedName name="BExIVJ30S9U8MA1TUBRND8DGF96D" localSheetId="19" hidden="1">#REF!</definedName>
    <definedName name="BExIVJ30S9U8MA1TUBRND8DGF96D" hidden="1">#REF!</definedName>
    <definedName name="BExIVMOIPSEWSIHIDDLOXESQ28A0" localSheetId="8" hidden="1">#REF!</definedName>
    <definedName name="BExIVMOIPSEWSIHIDDLOXESQ28A0" localSheetId="19" hidden="1">#REF!</definedName>
    <definedName name="BExIVMOIPSEWSIHIDDLOXESQ28A0" hidden="1">#REF!</definedName>
    <definedName name="BExIVNVNJX9BYDLC88NG09YF5XQ6" localSheetId="8" hidden="1">#REF!</definedName>
    <definedName name="BExIVNVNJX9BYDLC88NG09YF5XQ6" localSheetId="19" hidden="1">#REF!</definedName>
    <definedName name="BExIVNVNJX9BYDLC88NG09YF5XQ6" hidden="1">#REF!</definedName>
    <definedName name="BExIVQVKLMGSRYT1LFZH0KUIA4OR" localSheetId="8" hidden="1">#REF!</definedName>
    <definedName name="BExIVQVKLMGSRYT1LFZH0KUIA4OR" localSheetId="19" hidden="1">#REF!</definedName>
    <definedName name="BExIVQVKLMGSRYT1LFZH0KUIA4OR" hidden="1">#REF!</definedName>
    <definedName name="BExIVYTFI35KNR2XSA6N8OJYUTUR" localSheetId="8" hidden="1">#REF!</definedName>
    <definedName name="BExIVYTFI35KNR2XSA6N8OJYUTUR" localSheetId="19" hidden="1">#REF!</definedName>
    <definedName name="BExIVYTFI35KNR2XSA6N8OJYUTUR" hidden="1">#REF!</definedName>
    <definedName name="BExIVZF05SNB8DE7VLQOFG9S41HS" localSheetId="8" hidden="1">#REF!</definedName>
    <definedName name="BExIVZF05SNB8DE7VLQOFG9S41HS" localSheetId="19" hidden="1">#REF!</definedName>
    <definedName name="BExIVZF05SNB8DE7VLQOFG9S41HS" hidden="1">#REF!</definedName>
    <definedName name="BExIWB3SY3WRIVIOF988DNNODBOA" localSheetId="8" hidden="1">#REF!</definedName>
    <definedName name="BExIWB3SY3WRIVIOF988DNNODBOA" localSheetId="19" hidden="1">#REF!</definedName>
    <definedName name="BExIWB3SY3WRIVIOF988DNNODBOA" hidden="1">#REF!</definedName>
    <definedName name="BExIWB99CG0H52LRD6QWPN4L6DV2" localSheetId="8" hidden="1">#REF!</definedName>
    <definedName name="BExIWB99CG0H52LRD6QWPN4L6DV2" localSheetId="19" hidden="1">#REF!</definedName>
    <definedName name="BExIWB99CG0H52LRD6QWPN4L6DV2" hidden="1">#REF!</definedName>
    <definedName name="BExIWG1W7XP9DFYYSZAIOSHM0QLQ" localSheetId="8" hidden="1">#REF!</definedName>
    <definedName name="BExIWG1W7XP9DFYYSZAIOSHM0QLQ" localSheetId="19" hidden="1">#REF!</definedName>
    <definedName name="BExIWG1W7XP9DFYYSZAIOSHM0QLQ" hidden="1">#REF!</definedName>
    <definedName name="BExIWH3KUK94B7833DD4TB0Y6KP9" localSheetId="8" hidden="1">#REF!</definedName>
    <definedName name="BExIWH3KUK94B7833DD4TB0Y6KP9" localSheetId="19" hidden="1">#REF!</definedName>
    <definedName name="BExIWH3KUK94B7833DD4TB0Y6KP9" hidden="1">#REF!</definedName>
    <definedName name="BExIWHZXYAALPLS8CSHZHJ82LBOH" localSheetId="8" hidden="1">#REF!</definedName>
    <definedName name="BExIWHZXYAALPLS8CSHZHJ82LBOH" localSheetId="19" hidden="1">#REF!</definedName>
    <definedName name="BExIWHZXYAALPLS8CSHZHJ82LBOH" hidden="1">#REF!</definedName>
    <definedName name="BExIWJY6FHR6KOO0P8U4IZ7VD42D" localSheetId="8" hidden="1">#REF!</definedName>
    <definedName name="BExIWJY6FHR6KOO0P8U4IZ7VD42D" localSheetId="19" hidden="1">#REF!</definedName>
    <definedName name="BExIWJY6FHR6KOO0P8U4IZ7VD42D" hidden="1">#REF!</definedName>
    <definedName name="BExIWKE9MGIDWORBI43AWTUNYFAN" localSheetId="8" hidden="1">#REF!</definedName>
    <definedName name="BExIWKE9MGIDWORBI43AWTUNYFAN" localSheetId="19" hidden="1">#REF!</definedName>
    <definedName name="BExIWKE9MGIDWORBI43AWTUNYFAN" hidden="1">#REF!</definedName>
    <definedName name="BExIWPHOYLSNGZKVD3RRKOEALEUG" localSheetId="8" hidden="1">#REF!</definedName>
    <definedName name="BExIWPHOYLSNGZKVD3RRKOEALEUG" localSheetId="19" hidden="1">#REF!</definedName>
    <definedName name="BExIWPHOYLSNGZKVD3RRKOEALEUG" hidden="1">#REF!</definedName>
    <definedName name="BExIWSHLD1QIZPL5ARLXOJ9Y2CAA" localSheetId="8" hidden="1">#REF!</definedName>
    <definedName name="BExIWSHLD1QIZPL5ARLXOJ9Y2CAA" localSheetId="19" hidden="1">#REF!</definedName>
    <definedName name="BExIWSHLD1QIZPL5ARLXOJ9Y2CAA" hidden="1">#REF!</definedName>
    <definedName name="BExIX34PM5DBTRHRQWP6PL6WIX88" localSheetId="8" hidden="1">#REF!</definedName>
    <definedName name="BExIX34PM5DBTRHRQWP6PL6WIX88" localSheetId="19" hidden="1">#REF!</definedName>
    <definedName name="BExIX34PM5DBTRHRQWP6PL6WIX88" hidden="1">#REF!</definedName>
    <definedName name="BExIX5OAP9KSUE5SIZCW9P39Q4WE" localSheetId="8" hidden="1">#REF!</definedName>
    <definedName name="BExIX5OAP9KSUE5SIZCW9P39Q4WE" localSheetId="19" hidden="1">#REF!</definedName>
    <definedName name="BExIX5OAP9KSUE5SIZCW9P39Q4WE" hidden="1">#REF!</definedName>
    <definedName name="BExIXGRJPVJMUDGSG7IHPXPNO69B" localSheetId="8" hidden="1">#REF!</definedName>
    <definedName name="BExIXGRJPVJMUDGSG7IHPXPNO69B" localSheetId="19" hidden="1">#REF!</definedName>
    <definedName name="BExIXGRJPVJMUDGSG7IHPXPNO69B" hidden="1">#REF!</definedName>
    <definedName name="BExIXGWVQ9WOO0NCJLXAU4PJPOPM" localSheetId="8" hidden="1">#REF!</definedName>
    <definedName name="BExIXGWVQ9WOO0NCJLXAU4PJPOPM" localSheetId="19" hidden="1">#REF!</definedName>
    <definedName name="BExIXGWVQ9WOO0NCJLXAU4PJPOPM" hidden="1">#REF!</definedName>
    <definedName name="BExIXLK6SEOTUWQVNLCH4SAKTVGQ" localSheetId="8" hidden="1">#REF!</definedName>
    <definedName name="BExIXLK6SEOTUWQVNLCH4SAKTVGQ" localSheetId="19" hidden="1">#REF!</definedName>
    <definedName name="BExIXLK6SEOTUWQVNLCH4SAKTVGQ" hidden="1">#REF!</definedName>
    <definedName name="BExIXM5R87ZL3FHALWZXYCPHGX3E" localSheetId="8" hidden="1">#REF!</definedName>
    <definedName name="BExIXM5R87ZL3FHALWZXYCPHGX3E" localSheetId="19" hidden="1">#REF!</definedName>
    <definedName name="BExIXM5R87ZL3FHALWZXYCPHGX3E" hidden="1">#REF!</definedName>
    <definedName name="BExIXN24YK8MIB3OZ905DHU9CDH1" localSheetId="8" hidden="1">#REF!</definedName>
    <definedName name="BExIXN24YK8MIB3OZ905DHU9CDH1" localSheetId="19" hidden="1">#REF!</definedName>
    <definedName name="BExIXN24YK8MIB3OZ905DHU9CDH1" hidden="1">#REF!</definedName>
    <definedName name="BExIXS036ZCKT2Z8XZKLZ8PFWQGL" localSheetId="8" hidden="1">#REF!</definedName>
    <definedName name="BExIXS036ZCKT2Z8XZKLZ8PFWQGL" localSheetId="19" hidden="1">#REF!</definedName>
    <definedName name="BExIXS036ZCKT2Z8XZKLZ8PFWQGL" hidden="1">#REF!</definedName>
    <definedName name="BExIXY5CF9PFM0P40AZ4U51TMWV0" localSheetId="8" hidden="1">#REF!</definedName>
    <definedName name="BExIXY5CF9PFM0P40AZ4U51TMWV0" localSheetId="19" hidden="1">#REF!</definedName>
    <definedName name="BExIXY5CF9PFM0P40AZ4U51TMWV0" hidden="1">#REF!</definedName>
    <definedName name="BExIYEXJBK8JDWIRSVV4RJSKZVV1" localSheetId="8" hidden="1">#REF!</definedName>
    <definedName name="BExIYEXJBK8JDWIRSVV4RJSKZVV1" localSheetId="19" hidden="1">#REF!</definedName>
    <definedName name="BExIYEXJBK8JDWIRSVV4RJSKZVV1" hidden="1">#REF!</definedName>
    <definedName name="BExIYFJ59KLIPRTGIHX9X07UVGT3" localSheetId="8" hidden="1">#REF!</definedName>
    <definedName name="BExIYFJ59KLIPRTGIHX9X07UVGT3" localSheetId="19" hidden="1">#REF!</definedName>
    <definedName name="BExIYFJ59KLIPRTGIHX9X07UVGT3" hidden="1">#REF!</definedName>
    <definedName name="BExIYHH7GZO6BU3DC4GRLH3FD3ZS" localSheetId="8" hidden="1">#REF!</definedName>
    <definedName name="BExIYHH7GZO6BU3DC4GRLH3FD3ZS" localSheetId="19" hidden="1">#REF!</definedName>
    <definedName name="BExIYHH7GZO6BU3DC4GRLH3FD3ZS" hidden="1">#REF!</definedName>
    <definedName name="BExIYHMPBTD67ZNUL9O76FZQHYPT" localSheetId="8" hidden="1">#REF!</definedName>
    <definedName name="BExIYHMPBTD67ZNUL9O76FZQHYPT" localSheetId="19" hidden="1">#REF!</definedName>
    <definedName name="BExIYHMPBTD67ZNUL9O76FZQHYPT" hidden="1">#REF!</definedName>
    <definedName name="BExIYI2RH0K4225XO970K2IQ1E79" localSheetId="8" hidden="1">#REF!</definedName>
    <definedName name="BExIYI2RH0K4225XO970K2IQ1E79" localSheetId="19" hidden="1">#REF!</definedName>
    <definedName name="BExIYI2RH0K4225XO970K2IQ1E79" hidden="1">#REF!</definedName>
    <definedName name="BExIYMPZ0KS2KOJFQAUQJ77L7701" localSheetId="8" hidden="1">#REF!</definedName>
    <definedName name="BExIYMPZ0KS2KOJFQAUQJ77L7701" localSheetId="19" hidden="1">#REF!</definedName>
    <definedName name="BExIYMPZ0KS2KOJFQAUQJ77L7701" hidden="1">#REF!</definedName>
    <definedName name="BExIYP9Q6FV9T0R9G3UDKLS4TTYX" localSheetId="8" hidden="1">#REF!</definedName>
    <definedName name="BExIYP9Q6FV9T0R9G3UDKLS4TTYX" localSheetId="19" hidden="1">#REF!</definedName>
    <definedName name="BExIYP9Q6FV9T0R9G3UDKLS4TTYX" hidden="1">#REF!</definedName>
    <definedName name="BExIYZGLDQ1TN7BIIN4RLDP31GIM" localSheetId="8" hidden="1">#REF!</definedName>
    <definedName name="BExIYZGLDQ1TN7BIIN4RLDP31GIM" localSheetId="19" hidden="1">#REF!</definedName>
    <definedName name="BExIYZGLDQ1TN7BIIN4RLDP31GIM" hidden="1">#REF!</definedName>
    <definedName name="BExIZ4K0EZJK6PW3L8SVKTJFSWW9" localSheetId="8" hidden="1">#REF!</definedName>
    <definedName name="BExIZ4K0EZJK6PW3L8SVKTJFSWW9" localSheetId="19" hidden="1">#REF!</definedName>
    <definedName name="BExIZ4K0EZJK6PW3L8SVKTJFSWW9" hidden="1">#REF!</definedName>
    <definedName name="BExIZAECOEZGBAO29QMV14E6XDIV" localSheetId="8" hidden="1">#REF!</definedName>
    <definedName name="BExIZAECOEZGBAO29QMV14E6XDIV" localSheetId="19" hidden="1">#REF!</definedName>
    <definedName name="BExIZAECOEZGBAO29QMV14E6XDIV" hidden="1">#REF!</definedName>
    <definedName name="BExIZHQR3N1546MQS83ZJ8I6SPZ3" localSheetId="8" hidden="1">#REF!</definedName>
    <definedName name="BExIZHQR3N1546MQS83ZJ8I6SPZ3" localSheetId="19" hidden="1">#REF!</definedName>
    <definedName name="BExIZHQR3N1546MQS83ZJ8I6SPZ3" hidden="1">#REF!</definedName>
    <definedName name="BExIZKVXYD5O2JBU81F2UFJZLLSI" localSheetId="8" hidden="1">#REF!</definedName>
    <definedName name="BExIZKVXYD5O2JBU81F2UFJZLLSI" localSheetId="19" hidden="1">#REF!</definedName>
    <definedName name="BExIZKVXYD5O2JBU81F2UFJZLLSI" hidden="1">#REF!</definedName>
    <definedName name="BExIZPZDHC8HGER83WHCZAHOX7LK" localSheetId="8" hidden="1">#REF!</definedName>
    <definedName name="BExIZPZDHC8HGER83WHCZAHOX7LK" localSheetId="19" hidden="1">#REF!</definedName>
    <definedName name="BExIZPZDHC8HGER83WHCZAHOX7LK" hidden="1">#REF!</definedName>
    <definedName name="BExIZQA5XCS39QKXMYR1MH2ZIGPS" localSheetId="8" hidden="1">#REF!</definedName>
    <definedName name="BExIZQA5XCS39QKXMYR1MH2ZIGPS" localSheetId="19" hidden="1">#REF!</definedName>
    <definedName name="BExIZQA5XCS39QKXMYR1MH2ZIGPS" hidden="1">#REF!</definedName>
    <definedName name="BExIZVDLRUNAL32D9KO9X7Y4PB3O" localSheetId="8" hidden="1">#REF!</definedName>
    <definedName name="BExIZVDLRUNAL32D9KO9X7Y4PB3O" localSheetId="19" hidden="1">#REF!</definedName>
    <definedName name="BExIZVDLRUNAL32D9KO9X7Y4PB3O" hidden="1">#REF!</definedName>
    <definedName name="BExIZY2PUZ0OF9YKK1B13IW0VS6G" localSheetId="8" hidden="1">#REF!</definedName>
    <definedName name="BExIZY2PUZ0OF9YKK1B13IW0VS6G" localSheetId="19" hidden="1">#REF!</definedName>
    <definedName name="BExIZY2PUZ0OF9YKK1B13IW0VS6G" hidden="1">#REF!</definedName>
    <definedName name="BExJ08KBRR2XMWW3VZMPSQKXHZUH" localSheetId="8" hidden="1">#REF!</definedName>
    <definedName name="BExJ08KBRR2XMWW3VZMPSQKXHZUH" localSheetId="19" hidden="1">#REF!</definedName>
    <definedName name="BExJ08KBRR2XMWW3VZMPSQKXHZUH" hidden="1">#REF!</definedName>
    <definedName name="BExJ0DYJWXGE7DA39PYL3WM05U9O" localSheetId="8" hidden="1">#REF!</definedName>
    <definedName name="BExJ0DYJWXGE7DA39PYL3WM05U9O" localSheetId="19" hidden="1">#REF!</definedName>
    <definedName name="BExJ0DYJWXGE7DA39PYL3WM05U9O" hidden="1">#REF!</definedName>
    <definedName name="BExJ0JYDEZPM2303TRBXOZ74M7N6" localSheetId="8" hidden="1">#REF!</definedName>
    <definedName name="BExJ0JYDEZPM2303TRBXOZ74M7N6" localSheetId="19" hidden="1">#REF!</definedName>
    <definedName name="BExJ0JYDEZPM2303TRBXOZ74M7N6" hidden="1">#REF!</definedName>
    <definedName name="BExJ0MY8SY5J5V50H3UKE78ODTVB" localSheetId="8" hidden="1">#REF!</definedName>
    <definedName name="BExJ0MY8SY5J5V50H3UKE78ODTVB" localSheetId="19" hidden="1">#REF!</definedName>
    <definedName name="BExJ0MY8SY5J5V50H3UKE78ODTVB" hidden="1">#REF!</definedName>
    <definedName name="BExJ0YC98G37ML4N8FLP8D95EFRF" localSheetId="8" hidden="1">#REF!</definedName>
    <definedName name="BExJ0YC98G37ML4N8FLP8D95EFRF" localSheetId="19" hidden="1">#REF!</definedName>
    <definedName name="BExJ0YC98G37ML4N8FLP8D95EFRF" hidden="1">#REF!</definedName>
    <definedName name="BExKCDYKAEV45AFXHVHZZ62E5BM3" localSheetId="8" hidden="1">#REF!</definedName>
    <definedName name="BExKCDYKAEV45AFXHVHZZ62E5BM3" localSheetId="19" hidden="1">#REF!</definedName>
    <definedName name="BExKCDYKAEV45AFXHVHZZ62E5BM3" hidden="1">#REF!</definedName>
    <definedName name="BExKCYXU0W2VQVDI3N3N37K2598P" localSheetId="8" hidden="1">#REF!</definedName>
    <definedName name="BExKCYXU0W2VQVDI3N3N37K2598P" localSheetId="19" hidden="1">#REF!</definedName>
    <definedName name="BExKCYXU0W2VQVDI3N3N37K2598P" hidden="1">#REF!</definedName>
    <definedName name="BExKDJX3Z1TS0WFDD9EAO42JHL9G" localSheetId="8" hidden="1">#REF!</definedName>
    <definedName name="BExKDJX3Z1TS0WFDD9EAO42JHL9G" localSheetId="19" hidden="1">#REF!</definedName>
    <definedName name="BExKDJX3Z1TS0WFDD9EAO42JHL9G" hidden="1">#REF!</definedName>
    <definedName name="BExKDK7WVA5I2WBACAZHAHN35D0I" localSheetId="8" hidden="1">#REF!</definedName>
    <definedName name="BExKDK7WVA5I2WBACAZHAHN35D0I" localSheetId="19" hidden="1">#REF!</definedName>
    <definedName name="BExKDK7WVA5I2WBACAZHAHN35D0I" hidden="1">#REF!</definedName>
    <definedName name="BExKDKO0W4AGQO1V7K6Q4VM750FT" localSheetId="8" hidden="1">#REF!</definedName>
    <definedName name="BExKDKO0W4AGQO1V7K6Q4VM750FT" localSheetId="19" hidden="1">#REF!</definedName>
    <definedName name="BExKDKO0W4AGQO1V7K6Q4VM750FT" hidden="1">#REF!</definedName>
    <definedName name="BExKDLF10G7W77J87QWH3ZGLUCLW" localSheetId="8" hidden="1">#REF!</definedName>
    <definedName name="BExKDLF10G7W77J87QWH3ZGLUCLW" localSheetId="19" hidden="1">#REF!</definedName>
    <definedName name="BExKDLF10G7W77J87QWH3ZGLUCLW" hidden="1">#REF!</definedName>
    <definedName name="BExKE2NDBQ14HOJH945N4W9ZZFJO" localSheetId="8" hidden="1">#REF!</definedName>
    <definedName name="BExKE2NDBQ14HOJH945N4W9ZZFJO" localSheetId="19" hidden="1">#REF!</definedName>
    <definedName name="BExKE2NDBQ14HOJH945N4W9ZZFJO" hidden="1">#REF!</definedName>
    <definedName name="BExKEFE0I3MT6ZLC4T1L9465HKTN" localSheetId="8" hidden="1">#REF!</definedName>
    <definedName name="BExKEFE0I3MT6ZLC4T1L9465HKTN" localSheetId="19" hidden="1">#REF!</definedName>
    <definedName name="BExKEFE0I3MT6ZLC4T1L9465HKTN" hidden="1">#REF!</definedName>
    <definedName name="BExKEK6O5BVJP4VY02FY7JNAZ6BT" localSheetId="8" hidden="1">#REF!</definedName>
    <definedName name="BExKEK6O5BVJP4VY02FY7JNAZ6BT" localSheetId="19" hidden="1">#REF!</definedName>
    <definedName name="BExKEK6O5BVJP4VY02FY7JNAZ6BT" hidden="1">#REF!</definedName>
    <definedName name="BExKEKXK6E6QX339ELPXDIRZSJE0" localSheetId="8" hidden="1">#REF!</definedName>
    <definedName name="BExKEKXK6E6QX339ELPXDIRZSJE0" localSheetId="19" hidden="1">#REF!</definedName>
    <definedName name="BExKEKXK6E6QX339ELPXDIRZSJE0" hidden="1">#REF!</definedName>
    <definedName name="BExKEMFI35R0D4WN4A59V9QH7I5S" localSheetId="8" hidden="1">#REF!</definedName>
    <definedName name="BExKEMFI35R0D4WN4A59V9QH7I5S" localSheetId="19" hidden="1">#REF!</definedName>
    <definedName name="BExKEMFI35R0D4WN4A59V9QH7I5S" hidden="1">#REF!</definedName>
    <definedName name="BExKEOOIBMP7N8033EY2CJYCBX6H" localSheetId="8" hidden="1">#REF!</definedName>
    <definedName name="BExKEOOIBMP7N8033EY2CJYCBX6H" localSheetId="19" hidden="1">#REF!</definedName>
    <definedName name="BExKEOOIBMP7N8033EY2CJYCBX6H" hidden="1">#REF!</definedName>
    <definedName name="BExKEW0RR5LA3VC46A2BEOOMQE56" localSheetId="8" hidden="1">#REF!</definedName>
    <definedName name="BExKEW0RR5LA3VC46A2BEOOMQE56" localSheetId="19" hidden="1">#REF!</definedName>
    <definedName name="BExKEW0RR5LA3VC46A2BEOOMQE56" hidden="1">#REF!</definedName>
    <definedName name="BExKF37PTJB4PE1PUQWG20ASBX4E" localSheetId="8" hidden="1">#REF!</definedName>
    <definedName name="BExKF37PTJB4PE1PUQWG20ASBX4E" localSheetId="19" hidden="1">#REF!</definedName>
    <definedName name="BExKF37PTJB4PE1PUQWG20ASBX4E" hidden="1">#REF!</definedName>
    <definedName name="BExKFA3VI1CZK21SM0N3LZWT9LA1" localSheetId="8" hidden="1">#REF!</definedName>
    <definedName name="BExKFA3VI1CZK21SM0N3LZWT9LA1" localSheetId="19" hidden="1">#REF!</definedName>
    <definedName name="BExKFA3VI1CZK21SM0N3LZWT9LA1" hidden="1">#REF!</definedName>
    <definedName name="BExKFBB29XXT9A2LVUXYSIVKPWGB" localSheetId="8" hidden="1">#REF!</definedName>
    <definedName name="BExKFBB29XXT9A2LVUXYSIVKPWGB" localSheetId="19" hidden="1">#REF!</definedName>
    <definedName name="BExKFBB29XXT9A2LVUXYSIVKPWGB" hidden="1">#REF!</definedName>
    <definedName name="BExKFINBFV5J2NFRCL4YUO3YF0ZE" localSheetId="8" hidden="1">#REF!</definedName>
    <definedName name="BExKFINBFV5J2NFRCL4YUO3YF0ZE" localSheetId="19" hidden="1">#REF!</definedName>
    <definedName name="BExKFINBFV5J2NFRCL4YUO3YF0ZE" hidden="1">#REF!</definedName>
    <definedName name="BExKFISRBFACTAMJSALEYMY66F6X" localSheetId="8" hidden="1">#REF!</definedName>
    <definedName name="BExKFISRBFACTAMJSALEYMY66F6X" localSheetId="19" hidden="1">#REF!</definedName>
    <definedName name="BExKFISRBFACTAMJSALEYMY66F6X" hidden="1">#REF!</definedName>
    <definedName name="BExKFOSK5DJ151C4E8544UWMYTOC" localSheetId="8" hidden="1">#REF!</definedName>
    <definedName name="BExKFOSK5DJ151C4E8544UWMYTOC" localSheetId="19" hidden="1">#REF!</definedName>
    <definedName name="BExKFOSK5DJ151C4E8544UWMYTOC" hidden="1">#REF!</definedName>
    <definedName name="BExKFWL3DE1V1VOVHAFYBE85QUB7" localSheetId="8" hidden="1">#REF!</definedName>
    <definedName name="BExKFWL3DE1V1VOVHAFYBE85QUB7" localSheetId="19" hidden="1">#REF!</definedName>
    <definedName name="BExKFWL3DE1V1VOVHAFYBE85QUB7" hidden="1">#REF!</definedName>
    <definedName name="BExKFXS9NDEWPZDVGLTMOM3CFO7N" localSheetId="8" hidden="1">#REF!</definedName>
    <definedName name="BExKFXS9NDEWPZDVGLTMOM3CFO7N" localSheetId="19" hidden="1">#REF!</definedName>
    <definedName name="BExKFXS9NDEWPZDVGLTMOM3CFO7N" hidden="1">#REF!</definedName>
    <definedName name="BExKFYJC4EVEV54F82K6VKP7Q3OU" localSheetId="8" hidden="1">#REF!</definedName>
    <definedName name="BExKFYJC4EVEV54F82K6VKP7Q3OU" localSheetId="19" hidden="1">#REF!</definedName>
    <definedName name="BExKFYJC4EVEV54F82K6VKP7Q3OU" hidden="1">#REF!</definedName>
    <definedName name="BExKG4IYHBKQQ8J8FN10GB2IKO33" localSheetId="8" hidden="1">#REF!</definedName>
    <definedName name="BExKG4IYHBKQQ8J8FN10GB2IKO33" localSheetId="19" hidden="1">#REF!</definedName>
    <definedName name="BExKG4IYHBKQQ8J8FN10GB2IKO33" hidden="1">#REF!</definedName>
    <definedName name="BExKGBVDO2JNJUFOFQMF0RJG03ZK" localSheetId="8" hidden="1">#REF!</definedName>
    <definedName name="BExKGBVDO2JNJUFOFQMF0RJG03ZK" localSheetId="19" hidden="1">#REF!</definedName>
    <definedName name="BExKGBVDO2JNJUFOFQMF0RJG03ZK" hidden="1">#REF!</definedName>
    <definedName name="BExKGF0L44S78D33WMQ1A75TRKB9" localSheetId="8" hidden="1">#REF!</definedName>
    <definedName name="BExKGF0L44S78D33WMQ1A75TRKB9" localSheetId="19" hidden="1">#REF!</definedName>
    <definedName name="BExKGF0L44S78D33WMQ1A75TRKB9" hidden="1">#REF!</definedName>
    <definedName name="BExKGFRN31B3G20LMQ4LRF879J68" localSheetId="8" hidden="1">#REF!</definedName>
    <definedName name="BExKGFRN31B3G20LMQ4LRF879J68" localSheetId="19" hidden="1">#REF!</definedName>
    <definedName name="BExKGFRN31B3G20LMQ4LRF879J68" hidden="1">#REF!</definedName>
    <definedName name="BExKGJD3U3ADZILP20U3EURP0UQP" localSheetId="8" hidden="1">#REF!</definedName>
    <definedName name="BExKGJD3U3ADZILP20U3EURP0UQP" localSheetId="19" hidden="1">#REF!</definedName>
    <definedName name="BExKGJD3U3ADZILP20U3EURP0UQP" hidden="1">#REF!</definedName>
    <definedName name="BExKGNK5YGKP0YHHTAAOV17Z9EIM" localSheetId="8" hidden="1">#REF!</definedName>
    <definedName name="BExKGNK5YGKP0YHHTAAOV17Z9EIM" localSheetId="19" hidden="1">#REF!</definedName>
    <definedName name="BExKGNK5YGKP0YHHTAAOV17Z9EIM" hidden="1">#REF!</definedName>
    <definedName name="BExKGQ3T3TWGZUSNVWJE1XWXHGRQ" localSheetId="8" hidden="1">#REF!</definedName>
    <definedName name="BExKGQ3T3TWGZUSNVWJE1XWXHGRQ" localSheetId="19" hidden="1">#REF!</definedName>
    <definedName name="BExKGQ3T3TWGZUSNVWJE1XWXHGRQ" hidden="1">#REF!</definedName>
    <definedName name="BExKGV77YH9YXIQTRKK2331QGYKF" localSheetId="8" hidden="1">#REF!</definedName>
    <definedName name="BExKGV77YH9YXIQTRKK2331QGYKF" localSheetId="19" hidden="1">#REF!</definedName>
    <definedName name="BExKGV77YH9YXIQTRKK2331QGYKF" hidden="1">#REF!</definedName>
    <definedName name="BExKH3FTZ5VGTB86W9M4AB39R0G8" localSheetId="8" hidden="1">#REF!</definedName>
    <definedName name="BExKH3FTZ5VGTB86W9M4AB39R0G8" localSheetId="19" hidden="1">#REF!</definedName>
    <definedName name="BExKH3FTZ5VGTB86W9M4AB39R0G8" hidden="1">#REF!</definedName>
    <definedName name="BExKH3FV5U5O6XZM7STS3NZKQFGJ" localSheetId="8" hidden="1">#REF!</definedName>
    <definedName name="BExKH3FV5U5O6XZM7STS3NZKQFGJ" localSheetId="19" hidden="1">#REF!</definedName>
    <definedName name="BExKH3FV5U5O6XZM7STS3NZKQFGJ" hidden="1">#REF!</definedName>
    <definedName name="BExKH3W5435VN8DZ68OCKI93SEO4" localSheetId="8" hidden="1">#REF!</definedName>
    <definedName name="BExKH3W5435VN8DZ68OCKI93SEO4" localSheetId="19" hidden="1">#REF!</definedName>
    <definedName name="BExKH3W5435VN8DZ68OCKI93SEO4" hidden="1">#REF!</definedName>
    <definedName name="BExKH9L4L5ZUAA98QAZ7DB7YH4QE" localSheetId="8" hidden="1">#REF!</definedName>
    <definedName name="BExKH9L4L5ZUAA98QAZ7DB7YH4QE" localSheetId="19" hidden="1">#REF!</definedName>
    <definedName name="BExKH9L4L5ZUAA98QAZ7DB7YH4QE" hidden="1">#REF!</definedName>
    <definedName name="BExKHAMUH8NR3HRV0V6FHJE3ROLN" localSheetId="8" hidden="1">#REF!</definedName>
    <definedName name="BExKHAMUH8NR3HRV0V6FHJE3ROLN" localSheetId="19" hidden="1">#REF!</definedName>
    <definedName name="BExKHAMUH8NR3HRV0V6FHJE3ROLN" hidden="1">#REF!</definedName>
    <definedName name="BExKHCFKOWFHO2WW0N7Y5XDXEWAO" localSheetId="8" hidden="1">#REF!</definedName>
    <definedName name="BExKHCFKOWFHO2WW0N7Y5XDXEWAO" localSheetId="19" hidden="1">#REF!</definedName>
    <definedName name="BExKHCFKOWFHO2WW0N7Y5XDXEWAO" hidden="1">#REF!</definedName>
    <definedName name="BExKHIVLONZ46HLMR50DEXKEUNEP" localSheetId="8" hidden="1">#REF!</definedName>
    <definedName name="BExKHIVLONZ46HLMR50DEXKEUNEP" localSheetId="19" hidden="1">#REF!</definedName>
    <definedName name="BExKHIVLONZ46HLMR50DEXKEUNEP" hidden="1">#REF!</definedName>
    <definedName name="BExKHPM9XA0ADDK7TUR0N38EXWEP" localSheetId="8" hidden="1">#REF!</definedName>
    <definedName name="BExKHPM9XA0ADDK7TUR0N38EXWEP" localSheetId="19" hidden="1">#REF!</definedName>
    <definedName name="BExKHPM9XA0ADDK7TUR0N38EXWEP" hidden="1">#REF!</definedName>
    <definedName name="BExKHQYXEM47TMIQRQVHE4T5LT8K" localSheetId="8" hidden="1">#REF!</definedName>
    <definedName name="BExKHQYXEM47TMIQRQVHE4T5LT8K" localSheetId="19" hidden="1">#REF!</definedName>
    <definedName name="BExKHQYXEM47TMIQRQVHE4T5LT8K" hidden="1">#REF!</definedName>
    <definedName name="BExKI4076KXCDE5KXL79KT36OKLO" localSheetId="8" hidden="1">#REF!</definedName>
    <definedName name="BExKI4076KXCDE5KXL79KT36OKLO" localSheetId="19" hidden="1">#REF!</definedName>
    <definedName name="BExKI4076KXCDE5KXL79KT36OKLO" hidden="1">#REF!</definedName>
    <definedName name="BExKI7AUWXBP1WBLFRIYSNQZDWCY" localSheetId="8" hidden="1">#REF!</definedName>
    <definedName name="BExKI7AUWXBP1WBLFRIYSNQZDWCY" localSheetId="19" hidden="1">#REF!</definedName>
    <definedName name="BExKI7AUWXBP1WBLFRIYSNQZDWCY" hidden="1">#REF!</definedName>
    <definedName name="BExKI7LO70WYISR7Q0Y1ZDWO9M3B" localSheetId="8" hidden="1">#REF!</definedName>
    <definedName name="BExKI7LO70WYISR7Q0Y1ZDWO9M3B" localSheetId="19" hidden="1">#REF!</definedName>
    <definedName name="BExKI7LO70WYISR7Q0Y1ZDWO9M3B" hidden="1">#REF!</definedName>
    <definedName name="BExKIF3EIT434ZQKMDXUBJCRLMK8" localSheetId="8" hidden="1">#REF!</definedName>
    <definedName name="BExKIF3EIT434ZQKMDXUBJCRLMK8" localSheetId="19" hidden="1">#REF!</definedName>
    <definedName name="BExKIF3EIT434ZQKMDXUBJCRLMK8" hidden="1">#REF!</definedName>
    <definedName name="BExKIGQV6TXIZG039HBOJU62WP2U" localSheetId="8" hidden="1">#REF!</definedName>
    <definedName name="BExKIGQV6TXIZG039HBOJU62WP2U" localSheetId="19" hidden="1">#REF!</definedName>
    <definedName name="BExKIGQV6TXIZG039HBOJU62WP2U" hidden="1">#REF!</definedName>
    <definedName name="BExKILE008SF3KTAN8WML3XKI1NZ" localSheetId="8" hidden="1">#REF!</definedName>
    <definedName name="BExKILE008SF3KTAN8WML3XKI1NZ" localSheetId="19" hidden="1">#REF!</definedName>
    <definedName name="BExKILE008SF3KTAN8WML3XKI1NZ" hidden="1">#REF!</definedName>
    <definedName name="BExKINSBB6RS7I489QHMCOMU4Z2X" localSheetId="8" hidden="1">#REF!</definedName>
    <definedName name="BExKINSBB6RS7I489QHMCOMU4Z2X" localSheetId="19" hidden="1">#REF!</definedName>
    <definedName name="BExKINSBB6RS7I489QHMCOMU4Z2X" hidden="1">#REF!</definedName>
    <definedName name="BExKINXMPEA03CETGL1VOW1XRJIR" localSheetId="8" hidden="1">#REF!</definedName>
    <definedName name="BExKINXMPEA03CETGL1VOW1XRJIR" localSheetId="19" hidden="1">#REF!</definedName>
    <definedName name="BExKINXMPEA03CETGL1VOW1XRJIR" hidden="1">#REF!</definedName>
    <definedName name="BExKITBU5LXLZYDJS3D3BAVWEY3U" localSheetId="8" hidden="1">#REF!</definedName>
    <definedName name="BExKITBU5LXLZYDJS3D3BAVWEY3U" localSheetId="19" hidden="1">#REF!</definedName>
    <definedName name="BExKITBU5LXLZYDJS3D3BAVWEY3U" hidden="1">#REF!</definedName>
    <definedName name="BExKIU87ZKSOC2DYZWFK6SAK9I8E" localSheetId="8" hidden="1">#REF!</definedName>
    <definedName name="BExKIU87ZKSOC2DYZWFK6SAK9I8E" localSheetId="19" hidden="1">#REF!</definedName>
    <definedName name="BExKIU87ZKSOC2DYZWFK6SAK9I8E" hidden="1">#REF!</definedName>
    <definedName name="BExKJ449HLYX2DJ9UF0H9GTPSQ73" localSheetId="8" hidden="1">#REF!</definedName>
    <definedName name="BExKJ449HLYX2DJ9UF0H9GTPSQ73" localSheetId="19" hidden="1">#REF!</definedName>
    <definedName name="BExKJ449HLYX2DJ9UF0H9GTPSQ73" hidden="1">#REF!</definedName>
    <definedName name="BExKJ5649R9IC0GKQD6QI2G7C99Q" localSheetId="8" hidden="1">#REF!</definedName>
    <definedName name="BExKJ5649R9IC0GKQD6QI2G7C99Q" localSheetId="19" hidden="1">#REF!</definedName>
    <definedName name="BExKJ5649R9IC0GKQD6QI2G7C99Q" hidden="1">#REF!</definedName>
    <definedName name="BExKJEB4FXIMV2AAE9S3FCGRK1R0" localSheetId="8" hidden="1">#REF!</definedName>
    <definedName name="BExKJEB4FXIMV2AAE9S3FCGRK1R0" localSheetId="19" hidden="1">#REF!</definedName>
    <definedName name="BExKJEB4FXIMV2AAE9S3FCGRK1R0" hidden="1">#REF!</definedName>
    <definedName name="BExKJELX2RUC8UEC56IZPYYZXHA7" localSheetId="8" hidden="1">#REF!</definedName>
    <definedName name="BExKJELX2RUC8UEC56IZPYYZXHA7" localSheetId="19" hidden="1">#REF!</definedName>
    <definedName name="BExKJELX2RUC8UEC56IZPYYZXHA7" hidden="1">#REF!</definedName>
    <definedName name="BExKJI7CV9I6ILFIZ3SVO4DGK64J" localSheetId="8" hidden="1">#REF!</definedName>
    <definedName name="BExKJI7CV9I6ILFIZ3SVO4DGK64J" localSheetId="19" hidden="1">#REF!</definedName>
    <definedName name="BExKJI7CV9I6ILFIZ3SVO4DGK64J" hidden="1">#REF!</definedName>
    <definedName name="BExKJINMXS61G2TZEXCJAWVV4F57" localSheetId="8" hidden="1">#REF!</definedName>
    <definedName name="BExKJINMXS61G2TZEXCJAWVV4F57" localSheetId="19" hidden="1">#REF!</definedName>
    <definedName name="BExKJINMXS61G2TZEXCJAWVV4F57" hidden="1">#REF!</definedName>
    <definedName name="BExKJK5ME8KB7HA0180L7OUZDDGV" localSheetId="8" hidden="1">#REF!</definedName>
    <definedName name="BExKJK5ME8KB7HA0180L7OUZDDGV" localSheetId="19" hidden="1">#REF!</definedName>
    <definedName name="BExKJK5ME8KB7HA0180L7OUZDDGV" hidden="1">#REF!</definedName>
    <definedName name="BExKJLY652HI5GNEEWQXOB08K2C1" localSheetId="8" hidden="1">#REF!</definedName>
    <definedName name="BExKJLY652HI5GNEEWQXOB08K2C1" localSheetId="19" hidden="1">#REF!</definedName>
    <definedName name="BExKJLY652HI5GNEEWQXOB08K2C1" hidden="1">#REF!</definedName>
    <definedName name="BExKJN5IF0VMDILJ5K8ZENF2QYV1" localSheetId="8" hidden="1">#REF!</definedName>
    <definedName name="BExKJN5IF0VMDILJ5K8ZENF2QYV1" localSheetId="19" hidden="1">#REF!</definedName>
    <definedName name="BExKJN5IF0VMDILJ5K8ZENF2QYV1" hidden="1">#REF!</definedName>
    <definedName name="BExKJUSJPFUIK20FTVAFJWR2OUYX" localSheetId="8" hidden="1">#REF!</definedName>
    <definedName name="BExKJUSJPFUIK20FTVAFJWR2OUYX" localSheetId="19" hidden="1">#REF!</definedName>
    <definedName name="BExKJUSJPFUIK20FTVAFJWR2OUYX" hidden="1">#REF!</definedName>
    <definedName name="BExKJXHNZTE5OMRQ1KTVM1DIQE9I" localSheetId="8" hidden="1">#REF!</definedName>
    <definedName name="BExKJXHNZTE5OMRQ1KTVM1DIQE9I" localSheetId="19" hidden="1">#REF!</definedName>
    <definedName name="BExKJXHNZTE5OMRQ1KTVM1DIQE9I" hidden="1">#REF!</definedName>
    <definedName name="BExKK8VP5RS3D0UXZVKA37C4SYBP" localSheetId="8" hidden="1">#REF!</definedName>
    <definedName name="BExKK8VP5RS3D0UXZVKA37C4SYBP" localSheetId="19" hidden="1">#REF!</definedName>
    <definedName name="BExKK8VP5RS3D0UXZVKA37C4SYBP" hidden="1">#REF!</definedName>
    <definedName name="BExKKIM9NPF6B3SPMPIQB27HQME4" localSheetId="8" hidden="1">#REF!</definedName>
    <definedName name="BExKKIM9NPF6B3SPMPIQB27HQME4" localSheetId="19" hidden="1">#REF!</definedName>
    <definedName name="BExKKIM9NPF6B3SPMPIQB27HQME4" hidden="1">#REF!</definedName>
    <definedName name="BExKKIX1BCBQ4R3K41QD8NTV0OV0" localSheetId="8" hidden="1">#REF!</definedName>
    <definedName name="BExKKIX1BCBQ4R3K41QD8NTV0OV0" localSheetId="19" hidden="1">#REF!</definedName>
    <definedName name="BExKKIX1BCBQ4R3K41QD8NTV0OV0" hidden="1">#REF!</definedName>
    <definedName name="BExKKJ2IHMOO66DQ0V2YABR4GV05" localSheetId="8" hidden="1">#REF!</definedName>
    <definedName name="BExKKJ2IHMOO66DQ0V2YABR4GV05" localSheetId="19" hidden="1">#REF!</definedName>
    <definedName name="BExKKJ2IHMOO66DQ0V2YABR4GV05" hidden="1">#REF!</definedName>
    <definedName name="BExKKQ3ZWADYV03YHMXDOAMU90EB" localSheetId="8" hidden="1">#REF!</definedName>
    <definedName name="BExKKQ3ZWADYV03YHMXDOAMU90EB" localSheetId="19" hidden="1">#REF!</definedName>
    <definedName name="BExKKQ3ZWADYV03YHMXDOAMU90EB" hidden="1">#REF!</definedName>
    <definedName name="BExKKUGD2HMJWQEYZ8H3X1BMXFS9" localSheetId="8" hidden="1">#REF!</definedName>
    <definedName name="BExKKUGD2HMJWQEYZ8H3X1BMXFS9" localSheetId="19" hidden="1">#REF!</definedName>
    <definedName name="BExKKUGD2HMJWQEYZ8H3X1BMXFS9" hidden="1">#REF!</definedName>
    <definedName name="BExKKX05KCZZZPKOR1NE5A8RGVT4" localSheetId="8" hidden="1">#REF!</definedName>
    <definedName name="BExKKX05KCZZZPKOR1NE5A8RGVT4" localSheetId="19" hidden="1">#REF!</definedName>
    <definedName name="BExKKX05KCZZZPKOR1NE5A8RGVT4" hidden="1">#REF!</definedName>
    <definedName name="BExKL3QUCLQLECGZM555PRF8EN56" localSheetId="8" hidden="1">#REF!</definedName>
    <definedName name="BExKL3QUCLQLECGZM555PRF8EN56" localSheetId="19" hidden="1">#REF!</definedName>
    <definedName name="BExKL3QUCLQLECGZM555PRF8EN56" hidden="1">#REF!</definedName>
    <definedName name="BExKL7CGLA62V9UQH9ZDEHIK8W4O" localSheetId="8" hidden="1">#REF!</definedName>
    <definedName name="BExKL7CGLA62V9UQH9ZDEHIK8W4O" localSheetId="19" hidden="1">#REF!</definedName>
    <definedName name="BExKL7CGLA62V9UQH9ZDEHIK8W4O" hidden="1">#REF!</definedName>
    <definedName name="BExKLD6S9L66QYREYHBE5J44OK7X" localSheetId="8" hidden="1">#REF!</definedName>
    <definedName name="BExKLD6S9L66QYREYHBE5J44OK7X" localSheetId="19" hidden="1">#REF!</definedName>
    <definedName name="BExKLD6S9L66QYREYHBE5J44OK7X" hidden="1">#REF!</definedName>
    <definedName name="BExKLEZK32L28GYJWVO63BZ5E1JD" localSheetId="8" hidden="1">#REF!</definedName>
    <definedName name="BExKLEZK32L28GYJWVO63BZ5E1JD" localSheetId="19" hidden="1">#REF!</definedName>
    <definedName name="BExKLEZK32L28GYJWVO63BZ5E1JD" hidden="1">#REF!</definedName>
    <definedName name="BExKLLKVVHT06LA55JB2FC871DC5" localSheetId="8" hidden="1">#REF!</definedName>
    <definedName name="BExKLLKVVHT06LA55JB2FC871DC5" localSheetId="19" hidden="1">#REF!</definedName>
    <definedName name="BExKLLKVVHT06LA55JB2FC871DC5" hidden="1">#REF!</definedName>
    <definedName name="BExKMKNALVJRCZS69GFJA4M1J08O" localSheetId="8" hidden="1">#REF!</definedName>
    <definedName name="BExKMKNALVJRCZS69GFJA4M1J08O" localSheetId="19" hidden="1">#REF!</definedName>
    <definedName name="BExKMKNALVJRCZS69GFJA4M1J08O" hidden="1">#REF!</definedName>
    <definedName name="BExKMMFZIDRFNSBCWVADJ4S2JE52" localSheetId="8" hidden="1">#REF!</definedName>
    <definedName name="BExKMMFZIDRFNSBCWVADJ4S2JE52" localSheetId="19" hidden="1">#REF!</definedName>
    <definedName name="BExKMMFZIDRFNSBCWVADJ4S2JE52" hidden="1">#REF!</definedName>
    <definedName name="BExKMRZJS845FERFW6HUXLFAOMYD" localSheetId="8" hidden="1">#REF!</definedName>
    <definedName name="BExKMRZJS845FERFW6HUXLFAOMYD" localSheetId="19" hidden="1">#REF!</definedName>
    <definedName name="BExKMRZJS845FERFW6HUXLFAOMYD" hidden="1">#REF!</definedName>
    <definedName name="BExKMS514WWPGUGRYGTH6XU97T8B" localSheetId="8" hidden="1">#REF!</definedName>
    <definedName name="BExKMS514WWPGUGRYGTH6XU97T8B" localSheetId="19" hidden="1">#REF!</definedName>
    <definedName name="BExKMS514WWPGUGRYGTH6XU97T8B" hidden="1">#REF!</definedName>
    <definedName name="BExKMUDV8AH8HQAD5HJVUW7GFDWU" localSheetId="8" hidden="1">#REF!</definedName>
    <definedName name="BExKMUDV8AH8HQAD5HJVUW7GFDWU" localSheetId="19" hidden="1">#REF!</definedName>
    <definedName name="BExKMUDV8AH8HQAD5HJVUW7GFDWU" hidden="1">#REF!</definedName>
    <definedName name="BExKMWBX4EH3EYJ07UFEM08NB40Z" localSheetId="8" hidden="1">#REF!</definedName>
    <definedName name="BExKMWBX4EH3EYJ07UFEM08NB40Z" localSheetId="19" hidden="1">#REF!</definedName>
    <definedName name="BExKMWBX4EH3EYJ07UFEM08NB40Z" hidden="1">#REF!</definedName>
    <definedName name="BExKN4Q70IU9OY91QRUSK3044MQD" localSheetId="8" hidden="1">#REF!</definedName>
    <definedName name="BExKN4Q70IU9OY91QRUSK3044MQD" localSheetId="19" hidden="1">#REF!</definedName>
    <definedName name="BExKN4Q70IU9OY91QRUSK3044MQD" hidden="1">#REF!</definedName>
    <definedName name="BExKNBGV2IR3S7M0BX4810KZB4V3" localSheetId="8" hidden="1">#REF!</definedName>
    <definedName name="BExKNBGV2IR3S7M0BX4810KZB4V3" localSheetId="19" hidden="1">#REF!</definedName>
    <definedName name="BExKNBGV2IR3S7M0BX4810KZB4V3" hidden="1">#REF!</definedName>
    <definedName name="BExKNCTBZTSY3MO42VU5PLV6YUHZ" localSheetId="8" hidden="1">#REF!</definedName>
    <definedName name="BExKNCTBZTSY3MO42VU5PLV6YUHZ" localSheetId="19" hidden="1">#REF!</definedName>
    <definedName name="BExKNCTBZTSY3MO42VU5PLV6YUHZ" hidden="1">#REF!</definedName>
    <definedName name="BExKNGV2YY749C42AQ2T9QNIE5C3" localSheetId="8" hidden="1">#REF!</definedName>
    <definedName name="BExKNGV2YY749C42AQ2T9QNIE5C3" localSheetId="19" hidden="1">#REF!</definedName>
    <definedName name="BExKNGV2YY749C42AQ2T9QNIE5C3" hidden="1">#REF!</definedName>
    <definedName name="BExKNH0F1WPNUEQITIUN5T4NDX9H" localSheetId="8" hidden="1">#REF!</definedName>
    <definedName name="BExKNH0F1WPNUEQITIUN5T4NDX9H" localSheetId="19" hidden="1">#REF!</definedName>
    <definedName name="BExKNH0F1WPNUEQITIUN5T4NDX9H" hidden="1">#REF!</definedName>
    <definedName name="BExKNV8UOHVWEHDJWI2WMJ9X6QHZ" localSheetId="8" hidden="1">#REF!</definedName>
    <definedName name="BExKNV8UOHVWEHDJWI2WMJ9X6QHZ" localSheetId="19" hidden="1">#REF!</definedName>
    <definedName name="BExKNV8UOHVWEHDJWI2WMJ9X6QHZ" hidden="1">#REF!</definedName>
    <definedName name="BExKNZLD7UATC1MYRNJD8H2NH4KU" localSheetId="8" hidden="1">#REF!</definedName>
    <definedName name="BExKNZLD7UATC1MYRNJD8H2NH4KU" localSheetId="19" hidden="1">#REF!</definedName>
    <definedName name="BExKNZLD7UATC1MYRNJD8H2NH4KU" hidden="1">#REF!</definedName>
    <definedName name="BExKNZQUKQQG2Y97R74G4O4BJP1L" localSheetId="8" hidden="1">#REF!</definedName>
    <definedName name="BExKNZQUKQQG2Y97R74G4O4BJP1L" localSheetId="19" hidden="1">#REF!</definedName>
    <definedName name="BExKNZQUKQQG2Y97R74G4O4BJP1L" hidden="1">#REF!</definedName>
    <definedName name="BExKO06X0EAD3ABEG1E8PWLDWHBA" localSheetId="8" hidden="1">#REF!</definedName>
    <definedName name="BExKO06X0EAD3ABEG1E8PWLDWHBA" localSheetId="19" hidden="1">#REF!</definedName>
    <definedName name="BExKO06X0EAD3ABEG1E8PWLDWHBA" hidden="1">#REF!</definedName>
    <definedName name="BExKO2AHHSGNI1AZOIOW21KPXKPE" localSheetId="8" hidden="1">#REF!</definedName>
    <definedName name="BExKO2AHHSGNI1AZOIOW21KPXKPE" localSheetId="19" hidden="1">#REF!</definedName>
    <definedName name="BExKO2AHHSGNI1AZOIOW21KPXKPE" hidden="1">#REF!</definedName>
    <definedName name="BExKO2FXWJWC5IZLDN8JHYILQJ2N" localSheetId="8" hidden="1">#REF!</definedName>
    <definedName name="BExKO2FXWJWC5IZLDN8JHYILQJ2N" localSheetId="19" hidden="1">#REF!</definedName>
    <definedName name="BExKO2FXWJWC5IZLDN8JHYILQJ2N" hidden="1">#REF!</definedName>
    <definedName name="BExKO438WZ8FKOU00NURGFMOYXWN" localSheetId="8" hidden="1">#REF!</definedName>
    <definedName name="BExKO438WZ8FKOU00NURGFMOYXWN" localSheetId="19" hidden="1">#REF!</definedName>
    <definedName name="BExKO438WZ8FKOU00NURGFMOYXWN" hidden="1">#REF!</definedName>
    <definedName name="BExKO551EZ73M80UFHBQE7BQVU4L" localSheetId="8" hidden="1">#REF!</definedName>
    <definedName name="BExKO551EZ73M80UFHBQE7BQVU4L" localSheetId="19" hidden="1">#REF!</definedName>
    <definedName name="BExKO551EZ73M80UFHBQE7BQVU4L" hidden="1">#REF!</definedName>
    <definedName name="BExKOBA4VTRV9YG31IM1PDDO3J9M" localSheetId="8" hidden="1">#REF!</definedName>
    <definedName name="BExKOBA4VTRV9YG31IM1PDDO3J9M" localSheetId="19" hidden="1">#REF!</definedName>
    <definedName name="BExKOBA4VTRV9YG31IM1PDDO3J9M" hidden="1">#REF!</definedName>
    <definedName name="BExKODIZGWW2EQD0FEYW6WK6XLCM" localSheetId="8" hidden="1">#REF!</definedName>
    <definedName name="BExKODIZGWW2EQD0FEYW6WK6XLCM" localSheetId="19" hidden="1">#REF!</definedName>
    <definedName name="BExKODIZGWW2EQD0FEYW6WK6XLCM" hidden="1">#REF!</definedName>
    <definedName name="BExKOPO2HPWVQGAKW8LOZMPIDEFG" localSheetId="8" hidden="1">#REF!</definedName>
    <definedName name="BExKOPO2HPWVQGAKW8LOZMPIDEFG" localSheetId="19" hidden="1">#REF!</definedName>
    <definedName name="BExKOPO2HPWVQGAKW8LOZMPIDEFG" hidden="1">#REF!</definedName>
    <definedName name="BExKP7SRQ3MN5BDYXV2XMBQNUH23" localSheetId="8" hidden="1">#REF!</definedName>
    <definedName name="BExKP7SRQ3MN5BDYXV2XMBQNUH23" localSheetId="19" hidden="1">#REF!</definedName>
    <definedName name="BExKP7SRQ3MN5BDYXV2XMBQNUH23" hidden="1">#REF!</definedName>
    <definedName name="BExKPEZP0QTKOTLIMMIFSVTHQEEK" localSheetId="8" hidden="1">#REF!</definedName>
    <definedName name="BExKPEZP0QTKOTLIMMIFSVTHQEEK" localSheetId="19" hidden="1">#REF!</definedName>
    <definedName name="BExKPEZP0QTKOTLIMMIFSVTHQEEK" hidden="1">#REF!</definedName>
    <definedName name="BExKPFFSVTL757PNITV8R9RN4452" localSheetId="8" hidden="1">#REF!</definedName>
    <definedName name="BExKPFFSVTL757PNITV8R9RN4452" localSheetId="19" hidden="1">#REF!</definedName>
    <definedName name="BExKPFFSVTL757PNITV8R9RN4452" hidden="1">#REF!</definedName>
    <definedName name="BExKPIL5ZWOXQAENH3VP3ZHA2N7N" localSheetId="8" hidden="1">#REF!</definedName>
    <definedName name="BExKPIL5ZWOXQAENH3VP3ZHA2N7N" localSheetId="19" hidden="1">#REF!</definedName>
    <definedName name="BExKPIL5ZWOXQAENH3VP3ZHA2N7N" hidden="1">#REF!</definedName>
    <definedName name="BExKPJHKPVROP9QX9BMBZMU2HEZ1" localSheetId="8" hidden="1">#REF!</definedName>
    <definedName name="BExKPJHKPVROP9QX9BMBZMU2HEZ1" localSheetId="19" hidden="1">#REF!</definedName>
    <definedName name="BExKPJHKPVROP9QX9BMBZMU2HEZ1" hidden="1">#REF!</definedName>
    <definedName name="BExKPLQJX0HJ8OTXBXH9IC9J2V0W" localSheetId="8" hidden="1">#REF!</definedName>
    <definedName name="BExKPLQJX0HJ8OTXBXH9IC9J2V0W" localSheetId="19" hidden="1">#REF!</definedName>
    <definedName name="BExKPLQJX0HJ8OTXBXH9IC9J2V0W" hidden="1">#REF!</definedName>
    <definedName name="BExKPN8C7GN36ZJZHLOB74LU6KT0" localSheetId="8" hidden="1">#REF!</definedName>
    <definedName name="BExKPN8C7GN36ZJZHLOB74LU6KT0" localSheetId="19" hidden="1">#REF!</definedName>
    <definedName name="BExKPN8C7GN36ZJZHLOB74LU6KT0" hidden="1">#REF!</definedName>
    <definedName name="BExKPX9VZ1J5021Q98K60HMPJU58" localSheetId="8" hidden="1">#REF!</definedName>
    <definedName name="BExKPX9VZ1J5021Q98K60HMPJU58" localSheetId="19" hidden="1">#REF!</definedName>
    <definedName name="BExKPX9VZ1J5021Q98K60HMPJU58" hidden="1">#REF!</definedName>
    <definedName name="BExKQGGEP203MUWSJVORTY7RFOFT" localSheetId="8" hidden="1">#REF!</definedName>
    <definedName name="BExKQGGEP203MUWSJVORTY7RFOFT" localSheetId="19" hidden="1">#REF!</definedName>
    <definedName name="BExKQGGEP203MUWSJVORTY7RFOFT" hidden="1">#REF!</definedName>
    <definedName name="BExKQJGAAWNM3NT19E9I0CQDBTU0" localSheetId="8" hidden="1">#REF!</definedName>
    <definedName name="BExKQJGAAWNM3NT19E9I0CQDBTU0" localSheetId="19" hidden="1">#REF!</definedName>
    <definedName name="BExKQJGAAWNM3NT19E9I0CQDBTU0" hidden="1">#REF!</definedName>
    <definedName name="BExKQM5GJ1ZN5REKFE7YVBQ0KXWF" localSheetId="8" hidden="1">#REF!</definedName>
    <definedName name="BExKQM5GJ1ZN5REKFE7YVBQ0KXWF" localSheetId="19" hidden="1">#REF!</definedName>
    <definedName name="BExKQM5GJ1ZN5REKFE7YVBQ0KXWF" hidden="1">#REF!</definedName>
    <definedName name="BExKQQ71278061G7ZFYGPWOMOMY2" localSheetId="8" hidden="1">#REF!</definedName>
    <definedName name="BExKQQ71278061G7ZFYGPWOMOMY2" localSheetId="19" hidden="1">#REF!</definedName>
    <definedName name="BExKQQ71278061G7ZFYGPWOMOMY2" hidden="1">#REF!</definedName>
    <definedName name="BExKQTXRG3ECU8NT47UR7643LO5G" localSheetId="8" hidden="1">#REF!</definedName>
    <definedName name="BExKQTXRG3ECU8NT47UR7643LO5G" localSheetId="19" hidden="1">#REF!</definedName>
    <definedName name="BExKQTXRG3ECU8NT47UR7643LO5G" hidden="1">#REF!</definedName>
    <definedName name="BExKQVL7HPOIZ4FHANDFMVOJLEPR" localSheetId="8" hidden="1">#REF!</definedName>
    <definedName name="BExKQVL7HPOIZ4FHANDFMVOJLEPR" localSheetId="19" hidden="1">#REF!</definedName>
    <definedName name="BExKQVL7HPOIZ4FHANDFMVOJLEPR" hidden="1">#REF!</definedName>
    <definedName name="BExKR3ZAJRYXZB4M7XZPK0I7E55W" localSheetId="8" hidden="1">#REF!</definedName>
    <definedName name="BExKR3ZAJRYXZB4M7XZPK0I7E55W" localSheetId="19" hidden="1">#REF!</definedName>
    <definedName name="BExKR3ZAJRYXZB4M7XZPK0I7E55W" hidden="1">#REF!</definedName>
    <definedName name="BExKR8RZSEHW184G0Z56B4EGNU72" localSheetId="8" hidden="1">#REF!</definedName>
    <definedName name="BExKR8RZSEHW184G0Z56B4EGNU72" localSheetId="19" hidden="1">#REF!</definedName>
    <definedName name="BExKR8RZSEHW184G0Z56B4EGNU72" hidden="1">#REF!</definedName>
    <definedName name="BExKRHM60KUPM7RGAAFRSKX4TMS5" localSheetId="8" hidden="1">#REF!</definedName>
    <definedName name="BExKRHM60KUPM7RGAAFRSKX4TMS5" localSheetId="19" hidden="1">#REF!</definedName>
    <definedName name="BExKRHM60KUPM7RGAAFRSKX4TMS5" hidden="1">#REF!</definedName>
    <definedName name="BExKRQB2LX164R610N3VXJPD3C1W" localSheetId="8" hidden="1">#REF!</definedName>
    <definedName name="BExKRQB2LX164R610N3VXJPD3C1W" localSheetId="19" hidden="1">#REF!</definedName>
    <definedName name="BExKRQB2LX164R610N3VXJPD3C1W" hidden="1">#REF!</definedName>
    <definedName name="BExKRVUSQ6PA7ZYQSTEQL3X7PB9P" localSheetId="8" hidden="1">#REF!</definedName>
    <definedName name="BExKRVUSQ6PA7ZYQSTEQL3X7PB9P" localSheetId="19" hidden="1">#REF!</definedName>
    <definedName name="BExKRVUSQ6PA7ZYQSTEQL3X7PB9P" hidden="1">#REF!</definedName>
    <definedName name="BExKRY3KZ7F7RB2KH8HXSQ85IEQO" localSheetId="8" hidden="1">#REF!</definedName>
    <definedName name="BExKRY3KZ7F7RB2KH8HXSQ85IEQO" localSheetId="19" hidden="1">#REF!</definedName>
    <definedName name="BExKRY3KZ7F7RB2KH8HXSQ85IEQO" hidden="1">#REF!</definedName>
    <definedName name="BExKS91CCVW1YKNE1EQ4MCE1E9JX" localSheetId="8" hidden="1">#REF!</definedName>
    <definedName name="BExKS91CCVW1YKNE1EQ4MCE1E9JX" localSheetId="19" hidden="1">#REF!</definedName>
    <definedName name="BExKS91CCVW1YKNE1EQ4MCE1E9JX" hidden="1">#REF!</definedName>
    <definedName name="BExKSA37DZTCK6H13HPIKR0ZFVL8" localSheetId="8" hidden="1">#REF!</definedName>
    <definedName name="BExKSA37DZTCK6H13HPIKR0ZFVL8" localSheetId="19" hidden="1">#REF!</definedName>
    <definedName name="BExKSA37DZTCK6H13HPIKR0ZFVL8" hidden="1">#REF!</definedName>
    <definedName name="BExKSB51O073JLM4PEU353GBBSMI" localSheetId="8" hidden="1">#REF!</definedName>
    <definedName name="BExKSB51O073JLM4PEU353GBBSMI" localSheetId="19" hidden="1">#REF!</definedName>
    <definedName name="BExKSB51O073JLM4PEU353GBBSMI" hidden="1">#REF!</definedName>
    <definedName name="BExKSC1EDUXA6RM44LZV6HMMHKLX" localSheetId="8" hidden="1">#REF!</definedName>
    <definedName name="BExKSC1EDUXA6RM44LZV6HMMHKLX" localSheetId="19" hidden="1">#REF!</definedName>
    <definedName name="BExKSC1EDUXA6RM44LZV6HMMHKLX" hidden="1">#REF!</definedName>
    <definedName name="BExKSFMOMSZYDE0WNC94F40S6636" localSheetId="8" hidden="1">#REF!</definedName>
    <definedName name="BExKSFMOMSZYDE0WNC94F40S6636" localSheetId="19" hidden="1">#REF!</definedName>
    <definedName name="BExKSFMOMSZYDE0WNC94F40S6636" hidden="1">#REF!</definedName>
    <definedName name="BExKSHQ9K79S8KYUWIV5M5LAHHF1" localSheetId="8" hidden="1">#REF!</definedName>
    <definedName name="BExKSHQ9K79S8KYUWIV5M5LAHHF1" localSheetId="19" hidden="1">#REF!</definedName>
    <definedName name="BExKSHQ9K79S8KYUWIV5M5LAHHF1" hidden="1">#REF!</definedName>
    <definedName name="BExKSJTWG9L3FCX8FLK4EMUJMF27" localSheetId="8" hidden="1">#REF!</definedName>
    <definedName name="BExKSJTWG9L3FCX8FLK4EMUJMF27" localSheetId="19" hidden="1">#REF!</definedName>
    <definedName name="BExKSJTWG9L3FCX8FLK4EMUJMF27" hidden="1">#REF!</definedName>
    <definedName name="BExKSU0MKNAVZYYPKCYTZDWQX4R8" localSheetId="8" hidden="1">#REF!</definedName>
    <definedName name="BExKSU0MKNAVZYYPKCYTZDWQX4R8" localSheetId="19" hidden="1">#REF!</definedName>
    <definedName name="BExKSU0MKNAVZYYPKCYTZDWQX4R8" hidden="1">#REF!</definedName>
    <definedName name="BExKSX60G1MUS689FXIGYP2F7C62" localSheetId="8" hidden="1">#REF!</definedName>
    <definedName name="BExKSX60G1MUS689FXIGYP2F7C62" localSheetId="19" hidden="1">#REF!</definedName>
    <definedName name="BExKSX60G1MUS689FXIGYP2F7C62" hidden="1">#REF!</definedName>
    <definedName name="BExKT2UZ7Y2VWF5NQE18SJRLD2RN" localSheetId="8" hidden="1">#REF!</definedName>
    <definedName name="BExKT2UZ7Y2VWF5NQE18SJRLD2RN" localSheetId="19" hidden="1">#REF!</definedName>
    <definedName name="BExKT2UZ7Y2VWF5NQE18SJRLD2RN" hidden="1">#REF!</definedName>
    <definedName name="BExKT3GJFNGAM09H5F615E36A38C" localSheetId="8" hidden="1">#REF!</definedName>
    <definedName name="BExKT3GJFNGAM09H5F615E36A38C" localSheetId="19" hidden="1">#REF!</definedName>
    <definedName name="BExKT3GJFNGAM09H5F615E36A38C" hidden="1">#REF!</definedName>
    <definedName name="BExKTD1UM9PTLYETG1RM502XDNC0" localSheetId="8" hidden="1">#REF!</definedName>
    <definedName name="BExKTD1UM9PTLYETG1RM502XDNC0" localSheetId="19" hidden="1">#REF!</definedName>
    <definedName name="BExKTD1UM9PTLYETG1RM502XDNC0" hidden="1">#REF!</definedName>
    <definedName name="BExKTJN26AY45CE6JUAX3OIL48F7" localSheetId="8" hidden="1">#REF!</definedName>
    <definedName name="BExKTJN26AY45CE6JUAX3OIL48F7" localSheetId="19" hidden="1">#REF!</definedName>
    <definedName name="BExKTJN26AY45CE6JUAX3OIL48F7" hidden="1">#REF!</definedName>
    <definedName name="BExKTQZGN8GI3XGSEXMPCCA3S19H" localSheetId="8" hidden="1">#REF!</definedName>
    <definedName name="BExKTQZGN8GI3XGSEXMPCCA3S19H" localSheetId="19" hidden="1">#REF!</definedName>
    <definedName name="BExKTQZGN8GI3XGSEXMPCCA3S19H" hidden="1">#REF!</definedName>
    <definedName name="BExKTUKYYU0F6TUW1RXV24LRAZFE" localSheetId="8" hidden="1">#REF!</definedName>
    <definedName name="BExKTUKYYU0F6TUW1RXV24LRAZFE" localSheetId="19" hidden="1">#REF!</definedName>
    <definedName name="BExKTUKYYU0F6TUW1RXV24LRAZFE" hidden="1">#REF!</definedName>
    <definedName name="BExKU3FBLHQBIUTN6XEZW5GC9OG1" localSheetId="8" hidden="1">#REF!</definedName>
    <definedName name="BExKU3FBLHQBIUTN6XEZW5GC9OG1" localSheetId="19" hidden="1">#REF!</definedName>
    <definedName name="BExKU3FBLHQBIUTN6XEZW5GC9OG1" hidden="1">#REF!</definedName>
    <definedName name="BExKU82I99FEUIZLODXJDOJC96CQ" localSheetId="8" hidden="1">#REF!</definedName>
    <definedName name="BExKU82I99FEUIZLODXJDOJC96CQ" localSheetId="19" hidden="1">#REF!</definedName>
    <definedName name="BExKU82I99FEUIZLODXJDOJC96CQ" hidden="1">#REF!</definedName>
    <definedName name="BExKUDM0DFSCM3D91SH0XLXJSL18" localSheetId="8" hidden="1">#REF!</definedName>
    <definedName name="BExKUDM0DFSCM3D91SH0XLXJSL18" localSheetId="19" hidden="1">#REF!</definedName>
    <definedName name="BExKUDM0DFSCM3D91SH0XLXJSL18" hidden="1">#REF!</definedName>
    <definedName name="BExKUHYKD9TJTMQOOBS4EX04FCEZ" localSheetId="8" hidden="1">#REF!</definedName>
    <definedName name="BExKUHYKD9TJTMQOOBS4EX04FCEZ" localSheetId="19" hidden="1">#REF!</definedName>
    <definedName name="BExKUHYKD9TJTMQOOBS4EX04FCEZ" hidden="1">#REF!</definedName>
    <definedName name="BExKULEKJLA77AUQPDUHSM94Y76Z" localSheetId="8" hidden="1">#REF!</definedName>
    <definedName name="BExKULEKJLA77AUQPDUHSM94Y76Z" localSheetId="19" hidden="1">#REF!</definedName>
    <definedName name="BExKULEKJLA77AUQPDUHSM94Y76Z" hidden="1">#REF!</definedName>
    <definedName name="BExKUXE506JSYMR4CV866RHRDYR9" localSheetId="8" hidden="1">#REF!</definedName>
    <definedName name="BExKUXE506JSYMR4CV866RHRDYR9" localSheetId="19" hidden="1">#REF!</definedName>
    <definedName name="BExKUXE506JSYMR4CV866RHRDYR9" hidden="1">#REF!</definedName>
    <definedName name="BExKV08R85MKI3MAX9E2HERNQUNL" localSheetId="8" hidden="1">#REF!</definedName>
    <definedName name="BExKV08R85MKI3MAX9E2HERNQUNL" localSheetId="19" hidden="1">#REF!</definedName>
    <definedName name="BExKV08R85MKI3MAX9E2HERNQUNL" hidden="1">#REF!</definedName>
    <definedName name="BExKV4AAUNNJL5JWD7PX6BFKVS6O" localSheetId="8" hidden="1">#REF!</definedName>
    <definedName name="BExKV4AAUNNJL5JWD7PX6BFKVS6O" localSheetId="19" hidden="1">#REF!</definedName>
    <definedName name="BExKV4AAUNNJL5JWD7PX6BFKVS6O" hidden="1">#REF!</definedName>
    <definedName name="BExKVDVK6HN74GQPTXICP9BFC8CF" localSheetId="8" hidden="1">#REF!</definedName>
    <definedName name="BExKVDVK6HN74GQPTXICP9BFC8CF" localSheetId="19" hidden="1">#REF!</definedName>
    <definedName name="BExKVDVK6HN74GQPTXICP9BFC8CF" hidden="1">#REF!</definedName>
    <definedName name="BExKVFZ3ZZGIC1QI8XN6BYFWN0ZY" localSheetId="8" hidden="1">#REF!</definedName>
    <definedName name="BExKVFZ3ZZGIC1QI8XN6BYFWN0ZY" localSheetId="19" hidden="1">#REF!</definedName>
    <definedName name="BExKVFZ3ZZGIC1QI8XN6BYFWN0ZY" hidden="1">#REF!</definedName>
    <definedName name="BExKVG4KGO28KPGTAFL1R8TTZ10N" localSheetId="8" hidden="1">#REF!</definedName>
    <definedName name="BExKVG4KGO28KPGTAFL1R8TTZ10N" localSheetId="19" hidden="1">#REF!</definedName>
    <definedName name="BExKVG4KGO28KPGTAFL1R8TTZ10N" hidden="1">#REF!</definedName>
    <definedName name="BExKW0CSH7DA02YSNV64PSEIXB2P" localSheetId="8" hidden="1">#REF!</definedName>
    <definedName name="BExKW0CSH7DA02YSNV64PSEIXB2P" localSheetId="19" hidden="1">#REF!</definedName>
    <definedName name="BExKW0CSH7DA02YSNV64PSEIXB2P" hidden="1">#REF!</definedName>
    <definedName name="BExM9NUG3Q31X01AI9ZJCZIX25CS" localSheetId="8" hidden="1">#REF!</definedName>
    <definedName name="BExM9NUG3Q31X01AI9ZJCZIX25CS" localSheetId="19" hidden="1">#REF!</definedName>
    <definedName name="BExM9NUG3Q31X01AI9ZJCZIX25CS" hidden="1">#REF!</definedName>
    <definedName name="BExM9OG182RP30MY23PG49LVPZ1C" localSheetId="8" hidden="1">#REF!</definedName>
    <definedName name="BExM9OG182RP30MY23PG49LVPZ1C" localSheetId="19" hidden="1">#REF!</definedName>
    <definedName name="BExM9OG182RP30MY23PG49LVPZ1C" hidden="1">#REF!</definedName>
    <definedName name="BExMA64MW1S18NH8DCKPCCEI5KCB" localSheetId="8" hidden="1">#REF!</definedName>
    <definedName name="BExMA64MW1S18NH8DCKPCCEI5KCB" localSheetId="19" hidden="1">#REF!</definedName>
    <definedName name="BExMA64MW1S18NH8DCKPCCEI5KCB" hidden="1">#REF!</definedName>
    <definedName name="BExMALEWFUEM8Y686IT03ECURUBR" localSheetId="8" hidden="1">#REF!</definedName>
    <definedName name="BExMALEWFUEM8Y686IT03ECURUBR" localSheetId="19" hidden="1">#REF!</definedName>
    <definedName name="BExMALEWFUEM8Y686IT03ECURUBR" hidden="1">#REF!</definedName>
    <definedName name="BExMAS0AQY7KMMTBTBPK0SWWDITB" localSheetId="8" hidden="1">#REF!</definedName>
    <definedName name="BExMAS0AQY7KMMTBTBPK0SWWDITB" localSheetId="19" hidden="1">#REF!</definedName>
    <definedName name="BExMAS0AQY7KMMTBTBPK0SWWDITB" hidden="1">#REF!</definedName>
    <definedName name="BExMAXJS82ZJ8RS22VLE0V0LDUII" localSheetId="8" hidden="1">#REF!</definedName>
    <definedName name="BExMAXJS82ZJ8RS22VLE0V0LDUII" localSheetId="19" hidden="1">#REF!</definedName>
    <definedName name="BExMAXJS82ZJ8RS22VLE0V0LDUII" hidden="1">#REF!</definedName>
    <definedName name="BExMB4QRS0R3MTB4CMUHFZ84LNZQ" localSheetId="8" hidden="1">#REF!</definedName>
    <definedName name="BExMB4QRS0R3MTB4CMUHFZ84LNZQ" localSheetId="19" hidden="1">#REF!</definedName>
    <definedName name="BExMB4QRS0R3MTB4CMUHFZ84LNZQ" hidden="1">#REF!</definedName>
    <definedName name="BExMB7AICZ233JKSCEUSR9RQXRS0" localSheetId="8" hidden="1">#REF!</definedName>
    <definedName name="BExMB7AICZ233JKSCEUSR9RQXRS0" localSheetId="19" hidden="1">#REF!</definedName>
    <definedName name="BExMB7AICZ233JKSCEUSR9RQXRS0" hidden="1">#REF!</definedName>
    <definedName name="BExMBC35WKQY5CWQJLV4D05O6971" localSheetId="8" hidden="1">#REF!</definedName>
    <definedName name="BExMBC35WKQY5CWQJLV4D05O6971" localSheetId="19" hidden="1">#REF!</definedName>
    <definedName name="BExMBC35WKQY5CWQJLV4D05O6971" hidden="1">#REF!</definedName>
    <definedName name="BExMBFTZV4Q1A5KG25C1N9PHQNSW" localSheetId="8" hidden="1">#REF!</definedName>
    <definedName name="BExMBFTZV4Q1A5KG25C1N9PHQNSW" localSheetId="19" hidden="1">#REF!</definedName>
    <definedName name="BExMBFTZV4Q1A5KG25C1N9PHQNSW" hidden="1">#REF!</definedName>
    <definedName name="BExMBFZFXQDH3H55R89930TFTU36" localSheetId="8" hidden="1">#REF!</definedName>
    <definedName name="BExMBFZFXQDH3H55R89930TFTU36" localSheetId="19" hidden="1">#REF!</definedName>
    <definedName name="BExMBFZFXQDH3H55R89930TFTU36" hidden="1">#REF!</definedName>
    <definedName name="BExMBK6ISK3U7KHZKUJXIDKGF6VW" localSheetId="8" hidden="1">#REF!</definedName>
    <definedName name="BExMBK6ISK3U7KHZKUJXIDKGF6VW" localSheetId="19" hidden="1">#REF!</definedName>
    <definedName name="BExMBK6ISK3U7KHZKUJXIDKGF6VW" hidden="1">#REF!</definedName>
    <definedName name="BExMBYPQDG9AYDQ5E8IECVFREPO6" localSheetId="8" hidden="1">#REF!</definedName>
    <definedName name="BExMBYPQDG9AYDQ5E8IECVFREPO6" localSheetId="19" hidden="1">#REF!</definedName>
    <definedName name="BExMBYPQDG9AYDQ5E8IECVFREPO6" hidden="1">#REF!</definedName>
    <definedName name="BExMC7PESEESXVMDCGGIP5LPMUGY" localSheetId="8" hidden="1">#REF!</definedName>
    <definedName name="BExMC7PESEESXVMDCGGIP5LPMUGY" localSheetId="19" hidden="1">#REF!</definedName>
    <definedName name="BExMC7PESEESXVMDCGGIP5LPMUGY" hidden="1">#REF!</definedName>
    <definedName name="BExMC8AZUTX8LG89K2JJR7ZG62XX" localSheetId="8" hidden="1">#REF!</definedName>
    <definedName name="BExMC8AZUTX8LG89K2JJR7ZG62XX" localSheetId="19" hidden="1">#REF!</definedName>
    <definedName name="BExMC8AZUTX8LG89K2JJR7ZG62XX" hidden="1">#REF!</definedName>
    <definedName name="BExMCA96YR10V72G2R0SCIKPZLIZ" localSheetId="8" hidden="1">#REF!</definedName>
    <definedName name="BExMCA96YR10V72G2R0SCIKPZLIZ" localSheetId="19" hidden="1">#REF!</definedName>
    <definedName name="BExMCA96YR10V72G2R0SCIKPZLIZ" hidden="1">#REF!</definedName>
    <definedName name="BExMCB5JU5I2VQDUBS4O42BTEVKI" localSheetId="8" hidden="1">#REF!</definedName>
    <definedName name="BExMCB5JU5I2VQDUBS4O42BTEVKI" localSheetId="19" hidden="1">#REF!</definedName>
    <definedName name="BExMCB5JU5I2VQDUBS4O42BTEVKI" hidden="1">#REF!</definedName>
    <definedName name="BExMCFSQFSEMPY5IXDIRKZDASDBR" localSheetId="8" hidden="1">#REF!</definedName>
    <definedName name="BExMCFSQFSEMPY5IXDIRKZDASDBR" localSheetId="19" hidden="1">#REF!</definedName>
    <definedName name="BExMCFSQFSEMPY5IXDIRKZDASDBR" hidden="1">#REF!</definedName>
    <definedName name="BExMCH58I9XOLK7WEE6VSJGYPJGL" localSheetId="8" hidden="1">#REF!</definedName>
    <definedName name="BExMCH58I9XOLK7WEE6VSJGYPJGL" localSheetId="19" hidden="1">#REF!</definedName>
    <definedName name="BExMCH58I9XOLK7WEE6VSJGYPJGL" hidden="1">#REF!</definedName>
    <definedName name="BExMCMZOEYWVOOJ98TBHTTCS7XB8" localSheetId="8" hidden="1">#REF!</definedName>
    <definedName name="BExMCMZOEYWVOOJ98TBHTTCS7XB8" localSheetId="19" hidden="1">#REF!</definedName>
    <definedName name="BExMCMZOEYWVOOJ98TBHTTCS7XB8" hidden="1">#REF!</definedName>
    <definedName name="BExMCS8EF2W3FS9QADNKREYSI8P0" localSheetId="8" hidden="1">#REF!</definedName>
    <definedName name="BExMCS8EF2W3FS9QADNKREYSI8P0" localSheetId="19" hidden="1">#REF!</definedName>
    <definedName name="BExMCS8EF2W3FS9QADNKREYSI8P0" hidden="1">#REF!</definedName>
    <definedName name="BExMCSU0KZGHALEL7N5DJBVL94K7" localSheetId="8" hidden="1">#REF!</definedName>
    <definedName name="BExMCSU0KZGHALEL7N5DJBVL94K7" localSheetId="19" hidden="1">#REF!</definedName>
    <definedName name="BExMCSU0KZGHALEL7N5DJBVL94K7" hidden="1">#REF!</definedName>
    <definedName name="BExMCUS7GSOM96J0HJ7EH0FFM2AC" localSheetId="8" hidden="1">#REF!</definedName>
    <definedName name="BExMCUS7GSOM96J0HJ7EH0FFM2AC" localSheetId="19" hidden="1">#REF!</definedName>
    <definedName name="BExMCUS7GSOM96J0HJ7EH0FFM2AC" hidden="1">#REF!</definedName>
    <definedName name="BExMCYTT6TVDWMJXO1NZANRTVNAN" localSheetId="8" hidden="1">#REF!</definedName>
    <definedName name="BExMCYTT6TVDWMJXO1NZANRTVNAN" localSheetId="19" hidden="1">#REF!</definedName>
    <definedName name="BExMCYTT6TVDWMJXO1NZANRTVNAN" hidden="1">#REF!</definedName>
    <definedName name="BExMD54CT1VTE5YGBM90H90NF28M" localSheetId="8" hidden="1">#REF!</definedName>
    <definedName name="BExMD54CT1VTE5YGBM90H90NF28M" localSheetId="19" hidden="1">#REF!</definedName>
    <definedName name="BExMD54CT1VTE5YGBM90H90NF28M" hidden="1">#REF!</definedName>
    <definedName name="BExMD5F6IAV108XYJLXUO9HD0IT6" localSheetId="8" hidden="1">#REF!</definedName>
    <definedName name="BExMD5F6IAV108XYJLXUO9HD0IT6" localSheetId="19" hidden="1">#REF!</definedName>
    <definedName name="BExMD5F6IAV108XYJLXUO9HD0IT6" hidden="1">#REF!</definedName>
    <definedName name="BExMDANV66W9T3XAXID40XFJ0J93" localSheetId="8" hidden="1">#REF!</definedName>
    <definedName name="BExMDANV66W9T3XAXID40XFJ0J93" localSheetId="19" hidden="1">#REF!</definedName>
    <definedName name="BExMDANV66W9T3XAXID40XFJ0J93" hidden="1">#REF!</definedName>
    <definedName name="BExMDGD1KQP7NNR78X2ZX4FCBQ1S" localSheetId="8" hidden="1">#REF!</definedName>
    <definedName name="BExMDGD1KQP7NNR78X2ZX4FCBQ1S" localSheetId="19" hidden="1">#REF!</definedName>
    <definedName name="BExMDGD1KQP7NNR78X2ZX4FCBQ1S" hidden="1">#REF!</definedName>
    <definedName name="BExMDIRDK0DI8P86HB7WPH8QWLSQ" localSheetId="8" hidden="1">#REF!</definedName>
    <definedName name="BExMDIRDK0DI8P86HB7WPH8QWLSQ" localSheetId="19" hidden="1">#REF!</definedName>
    <definedName name="BExMDIRDK0DI8P86HB7WPH8QWLSQ" hidden="1">#REF!</definedName>
    <definedName name="BExMDOWGDLP3BZZB4ZPI31VS10FP" localSheetId="8" hidden="1">#REF!</definedName>
    <definedName name="BExMDOWGDLP3BZZB4ZPI31VS10FP" localSheetId="19" hidden="1">#REF!</definedName>
    <definedName name="BExMDOWGDLP3BZZB4ZPI31VS10FP" hidden="1">#REF!</definedName>
    <definedName name="BExMDPI2FVMORSWDDCVAJ85WYAYO" localSheetId="8" hidden="1">#REF!</definedName>
    <definedName name="BExMDPI2FVMORSWDDCVAJ85WYAYO" localSheetId="19" hidden="1">#REF!</definedName>
    <definedName name="BExMDPI2FVMORSWDDCVAJ85WYAYO" hidden="1">#REF!</definedName>
    <definedName name="BExMDUWB7VWHFFR266QXO46BNV2S" localSheetId="8" hidden="1">#REF!</definedName>
    <definedName name="BExMDUWB7VWHFFR266QXO46BNV2S" localSheetId="19" hidden="1">#REF!</definedName>
    <definedName name="BExMDUWB7VWHFFR266QXO46BNV2S" hidden="1">#REF!</definedName>
    <definedName name="BExME2U47N8LZG0BPJ49ANY5QVV2" localSheetId="8" hidden="1">#REF!</definedName>
    <definedName name="BExME2U47N8LZG0BPJ49ANY5QVV2" localSheetId="19" hidden="1">#REF!</definedName>
    <definedName name="BExME2U47N8LZG0BPJ49ANY5QVV2" hidden="1">#REF!</definedName>
    <definedName name="BExME88DH5DUKMUFI9FNVECXFD2E" localSheetId="8" hidden="1">#REF!</definedName>
    <definedName name="BExME88DH5DUKMUFI9FNVECXFD2E" localSheetId="19" hidden="1">#REF!</definedName>
    <definedName name="BExME88DH5DUKMUFI9FNVECXFD2E" hidden="1">#REF!</definedName>
    <definedName name="BExME9A7MOGAK7YTTQYXP5DL6VYA" localSheetId="8" hidden="1">#REF!</definedName>
    <definedName name="BExME9A7MOGAK7YTTQYXP5DL6VYA" localSheetId="19" hidden="1">#REF!</definedName>
    <definedName name="BExME9A7MOGAK7YTTQYXP5DL6VYA" hidden="1">#REF!</definedName>
    <definedName name="BExMEOV9YFRY5C3GDLU60GIX10BY" localSheetId="8" hidden="1">#REF!</definedName>
    <definedName name="BExMEOV9YFRY5C3GDLU60GIX10BY" localSheetId="19" hidden="1">#REF!</definedName>
    <definedName name="BExMEOV9YFRY5C3GDLU60GIX10BY" hidden="1">#REF!</definedName>
    <definedName name="BExMEUK2Q5GZGZFZ77Z2IYUKOOYW" localSheetId="8" hidden="1">#REF!</definedName>
    <definedName name="BExMEUK2Q5GZGZFZ77Z2IYUKOOYW" localSheetId="19" hidden="1">#REF!</definedName>
    <definedName name="BExMEUK2Q5GZGZFZ77Z2IYUKOOYW" hidden="1">#REF!</definedName>
    <definedName name="BExMEWT36INWIP0VNS94NEP3WZ4U" localSheetId="8" hidden="1">#REF!</definedName>
    <definedName name="BExMEWT36INWIP0VNS94NEP3WZ4U" localSheetId="19" hidden="1">#REF!</definedName>
    <definedName name="BExMEWT36INWIP0VNS94NEP3WZ4U" hidden="1">#REF!</definedName>
    <definedName name="BExMEY09ESM4H2YGKEQQRYUD114R" localSheetId="8" hidden="1">#REF!</definedName>
    <definedName name="BExMEY09ESM4H2YGKEQQRYUD114R" localSheetId="19" hidden="1">#REF!</definedName>
    <definedName name="BExMEY09ESM4H2YGKEQQRYUD114R" hidden="1">#REF!</definedName>
    <definedName name="BExMF0UU4SBJHOJ4SG09QMF1TC7H" localSheetId="8" hidden="1">#REF!</definedName>
    <definedName name="BExMF0UU4SBJHOJ4SG09QMF1TC7H" localSheetId="19" hidden="1">#REF!</definedName>
    <definedName name="BExMF0UU4SBJHOJ4SG09QMF1TC7H" hidden="1">#REF!</definedName>
    <definedName name="BExMF2YDPQWGK3CSN8LJG16MLFQZ" localSheetId="8" hidden="1">#REF!</definedName>
    <definedName name="BExMF2YDPQWGK3CSN8LJG16MLFQZ" localSheetId="19" hidden="1">#REF!</definedName>
    <definedName name="BExMF2YDPQWGK3CSN8LJG16MLFQZ" hidden="1">#REF!</definedName>
    <definedName name="BExMF4G4IUPQY1Y5GEY5N3E04CL6" localSheetId="8" hidden="1">#REF!</definedName>
    <definedName name="BExMF4G4IUPQY1Y5GEY5N3E04CL6" localSheetId="19" hidden="1">#REF!</definedName>
    <definedName name="BExMF4G4IUPQY1Y5GEY5N3E04CL6" hidden="1">#REF!</definedName>
    <definedName name="BExMF9UIGYMOAQK0ELUWP0S0HZZY" localSheetId="8" hidden="1">#REF!</definedName>
    <definedName name="BExMF9UIGYMOAQK0ELUWP0S0HZZY" localSheetId="19" hidden="1">#REF!</definedName>
    <definedName name="BExMF9UIGYMOAQK0ELUWP0S0HZZY" hidden="1">#REF!</definedName>
    <definedName name="BExMFDLBSWFMRDYJ2DZETI3EXKN2" localSheetId="8" hidden="1">#REF!</definedName>
    <definedName name="BExMFDLBSWFMRDYJ2DZETI3EXKN2" localSheetId="19" hidden="1">#REF!</definedName>
    <definedName name="BExMFDLBSWFMRDYJ2DZETI3EXKN2" hidden="1">#REF!</definedName>
    <definedName name="BExMFLDTMRTCHKA37LQW67BG8D5C" localSheetId="8" hidden="1">#REF!</definedName>
    <definedName name="BExMFLDTMRTCHKA37LQW67BG8D5C" localSheetId="19" hidden="1">#REF!</definedName>
    <definedName name="BExMFLDTMRTCHKA37LQW67BG8D5C" hidden="1">#REF!</definedName>
    <definedName name="BExMFTH63LTWA2JYJTJYMT5K2OF2" localSheetId="8" hidden="1">#REF!</definedName>
    <definedName name="BExMFTH63LTWA2JYJTJYMT5K2OF2" localSheetId="19" hidden="1">#REF!</definedName>
    <definedName name="BExMFTH63LTWA2JYJTJYMT5K2OF2" hidden="1">#REF!</definedName>
    <definedName name="BExMFY4AG5T27EVMCCNE00GOAR66" localSheetId="8" hidden="1">#REF!</definedName>
    <definedName name="BExMFY4AG5T27EVMCCNE00GOAR66" localSheetId="19" hidden="1">#REF!</definedName>
    <definedName name="BExMFY4AG5T27EVMCCNE00GOAR66" hidden="1">#REF!</definedName>
    <definedName name="BExMGQQNOFER1MEVQ961XARTRIOB" localSheetId="8" hidden="1">#REF!</definedName>
    <definedName name="BExMGQQNOFER1MEVQ961XARTRIOB" localSheetId="19" hidden="1">#REF!</definedName>
    <definedName name="BExMGQQNOFER1MEVQ961XARTRIOB" hidden="1">#REF!</definedName>
    <definedName name="BExMH189E60TZBQFN2UWVA1UZA7X" localSheetId="8" hidden="1">#REF!</definedName>
    <definedName name="BExMH189E60TZBQFN2UWVA1UZA7X" localSheetId="19" hidden="1">#REF!</definedName>
    <definedName name="BExMH189E60TZBQFN2UWVA1UZA7X" hidden="1">#REF!</definedName>
    <definedName name="BExMH3H9TW5TJCNU5Z1EWXP3BAEP" localSheetId="8" hidden="1">#REF!</definedName>
    <definedName name="BExMH3H9TW5TJCNU5Z1EWXP3BAEP" localSheetId="19" hidden="1">#REF!</definedName>
    <definedName name="BExMH3H9TW5TJCNU5Z1EWXP3BAEP" hidden="1">#REF!</definedName>
    <definedName name="BExMH5A1B01SYXROP70DOKTQ5D6Z" localSheetId="8" hidden="1">#REF!</definedName>
    <definedName name="BExMH5A1B01SYXROP70DOKTQ5D6Z" localSheetId="19" hidden="1">#REF!</definedName>
    <definedName name="BExMH5A1B01SYXROP70DOKTQ5D6Z" hidden="1">#REF!</definedName>
    <definedName name="BExMHCGUJ8A3L31NU0XU0FGXE4P3" localSheetId="8" hidden="1">#REF!</definedName>
    <definedName name="BExMHCGUJ8A3L31NU0XU0FGXE4P3" localSheetId="19" hidden="1">#REF!</definedName>
    <definedName name="BExMHCGUJ8A3L31NU0XU0FGXE4P3" hidden="1">#REF!</definedName>
    <definedName name="BExMHOWPB34KPZ76M2KIX2C9R2VB" localSheetId="8" hidden="1">#REF!</definedName>
    <definedName name="BExMHOWPB34KPZ76M2KIX2C9R2VB" localSheetId="19" hidden="1">#REF!</definedName>
    <definedName name="BExMHOWPB34KPZ76M2KIX2C9R2VB" hidden="1">#REF!</definedName>
    <definedName name="BExMHSSYC6KVHA3QDTSYPN92TWMI" localSheetId="8" hidden="1">#REF!</definedName>
    <definedName name="BExMHSSYC6KVHA3QDTSYPN92TWMI" localSheetId="19" hidden="1">#REF!</definedName>
    <definedName name="BExMHSSYC6KVHA3QDTSYPN92TWMI" hidden="1">#REF!</definedName>
    <definedName name="BExMI3AJ9477KDL4T9DHET4LJJTW" localSheetId="8" hidden="1">#REF!</definedName>
    <definedName name="BExMI3AJ9477KDL4T9DHET4LJJTW" localSheetId="19" hidden="1">#REF!</definedName>
    <definedName name="BExMI3AJ9477KDL4T9DHET4LJJTW" hidden="1">#REF!</definedName>
    <definedName name="BExMI6QQ20XHD0NWJUN741B37182" localSheetId="8" hidden="1">#REF!</definedName>
    <definedName name="BExMI6QQ20XHD0NWJUN741B37182" localSheetId="19" hidden="1">#REF!</definedName>
    <definedName name="BExMI6QQ20XHD0NWJUN741B37182" hidden="1">#REF!</definedName>
    <definedName name="BExMI7MYDIMC9K16SBAFUY33RHK6" localSheetId="8" hidden="1">#REF!</definedName>
    <definedName name="BExMI7MYDIMC9K16SBAFUY33RHK6" localSheetId="19" hidden="1">#REF!</definedName>
    <definedName name="BExMI7MYDIMC9K16SBAFUY33RHK6" hidden="1">#REF!</definedName>
    <definedName name="BExMI8JB94SBD9EMNJEK7Y2T6GYU" localSheetId="8" hidden="1">#REF!</definedName>
    <definedName name="BExMI8JB94SBD9EMNJEK7Y2T6GYU" localSheetId="19" hidden="1">#REF!</definedName>
    <definedName name="BExMI8JB94SBD9EMNJEK7Y2T6GYU" hidden="1">#REF!</definedName>
    <definedName name="BExMI8OS85YTW3KYVE4YD0R7Z6UV" localSheetId="8" hidden="1">#REF!</definedName>
    <definedName name="BExMI8OS85YTW3KYVE4YD0R7Z6UV" localSheetId="19" hidden="1">#REF!</definedName>
    <definedName name="BExMI8OS85YTW3KYVE4YD0R7Z6UV" hidden="1">#REF!</definedName>
    <definedName name="BExMI9QNOMVZ44I3BFMGU1EL1RSY" localSheetId="8" hidden="1">#REF!</definedName>
    <definedName name="BExMI9QNOMVZ44I3BFMGU1EL1RSY" localSheetId="19" hidden="1">#REF!</definedName>
    <definedName name="BExMI9QNOMVZ44I3BFMGU1EL1RSY" hidden="1">#REF!</definedName>
    <definedName name="BExMIBOOZU40JS3F89OMPSRCE9MM" localSheetId="8" hidden="1">#REF!</definedName>
    <definedName name="BExMIBOOZU40JS3F89OMPSRCE9MM" localSheetId="19" hidden="1">#REF!</definedName>
    <definedName name="BExMIBOOZU40JS3F89OMPSRCE9MM" hidden="1">#REF!</definedName>
    <definedName name="BExMIIQ5MBWSIHTFWAQADXMZC22Q" localSheetId="8" hidden="1">#REF!</definedName>
    <definedName name="BExMIIQ5MBWSIHTFWAQADXMZC22Q" localSheetId="19" hidden="1">#REF!</definedName>
    <definedName name="BExMIIQ5MBWSIHTFWAQADXMZC22Q" hidden="1">#REF!</definedName>
    <definedName name="BExMIL4I2GE866I25CR5JBLJWJ6A" localSheetId="8" hidden="1">#REF!</definedName>
    <definedName name="BExMIL4I2GE866I25CR5JBLJWJ6A" localSheetId="19" hidden="1">#REF!</definedName>
    <definedName name="BExMIL4I2GE866I25CR5JBLJWJ6A" hidden="1">#REF!</definedName>
    <definedName name="BExMIRKIPF27SNO82SPFSB3T5U17" localSheetId="8" hidden="1">#REF!</definedName>
    <definedName name="BExMIRKIPF27SNO82SPFSB3T5U17" localSheetId="19" hidden="1">#REF!</definedName>
    <definedName name="BExMIRKIPF27SNO82SPFSB3T5U17" hidden="1">#REF!</definedName>
    <definedName name="BExMIV0KC8555D5E42ZGWG15Y0MO" localSheetId="8" hidden="1">#REF!</definedName>
    <definedName name="BExMIV0KC8555D5E42ZGWG15Y0MO" localSheetId="19" hidden="1">#REF!</definedName>
    <definedName name="BExMIV0KC8555D5E42ZGWG15Y0MO" hidden="1">#REF!</definedName>
    <definedName name="BExMIZT6AN7E6YMW2S87CTCN2UXH" localSheetId="8" hidden="1">#REF!</definedName>
    <definedName name="BExMIZT6AN7E6YMW2S87CTCN2UXH" localSheetId="19" hidden="1">#REF!</definedName>
    <definedName name="BExMIZT6AN7E6YMW2S87CTCN2UXH" hidden="1">#REF!</definedName>
    <definedName name="BExMJB76UESLVRD81AJBOB78JDTT" localSheetId="8" hidden="1">#REF!</definedName>
    <definedName name="BExMJB76UESLVRD81AJBOB78JDTT" localSheetId="19" hidden="1">#REF!</definedName>
    <definedName name="BExMJB76UESLVRD81AJBOB78JDTT" hidden="1">#REF!</definedName>
    <definedName name="BExMJI8OLFZQCGOW3F99ETW8A21E" localSheetId="8" hidden="1">#REF!</definedName>
    <definedName name="BExMJI8OLFZQCGOW3F99ETW8A21E" localSheetId="19" hidden="1">#REF!</definedName>
    <definedName name="BExMJI8OLFZQCGOW3F99ETW8A21E" hidden="1">#REF!</definedName>
    <definedName name="BExMJNC8ZFB9DRFOJ961ZAJ8U3A8" localSheetId="8" hidden="1">#REF!</definedName>
    <definedName name="BExMJNC8ZFB9DRFOJ961ZAJ8U3A8" localSheetId="19" hidden="1">#REF!</definedName>
    <definedName name="BExMJNC8ZFB9DRFOJ961ZAJ8U3A8" hidden="1">#REF!</definedName>
    <definedName name="BExMJTBV8A3D31W2IQHP9RDFPPHQ" localSheetId="8" hidden="1">#REF!</definedName>
    <definedName name="BExMJTBV8A3D31W2IQHP9RDFPPHQ" localSheetId="19" hidden="1">#REF!</definedName>
    <definedName name="BExMJTBV8A3D31W2IQHP9RDFPPHQ" hidden="1">#REF!</definedName>
    <definedName name="BExMK2RTXN4QJWEUNX002XK8VQP8" localSheetId="8" hidden="1">#REF!</definedName>
    <definedName name="BExMK2RTXN4QJWEUNX002XK8VQP8" localSheetId="19" hidden="1">#REF!</definedName>
    <definedName name="BExMK2RTXN4QJWEUNX002XK8VQP8" hidden="1">#REF!</definedName>
    <definedName name="BExMKBGQDUZ8AWXYHA3QVMSDVZ3D" localSheetId="8" hidden="1">#REF!</definedName>
    <definedName name="BExMKBGQDUZ8AWXYHA3QVMSDVZ3D" localSheetId="19" hidden="1">#REF!</definedName>
    <definedName name="BExMKBGQDUZ8AWXYHA3QVMSDVZ3D" hidden="1">#REF!</definedName>
    <definedName name="BExMKBM1467553LDFZRRKVSHN374" localSheetId="8" hidden="1">#REF!</definedName>
    <definedName name="BExMKBM1467553LDFZRRKVSHN374" localSheetId="19" hidden="1">#REF!</definedName>
    <definedName name="BExMKBM1467553LDFZRRKVSHN374" hidden="1">#REF!</definedName>
    <definedName name="BExMKGK5FJUC0AU8MABRGDC5ZM70" localSheetId="8" hidden="1">#REF!</definedName>
    <definedName name="BExMKGK5FJUC0AU8MABRGDC5ZM70" localSheetId="19" hidden="1">#REF!</definedName>
    <definedName name="BExMKGK5FJUC0AU8MABRGDC5ZM70" hidden="1">#REF!</definedName>
    <definedName name="BExMKP92JGBM5BJO174H9A4HQIB9" localSheetId="8" hidden="1">#REF!</definedName>
    <definedName name="BExMKP92JGBM5BJO174H9A4HQIB9" localSheetId="19" hidden="1">#REF!</definedName>
    <definedName name="BExMKP92JGBM5BJO174H9A4HQIB9" hidden="1">#REF!</definedName>
    <definedName name="BExMKPEDT6IOYLLC3KJKRZOETC3Y" localSheetId="8" hidden="1">#REF!</definedName>
    <definedName name="BExMKPEDT6IOYLLC3KJKRZOETC3Y" localSheetId="19" hidden="1">#REF!</definedName>
    <definedName name="BExMKPEDT6IOYLLC3KJKRZOETC3Y" hidden="1">#REF!</definedName>
    <definedName name="BExMKTW7R5SOV4PHAFGHU3W73DYE" localSheetId="8" hidden="1">#REF!</definedName>
    <definedName name="BExMKTW7R5SOV4PHAFGHU3W73DYE" localSheetId="19" hidden="1">#REF!</definedName>
    <definedName name="BExMKTW7R5SOV4PHAFGHU3W73DYE" hidden="1">#REF!</definedName>
    <definedName name="BExMKU7051J2W1RQXGZGE62NBRUZ" localSheetId="8" hidden="1">#REF!</definedName>
    <definedName name="BExMKU7051J2W1RQXGZGE62NBRUZ" localSheetId="19" hidden="1">#REF!</definedName>
    <definedName name="BExMKU7051J2W1RQXGZGE62NBRUZ" hidden="1">#REF!</definedName>
    <definedName name="BExMKUN3WPECJR2XRID2R7GZRGNX" localSheetId="8" hidden="1">#REF!</definedName>
    <definedName name="BExMKUN3WPECJR2XRID2R7GZRGNX" localSheetId="19" hidden="1">#REF!</definedName>
    <definedName name="BExMKUN3WPECJR2XRID2R7GZRGNX" hidden="1">#REF!</definedName>
    <definedName name="BExMKZ535P011X4TNV16GCOH4H21" localSheetId="8" hidden="1">#REF!</definedName>
    <definedName name="BExMKZ535P011X4TNV16GCOH4H21" localSheetId="19" hidden="1">#REF!</definedName>
    <definedName name="BExMKZ535P011X4TNV16GCOH4H21" hidden="1">#REF!</definedName>
    <definedName name="BExML3XQNDIMX55ZCHHXKUV3D6E6" localSheetId="8" hidden="1">#REF!</definedName>
    <definedName name="BExML3XQNDIMX55ZCHHXKUV3D6E6" localSheetId="19" hidden="1">#REF!</definedName>
    <definedName name="BExML3XQNDIMX55ZCHHXKUV3D6E6" hidden="1">#REF!</definedName>
    <definedName name="BExML5QGSWHLI18BGY4CGOTD3UWH" localSheetId="8" hidden="1">#REF!</definedName>
    <definedName name="BExML5QGSWHLI18BGY4CGOTD3UWH" localSheetId="19" hidden="1">#REF!</definedName>
    <definedName name="BExML5QGSWHLI18BGY4CGOTD3UWH" hidden="1">#REF!</definedName>
    <definedName name="BExML6BVFCV80776USR7X70HVRZT" localSheetId="8" hidden="1">#REF!</definedName>
    <definedName name="BExML6BVFCV80776USR7X70HVRZT" localSheetId="19" hidden="1">#REF!</definedName>
    <definedName name="BExML6BVFCV80776USR7X70HVRZT" hidden="1">#REF!</definedName>
    <definedName name="BExMLO5Z61RE85X8HHX2G4IU3AZW" localSheetId="8" hidden="1">#REF!</definedName>
    <definedName name="BExMLO5Z61RE85X8HHX2G4IU3AZW" localSheetId="19" hidden="1">#REF!</definedName>
    <definedName name="BExMLO5Z61RE85X8HHX2G4IU3AZW" hidden="1">#REF!</definedName>
    <definedName name="BExMLVI7UORSHM9FMO8S2EI0TMTS" localSheetId="8" hidden="1">#REF!</definedName>
    <definedName name="BExMLVI7UORSHM9FMO8S2EI0TMTS" localSheetId="19" hidden="1">#REF!</definedName>
    <definedName name="BExMLVI7UORSHM9FMO8S2EI0TMTS" hidden="1">#REF!</definedName>
    <definedName name="BExMM5UCOT2HSSN0ZIPZW55GSOVO" localSheetId="8" hidden="1">#REF!</definedName>
    <definedName name="BExMM5UCOT2HSSN0ZIPZW55GSOVO" localSheetId="19" hidden="1">#REF!</definedName>
    <definedName name="BExMM5UCOT2HSSN0ZIPZW55GSOVO" hidden="1">#REF!</definedName>
    <definedName name="BExMM8ZRS5RQ8H1H55RVPVTDL5NL" localSheetId="8" hidden="1">#REF!</definedName>
    <definedName name="BExMM8ZRS5RQ8H1H55RVPVTDL5NL" localSheetId="19" hidden="1">#REF!</definedName>
    <definedName name="BExMM8ZRS5RQ8H1H55RVPVTDL5NL" hidden="1">#REF!</definedName>
    <definedName name="BExMMH8EAZB09XXQ5X4LR0P4NHG9" localSheetId="8" hidden="1">#REF!</definedName>
    <definedName name="BExMMH8EAZB09XXQ5X4LR0P4NHG9" localSheetId="19" hidden="1">#REF!</definedName>
    <definedName name="BExMMH8EAZB09XXQ5X4LR0P4NHG9" hidden="1">#REF!</definedName>
    <definedName name="BExMMIQH5BABNZVCIQ7TBCQ10AY5" localSheetId="8" hidden="1">#REF!</definedName>
    <definedName name="BExMMIQH5BABNZVCIQ7TBCQ10AY5" localSheetId="19" hidden="1">#REF!</definedName>
    <definedName name="BExMMIQH5BABNZVCIQ7TBCQ10AY5" hidden="1">#REF!</definedName>
    <definedName name="BExMMNIZ2T7M22WECMUQXEF4NJ71" localSheetId="8" hidden="1">#REF!</definedName>
    <definedName name="BExMMNIZ2T7M22WECMUQXEF4NJ71" localSheetId="19" hidden="1">#REF!</definedName>
    <definedName name="BExMMNIZ2T7M22WECMUQXEF4NJ71" hidden="1">#REF!</definedName>
    <definedName name="BExMMPMIOU7BURTV0L1K6ACW9X73" localSheetId="8" hidden="1">#REF!</definedName>
    <definedName name="BExMMPMIOU7BURTV0L1K6ACW9X73" localSheetId="19" hidden="1">#REF!</definedName>
    <definedName name="BExMMPMIOU7BURTV0L1K6ACW9X73" hidden="1">#REF!</definedName>
    <definedName name="BExMMQ835AJDHS4B419SS645P67Q" localSheetId="8" hidden="1">#REF!</definedName>
    <definedName name="BExMMQ835AJDHS4B419SS645P67Q" localSheetId="19" hidden="1">#REF!</definedName>
    <definedName name="BExMMQ835AJDHS4B419SS645P67Q" hidden="1">#REF!</definedName>
    <definedName name="BExMMQIUVPCOBISTEJJYNCCLUCPY" localSheetId="8" hidden="1">#REF!</definedName>
    <definedName name="BExMMQIUVPCOBISTEJJYNCCLUCPY" localSheetId="19" hidden="1">#REF!</definedName>
    <definedName name="BExMMQIUVPCOBISTEJJYNCCLUCPY" hidden="1">#REF!</definedName>
    <definedName name="BExMMTIXETA5VAKBSOFDD5SRU887" localSheetId="8" hidden="1">#REF!</definedName>
    <definedName name="BExMMTIXETA5VAKBSOFDD5SRU887" localSheetId="19" hidden="1">#REF!</definedName>
    <definedName name="BExMMTIXETA5VAKBSOFDD5SRU887" hidden="1">#REF!</definedName>
    <definedName name="BExMMV0P6P5YS3C35G0JYYHI7992" localSheetId="8" hidden="1">#REF!</definedName>
    <definedName name="BExMMV0P6P5YS3C35G0JYYHI7992" localSheetId="19" hidden="1">#REF!</definedName>
    <definedName name="BExMMV0P6P5YS3C35G0JYYHI7992" hidden="1">#REF!</definedName>
    <definedName name="BExMNJLFWZBRN9PZF1IO9CYWV1B2" localSheetId="8" hidden="1">#REF!</definedName>
    <definedName name="BExMNJLFWZBRN9PZF1IO9CYWV1B2" localSheetId="19" hidden="1">#REF!</definedName>
    <definedName name="BExMNJLFWZBRN9PZF1IO9CYWV1B2" hidden="1">#REF!</definedName>
    <definedName name="BExMNKCJ0FA57YEUUAJE43U1QN5P" localSheetId="8" hidden="1">#REF!</definedName>
    <definedName name="BExMNKCJ0FA57YEUUAJE43U1QN5P" localSheetId="19" hidden="1">#REF!</definedName>
    <definedName name="BExMNKCJ0FA57YEUUAJE43U1QN5P" hidden="1">#REF!</definedName>
    <definedName name="BExMNKN5D1WEF2OOJVP6LZ6DLU3Y" localSheetId="8" hidden="1">#REF!</definedName>
    <definedName name="BExMNKN5D1WEF2OOJVP6LZ6DLU3Y" localSheetId="19" hidden="1">#REF!</definedName>
    <definedName name="BExMNKN5D1WEF2OOJVP6LZ6DLU3Y" hidden="1">#REF!</definedName>
    <definedName name="BExMNR38HMPLWAJRQ9MMS3ZAZ9IU" localSheetId="8" hidden="1">#REF!</definedName>
    <definedName name="BExMNR38HMPLWAJRQ9MMS3ZAZ9IU" localSheetId="19" hidden="1">#REF!</definedName>
    <definedName name="BExMNR38HMPLWAJRQ9MMS3ZAZ9IU" hidden="1">#REF!</definedName>
    <definedName name="BExMNRDZULKJMVY2VKIIRM2M5A1M" localSheetId="8" hidden="1">#REF!</definedName>
    <definedName name="BExMNRDZULKJMVY2VKIIRM2M5A1M" localSheetId="19" hidden="1">#REF!</definedName>
    <definedName name="BExMNRDZULKJMVY2VKIIRM2M5A1M" hidden="1">#REF!</definedName>
    <definedName name="BExMNVFKZIBQSCAH71DIF1CJG89T" localSheetId="8" hidden="1">#REF!</definedName>
    <definedName name="BExMNVFKZIBQSCAH71DIF1CJG89T" localSheetId="19" hidden="1">#REF!</definedName>
    <definedName name="BExMNVFKZIBQSCAH71DIF1CJG89T" hidden="1">#REF!</definedName>
    <definedName name="BExMNVVUQAGQY9SA29FGI7D7R5MN" localSheetId="8" hidden="1">#REF!</definedName>
    <definedName name="BExMNVVUQAGQY9SA29FGI7D7R5MN" localSheetId="19" hidden="1">#REF!</definedName>
    <definedName name="BExMNVVUQAGQY9SA29FGI7D7R5MN" hidden="1">#REF!</definedName>
    <definedName name="BExMO9IOWKTWHO8LQJJQI5P3INWY" localSheetId="8" hidden="1">#REF!</definedName>
    <definedName name="BExMO9IOWKTWHO8LQJJQI5P3INWY" localSheetId="19" hidden="1">#REF!</definedName>
    <definedName name="BExMO9IOWKTWHO8LQJJQI5P3INWY" hidden="1">#REF!</definedName>
    <definedName name="BExMOI29DOEK5R1A5QZPUDKF7N6T" localSheetId="8" hidden="1">#REF!</definedName>
    <definedName name="BExMOI29DOEK5R1A5QZPUDKF7N6T" localSheetId="19" hidden="1">#REF!</definedName>
    <definedName name="BExMOI29DOEK5R1A5QZPUDKF7N6T" hidden="1">#REF!</definedName>
    <definedName name="BExMONRAU0S904NLJHPI47RVQDBH" localSheetId="8" hidden="1">#REF!</definedName>
    <definedName name="BExMONRAU0S904NLJHPI47RVQDBH" localSheetId="19" hidden="1">#REF!</definedName>
    <definedName name="BExMONRAU0S904NLJHPI47RVQDBH" hidden="1">#REF!</definedName>
    <definedName name="BExMPAJ5AJAXGKGK3F6H3ODS6RF4" localSheetId="8" hidden="1">#REF!</definedName>
    <definedName name="BExMPAJ5AJAXGKGK3F6H3ODS6RF4" localSheetId="19" hidden="1">#REF!</definedName>
    <definedName name="BExMPAJ5AJAXGKGK3F6H3ODS6RF4" hidden="1">#REF!</definedName>
    <definedName name="BExMPD2X55FFBVJ6CBUKNPROIOEU" localSheetId="8" hidden="1">#REF!</definedName>
    <definedName name="BExMPD2X55FFBVJ6CBUKNPROIOEU" localSheetId="19" hidden="1">#REF!</definedName>
    <definedName name="BExMPD2X55FFBVJ6CBUKNPROIOEU" hidden="1">#REF!</definedName>
    <definedName name="BExMPGZ848E38FUH1JBQN97DGWAT" localSheetId="8" hidden="1">#REF!</definedName>
    <definedName name="BExMPGZ848E38FUH1JBQN97DGWAT" localSheetId="19" hidden="1">#REF!</definedName>
    <definedName name="BExMPGZ848E38FUH1JBQN97DGWAT" hidden="1">#REF!</definedName>
    <definedName name="BExMPMTICOSMQENOFKQ18K0ZT4S8" localSheetId="8" hidden="1">#REF!</definedName>
    <definedName name="BExMPMTICOSMQENOFKQ18K0ZT4S8" localSheetId="19" hidden="1">#REF!</definedName>
    <definedName name="BExMPMTICOSMQENOFKQ18K0ZT4S8" hidden="1">#REF!</definedName>
    <definedName name="BExMPMZ07II0R4KGWQQ7PGS3RZS4" localSheetId="8" hidden="1">#REF!</definedName>
    <definedName name="BExMPMZ07II0R4KGWQQ7PGS3RZS4" localSheetId="19" hidden="1">#REF!</definedName>
    <definedName name="BExMPMZ07II0R4KGWQQ7PGS3RZS4" hidden="1">#REF!</definedName>
    <definedName name="BExMPOBH04JMDO6Z8DMSEJZM4ANN" localSheetId="8" hidden="1">#REF!</definedName>
    <definedName name="BExMPOBH04JMDO6Z8DMSEJZM4ANN" localSheetId="19" hidden="1">#REF!</definedName>
    <definedName name="BExMPOBH04JMDO6Z8DMSEJZM4ANN" hidden="1">#REF!</definedName>
    <definedName name="BExMPSD77XQ3HA6A4FZOJK8G2JP3" localSheetId="8" hidden="1">#REF!</definedName>
    <definedName name="BExMPSD77XQ3HA6A4FZOJK8G2JP3" localSheetId="19" hidden="1">#REF!</definedName>
    <definedName name="BExMPSD77XQ3HA6A4FZOJK8G2JP3" hidden="1">#REF!</definedName>
    <definedName name="BExMQ4I3Q7F0BMPHSFMFW9TZ87UD" localSheetId="8" hidden="1">#REF!</definedName>
    <definedName name="BExMQ4I3Q7F0BMPHSFMFW9TZ87UD" localSheetId="19" hidden="1">#REF!</definedName>
    <definedName name="BExMQ4I3Q7F0BMPHSFMFW9TZ87UD" hidden="1">#REF!</definedName>
    <definedName name="BExMQ4SWDWI4N16AZ0T5CJ6HH8WC" localSheetId="8" hidden="1">#REF!</definedName>
    <definedName name="BExMQ4SWDWI4N16AZ0T5CJ6HH8WC" localSheetId="19" hidden="1">#REF!</definedName>
    <definedName name="BExMQ4SWDWI4N16AZ0T5CJ6HH8WC" hidden="1">#REF!</definedName>
    <definedName name="BExMQ71WHW50GVX45JU951AGPLFQ" localSheetId="8" hidden="1">#REF!</definedName>
    <definedName name="BExMQ71WHW50GVX45JU951AGPLFQ" localSheetId="19" hidden="1">#REF!</definedName>
    <definedName name="BExMQ71WHW50GVX45JU951AGPLFQ" hidden="1">#REF!</definedName>
    <definedName name="BExMQGXSLPT4A6N47LE6FBVHWBOF" localSheetId="8" hidden="1">#REF!</definedName>
    <definedName name="BExMQGXSLPT4A6N47LE6FBVHWBOF" localSheetId="19" hidden="1">#REF!</definedName>
    <definedName name="BExMQGXSLPT4A6N47LE6FBVHWBOF" hidden="1">#REF!</definedName>
    <definedName name="BExMQNZGFHW75W9HWRCR0FEF0XF0" localSheetId="8" hidden="1">#REF!</definedName>
    <definedName name="BExMQNZGFHW75W9HWRCR0FEF0XF0" localSheetId="19" hidden="1">#REF!</definedName>
    <definedName name="BExMQNZGFHW75W9HWRCR0FEF0XF0" hidden="1">#REF!</definedName>
    <definedName name="BExMQRKVQPDFPD0WQUA9QND8OV7P" localSheetId="8" hidden="1">#REF!</definedName>
    <definedName name="BExMQRKVQPDFPD0WQUA9QND8OV7P" localSheetId="19" hidden="1">#REF!</definedName>
    <definedName name="BExMQRKVQPDFPD0WQUA9QND8OV7P" hidden="1">#REF!</definedName>
    <definedName name="BExMQSBR7PL4KLB1Q4961QO45Y4G" localSheetId="8" hidden="1">#REF!</definedName>
    <definedName name="BExMQSBR7PL4KLB1Q4961QO45Y4G" localSheetId="19" hidden="1">#REF!</definedName>
    <definedName name="BExMQSBR7PL4KLB1Q4961QO45Y4G" hidden="1">#REF!</definedName>
    <definedName name="BExMR1MA4I1X77714ZEPUVC8W398" localSheetId="8" hidden="1">#REF!</definedName>
    <definedName name="BExMR1MA4I1X77714ZEPUVC8W398" localSheetId="19" hidden="1">#REF!</definedName>
    <definedName name="BExMR1MA4I1X77714ZEPUVC8W398" hidden="1">#REF!</definedName>
    <definedName name="BExMR8YQHA7N77HGHY4Y6R30I3XT" localSheetId="8" hidden="1">#REF!</definedName>
    <definedName name="BExMR8YQHA7N77HGHY4Y6R30I3XT" localSheetId="19" hidden="1">#REF!</definedName>
    <definedName name="BExMR8YQHA7N77HGHY4Y6R30I3XT" hidden="1">#REF!</definedName>
    <definedName name="BExMRENOIARWRYOIVPDIEBVNRDO7" localSheetId="8" hidden="1">#REF!</definedName>
    <definedName name="BExMRENOIARWRYOIVPDIEBVNRDO7" localSheetId="19" hidden="1">#REF!</definedName>
    <definedName name="BExMRENOIARWRYOIVPDIEBVNRDO7" hidden="1">#REF!</definedName>
    <definedName name="BExMRF3SCIUZL945WMMDCT29MTLN" localSheetId="8" hidden="1">#REF!</definedName>
    <definedName name="BExMRF3SCIUZL945WMMDCT29MTLN" localSheetId="19" hidden="1">#REF!</definedName>
    <definedName name="BExMRF3SCIUZL945WMMDCT29MTLN" hidden="1">#REF!</definedName>
    <definedName name="BExMRRJNUMGRSDD5GGKKGEIZ6FTS" localSheetId="8" hidden="1">#REF!</definedName>
    <definedName name="BExMRRJNUMGRSDD5GGKKGEIZ6FTS" localSheetId="19" hidden="1">#REF!</definedName>
    <definedName name="BExMRRJNUMGRSDD5GGKKGEIZ6FTS" hidden="1">#REF!</definedName>
    <definedName name="BExMRU3ACIU0RD2BNWO55LH5U2BR" localSheetId="8" hidden="1">#REF!</definedName>
    <definedName name="BExMRU3ACIU0RD2BNWO55LH5U2BR" localSheetId="19" hidden="1">#REF!</definedName>
    <definedName name="BExMRU3ACIU0RD2BNWO55LH5U2BR" hidden="1">#REF!</definedName>
    <definedName name="BExMRWC9LD1LDAVIUQHQWIYMK129" localSheetId="8" hidden="1">#REF!</definedName>
    <definedName name="BExMRWC9LD1LDAVIUQHQWIYMK129" localSheetId="19" hidden="1">#REF!</definedName>
    <definedName name="BExMRWC9LD1LDAVIUQHQWIYMK129" hidden="1">#REF!</definedName>
    <definedName name="BExMSBH3T898ERC4BT51ZURKDCH1" localSheetId="8" hidden="1">#REF!</definedName>
    <definedName name="BExMSBH3T898ERC4BT51ZURKDCH1" localSheetId="19" hidden="1">#REF!</definedName>
    <definedName name="BExMSBH3T898ERC4BT51ZURKDCH1" hidden="1">#REF!</definedName>
    <definedName name="BExMSQRCC40AP8BDUPL2I2DNC210" localSheetId="8" hidden="1">#REF!</definedName>
    <definedName name="BExMSQRCC40AP8BDUPL2I2DNC210" localSheetId="19" hidden="1">#REF!</definedName>
    <definedName name="BExMSQRCC40AP8BDUPL2I2DNC210" hidden="1">#REF!</definedName>
    <definedName name="BExO4J9LR712G00TVA82VNTG8O7H" localSheetId="8" hidden="1">#REF!</definedName>
    <definedName name="BExO4J9LR712G00TVA82VNTG8O7H" localSheetId="19" hidden="1">#REF!</definedName>
    <definedName name="BExO4J9LR712G00TVA82VNTG8O7H" hidden="1">#REF!</definedName>
    <definedName name="BExO55G2KVZ7MIJ30N827CLH0I2A" localSheetId="8" hidden="1">#REF!</definedName>
    <definedName name="BExO55G2KVZ7MIJ30N827CLH0I2A" localSheetId="19" hidden="1">#REF!</definedName>
    <definedName name="BExO55G2KVZ7MIJ30N827CLH0I2A" hidden="1">#REF!</definedName>
    <definedName name="BExO5A8PZD9EUHC5CMPU6N3SQ15L" localSheetId="8" hidden="1">#REF!</definedName>
    <definedName name="BExO5A8PZD9EUHC5CMPU6N3SQ15L" localSheetId="19" hidden="1">#REF!</definedName>
    <definedName name="BExO5A8PZD9EUHC5CMPU6N3SQ15L" hidden="1">#REF!</definedName>
    <definedName name="BExO5XMAHL7CY3X0B1OPKZ28DCJ5" localSheetId="8" hidden="1">#REF!</definedName>
    <definedName name="BExO5XMAHL7CY3X0B1OPKZ28DCJ5" localSheetId="19" hidden="1">#REF!</definedName>
    <definedName name="BExO5XMAHL7CY3X0B1OPKZ28DCJ5" hidden="1">#REF!</definedName>
    <definedName name="BExO66LZJKY4PTQVREELI6POS4AY" localSheetId="8" hidden="1">#REF!</definedName>
    <definedName name="BExO66LZJKY4PTQVREELI6POS4AY" localSheetId="19" hidden="1">#REF!</definedName>
    <definedName name="BExO66LZJKY4PTQVREELI6POS4AY" hidden="1">#REF!</definedName>
    <definedName name="BExO6LLHCYTF7CIVHKAO0NMET14Q" localSheetId="8" hidden="1">#REF!</definedName>
    <definedName name="BExO6LLHCYTF7CIVHKAO0NMET14Q" localSheetId="19" hidden="1">#REF!</definedName>
    <definedName name="BExO6LLHCYTF7CIVHKAO0NMET14Q" hidden="1">#REF!</definedName>
    <definedName name="BExO6NOZIPWELHV0XX25APL9UNOP" localSheetId="8" hidden="1">#REF!</definedName>
    <definedName name="BExO6NOZIPWELHV0XX25APL9UNOP" localSheetId="19" hidden="1">#REF!</definedName>
    <definedName name="BExO6NOZIPWELHV0XX25APL9UNOP" hidden="1">#REF!</definedName>
    <definedName name="BExO71MMHEBC11LG4HXDEQNHOII2" localSheetId="8" hidden="1">#REF!</definedName>
    <definedName name="BExO71MMHEBC11LG4HXDEQNHOII2" localSheetId="19" hidden="1">#REF!</definedName>
    <definedName name="BExO71MMHEBC11LG4HXDEQNHOII2" hidden="1">#REF!</definedName>
    <definedName name="BExO71S28H4XYOYYLAXOO93QV4TF" localSheetId="8" hidden="1">#REF!</definedName>
    <definedName name="BExO71S28H4XYOYYLAXOO93QV4TF" localSheetId="19" hidden="1">#REF!</definedName>
    <definedName name="BExO71S28H4XYOYYLAXOO93QV4TF" hidden="1">#REF!</definedName>
    <definedName name="BExO7BIP1737MIY7S6K4XYMTIO95" localSheetId="8" hidden="1">#REF!</definedName>
    <definedName name="BExO7BIP1737MIY7S6K4XYMTIO95" localSheetId="19" hidden="1">#REF!</definedName>
    <definedName name="BExO7BIP1737MIY7S6K4XYMTIO95" hidden="1">#REF!</definedName>
    <definedName name="BExO7OUQS3XTUQ2LDKGQ8AAQ3OJJ" localSheetId="8" hidden="1">#REF!</definedName>
    <definedName name="BExO7OUQS3XTUQ2LDKGQ8AAQ3OJJ" localSheetId="19" hidden="1">#REF!</definedName>
    <definedName name="BExO7OUQS3XTUQ2LDKGQ8AAQ3OJJ" hidden="1">#REF!</definedName>
    <definedName name="BExO85HMYXZJ7SONWBKKIAXMCI3C" localSheetId="8" hidden="1">#REF!</definedName>
    <definedName name="BExO85HMYXZJ7SONWBKKIAXMCI3C" localSheetId="19" hidden="1">#REF!</definedName>
    <definedName name="BExO85HMYXZJ7SONWBKKIAXMCI3C" hidden="1">#REF!</definedName>
    <definedName name="BExO863922O4PBGQMUNEQKGN3K96" localSheetId="8" hidden="1">#REF!</definedName>
    <definedName name="BExO863922O4PBGQMUNEQKGN3K96" localSheetId="19" hidden="1">#REF!</definedName>
    <definedName name="BExO863922O4PBGQMUNEQKGN3K96" hidden="1">#REF!</definedName>
    <definedName name="BExO89ZIOXN0HOKHY24F7HDZ87UT" localSheetId="8" hidden="1">#REF!</definedName>
    <definedName name="BExO89ZIOXN0HOKHY24F7HDZ87UT" localSheetId="19" hidden="1">#REF!</definedName>
    <definedName name="BExO89ZIOXN0HOKHY24F7HDZ87UT" hidden="1">#REF!</definedName>
    <definedName name="BExO8A4SWOKD9WI5E6DITCL3LZZC" localSheetId="8" hidden="1">#REF!</definedName>
    <definedName name="BExO8A4SWOKD9WI5E6DITCL3LZZC" localSheetId="19" hidden="1">#REF!</definedName>
    <definedName name="BExO8A4SWOKD9WI5E6DITCL3LZZC" hidden="1">#REF!</definedName>
    <definedName name="BExO8CDTBCABLEUD6PE2UM2EZ6C4" localSheetId="8" hidden="1">#REF!</definedName>
    <definedName name="BExO8CDTBCABLEUD6PE2UM2EZ6C4" localSheetId="19" hidden="1">#REF!</definedName>
    <definedName name="BExO8CDTBCABLEUD6PE2UM2EZ6C4" hidden="1">#REF!</definedName>
    <definedName name="BExO8UTAGQWDBQZEEF4HUNMLQCVU" localSheetId="8" hidden="1">#REF!</definedName>
    <definedName name="BExO8UTAGQWDBQZEEF4HUNMLQCVU" localSheetId="19" hidden="1">#REF!</definedName>
    <definedName name="BExO8UTAGQWDBQZEEF4HUNMLQCVU" hidden="1">#REF!</definedName>
    <definedName name="BExO937E20IHMGQOZMECL3VZC7OX" localSheetId="8" hidden="1">#REF!</definedName>
    <definedName name="BExO937E20IHMGQOZMECL3VZC7OX" localSheetId="19" hidden="1">#REF!</definedName>
    <definedName name="BExO937E20IHMGQOZMECL3VZC7OX" hidden="1">#REF!</definedName>
    <definedName name="BExO94UTJKQQ7TJTTJRTSR70YVJC" localSheetId="8" hidden="1">#REF!</definedName>
    <definedName name="BExO94UTJKQQ7TJTTJRTSR70YVJC" localSheetId="19" hidden="1">#REF!</definedName>
    <definedName name="BExO94UTJKQQ7TJTTJRTSR70YVJC" hidden="1">#REF!</definedName>
    <definedName name="BExO9EALFB2R8VULHML1AVRPHME0" localSheetId="8" hidden="1">#REF!</definedName>
    <definedName name="BExO9EALFB2R8VULHML1AVRPHME0" localSheetId="19" hidden="1">#REF!</definedName>
    <definedName name="BExO9EALFB2R8VULHML1AVRPHME0" hidden="1">#REF!</definedName>
    <definedName name="BExO9J3A438976RXIUX5U9SU5T55" localSheetId="8" hidden="1">#REF!</definedName>
    <definedName name="BExO9J3A438976RXIUX5U9SU5T55" localSheetId="19" hidden="1">#REF!</definedName>
    <definedName name="BExO9J3A438976RXIUX5U9SU5T55" hidden="1">#REF!</definedName>
    <definedName name="BExO9RS5RXFJ1911HL3CCK6M74EP" localSheetId="8" hidden="1">#REF!</definedName>
    <definedName name="BExO9RS5RXFJ1911HL3CCK6M74EP" localSheetId="19" hidden="1">#REF!</definedName>
    <definedName name="BExO9RS5RXFJ1911HL3CCK6M74EP" hidden="1">#REF!</definedName>
    <definedName name="BExO9SDRI1M6KMHXSG3AE5L0F2U3" localSheetId="8" hidden="1">#REF!</definedName>
    <definedName name="BExO9SDRI1M6KMHXSG3AE5L0F2U3" localSheetId="19" hidden="1">#REF!</definedName>
    <definedName name="BExO9SDRI1M6KMHXSG3AE5L0F2U3" hidden="1">#REF!</definedName>
    <definedName name="BExO9US253B9UNAYT7DWLMK2BO44" localSheetId="8" hidden="1">#REF!</definedName>
    <definedName name="BExO9US253B9UNAYT7DWLMK2BO44" localSheetId="19" hidden="1">#REF!</definedName>
    <definedName name="BExO9US253B9UNAYT7DWLMK2BO44" hidden="1">#REF!</definedName>
    <definedName name="BExO9V2U2YXAY904GYYGU6TD8Y7M" localSheetId="8" hidden="1">#REF!</definedName>
    <definedName name="BExO9V2U2YXAY904GYYGU6TD8Y7M" localSheetId="19" hidden="1">#REF!</definedName>
    <definedName name="BExO9V2U2YXAY904GYYGU6TD8Y7M" hidden="1">#REF!</definedName>
    <definedName name="BExOAAIG18X4V98C7122L5F65P5C" localSheetId="8" hidden="1">#REF!</definedName>
    <definedName name="BExOAAIG18X4V98C7122L5F65P5C" localSheetId="19" hidden="1">#REF!</definedName>
    <definedName name="BExOAAIG18X4V98C7122L5F65P5C" hidden="1">#REF!</definedName>
    <definedName name="BExOAQ3GKCT7YZW1EMVU3EILSZL2" localSheetId="8" hidden="1">#REF!</definedName>
    <definedName name="BExOAQ3GKCT7YZW1EMVU3EILSZL2" localSheetId="19" hidden="1">#REF!</definedName>
    <definedName name="BExOAQ3GKCT7YZW1EMVU3EILSZL2" hidden="1">#REF!</definedName>
    <definedName name="BExOATZQ6SF8DASYLBQ0Z6D2WPSC" localSheetId="8" hidden="1">#REF!</definedName>
    <definedName name="BExOATZQ6SF8DASYLBQ0Z6D2WPSC" localSheetId="19" hidden="1">#REF!</definedName>
    <definedName name="BExOATZQ6SF8DASYLBQ0Z6D2WPSC" hidden="1">#REF!</definedName>
    <definedName name="BExOB9KT2THGV4SPLDVFTFXS4B14" localSheetId="8" hidden="1">#REF!</definedName>
    <definedName name="BExOB9KT2THGV4SPLDVFTFXS4B14" localSheetId="19" hidden="1">#REF!</definedName>
    <definedName name="BExOB9KT2THGV4SPLDVFTFXS4B14" hidden="1">#REF!</definedName>
    <definedName name="BExOBEZ0IE2WBEYY3D3CMRI72N1K" localSheetId="8" hidden="1">#REF!</definedName>
    <definedName name="BExOBEZ0IE2WBEYY3D3CMRI72N1K" localSheetId="19" hidden="1">#REF!</definedName>
    <definedName name="BExOBEZ0IE2WBEYY3D3CMRI72N1K" hidden="1">#REF!</definedName>
    <definedName name="BExOBF9TFH4NSBTR7JD2Q1165NIU" localSheetId="8" hidden="1">#REF!</definedName>
    <definedName name="BExOBF9TFH4NSBTR7JD2Q1165NIU" localSheetId="19" hidden="1">#REF!</definedName>
    <definedName name="BExOBF9TFH4NSBTR7JD2Q1165NIU" hidden="1">#REF!</definedName>
    <definedName name="BExOBIPU8760ITY0C8N27XZ3KWEF" localSheetId="8" hidden="1">#REF!</definedName>
    <definedName name="BExOBIPU8760ITY0C8N27XZ3KWEF" localSheetId="19" hidden="1">#REF!</definedName>
    <definedName name="BExOBIPU8760ITY0C8N27XZ3KWEF" hidden="1">#REF!</definedName>
    <definedName name="BExOBM0I5L0MZ1G4H9MGMD87SBMZ" localSheetId="8" hidden="1">#REF!</definedName>
    <definedName name="BExOBM0I5L0MZ1G4H9MGMD87SBMZ" localSheetId="19" hidden="1">#REF!</definedName>
    <definedName name="BExOBM0I5L0MZ1G4H9MGMD87SBMZ" hidden="1">#REF!</definedName>
    <definedName name="BExOBOUXMP88KJY2BX2JLUJH5N0K" localSheetId="8" hidden="1">#REF!</definedName>
    <definedName name="BExOBOUXMP88KJY2BX2JLUJH5N0K" localSheetId="19" hidden="1">#REF!</definedName>
    <definedName name="BExOBOUXMP88KJY2BX2JLUJH5N0K" hidden="1">#REF!</definedName>
    <definedName name="BExOBP0FKQ4SVR59FB48UNLKCOR6" localSheetId="8" hidden="1">#REF!</definedName>
    <definedName name="BExOBP0FKQ4SVR59FB48UNLKCOR6" localSheetId="19" hidden="1">#REF!</definedName>
    <definedName name="BExOBP0FKQ4SVR59FB48UNLKCOR6" hidden="1">#REF!</definedName>
    <definedName name="BExOBTNR0XX9V82O76VVWUQABHT8" localSheetId="8" hidden="1">#REF!</definedName>
    <definedName name="BExOBTNR0XX9V82O76VVWUQABHT8" localSheetId="19" hidden="1">#REF!</definedName>
    <definedName name="BExOBTNR0XX9V82O76VVWUQABHT8" hidden="1">#REF!</definedName>
    <definedName name="BExOBYAVUCQ0IGM0Y6A75QHP0Q1A" localSheetId="8" hidden="1">#REF!</definedName>
    <definedName name="BExOBYAVUCQ0IGM0Y6A75QHP0Q1A" localSheetId="19" hidden="1">#REF!</definedName>
    <definedName name="BExOBYAVUCQ0IGM0Y6A75QHP0Q1A" hidden="1">#REF!</definedName>
    <definedName name="BExOC3UEHB1CZNINSQHZANWJYKR8" localSheetId="8" hidden="1">#REF!</definedName>
    <definedName name="BExOC3UEHB1CZNINSQHZANWJYKR8" localSheetId="19" hidden="1">#REF!</definedName>
    <definedName name="BExOC3UEHB1CZNINSQHZANWJYKR8" hidden="1">#REF!</definedName>
    <definedName name="BExOCBSF3XGO9YJ23LX2H78VOUR7" localSheetId="8" hidden="1">#REF!</definedName>
    <definedName name="BExOCBSF3XGO9YJ23LX2H78VOUR7" localSheetId="19" hidden="1">#REF!</definedName>
    <definedName name="BExOCBSF3XGO9YJ23LX2H78VOUR7" hidden="1">#REF!</definedName>
    <definedName name="BExOCEHJCLIUR23CB4TC9OEFJGFX" localSheetId="8" hidden="1">#REF!</definedName>
    <definedName name="BExOCEHJCLIUR23CB4TC9OEFJGFX" localSheetId="19" hidden="1">#REF!</definedName>
    <definedName name="BExOCEHJCLIUR23CB4TC9OEFJGFX" hidden="1">#REF!</definedName>
    <definedName name="BExOCKXFMOW6WPFEVX1I7R7FNDSS" localSheetId="8" hidden="1">#REF!</definedName>
    <definedName name="BExOCKXFMOW6WPFEVX1I7R7FNDSS" localSheetId="19" hidden="1">#REF!</definedName>
    <definedName name="BExOCKXFMOW6WPFEVX1I7R7FNDSS" hidden="1">#REF!</definedName>
    <definedName name="BExOCM4L30L6FV3N2PR4O6X8WY2M" localSheetId="8" hidden="1">#REF!</definedName>
    <definedName name="BExOCM4L30L6FV3N2PR4O6X8WY2M" localSheetId="19" hidden="1">#REF!</definedName>
    <definedName name="BExOCM4L30L6FV3N2PR4O6X8WY2M" hidden="1">#REF!</definedName>
    <definedName name="BExOCYEXOB95DH5NOB0M5NOYX398" localSheetId="8" hidden="1">#REF!</definedName>
    <definedName name="BExOCYEXOB95DH5NOB0M5NOYX398" localSheetId="19" hidden="1">#REF!</definedName>
    <definedName name="BExOCYEXOB95DH5NOB0M5NOYX398" hidden="1">#REF!</definedName>
    <definedName name="BExOD4ERMDMFD8X1016N4EXOUR0S" localSheetId="8" hidden="1">#REF!</definedName>
    <definedName name="BExOD4ERMDMFD8X1016N4EXOUR0S" localSheetId="19" hidden="1">#REF!</definedName>
    <definedName name="BExOD4ERMDMFD8X1016N4EXOUR0S" hidden="1">#REF!</definedName>
    <definedName name="BExOD55RS7BQUHRQ6H3USVGKR0P7" localSheetId="8" hidden="1">#REF!</definedName>
    <definedName name="BExOD55RS7BQUHRQ6H3USVGKR0P7" localSheetId="19" hidden="1">#REF!</definedName>
    <definedName name="BExOD55RS7BQUHRQ6H3USVGKR0P7" hidden="1">#REF!</definedName>
    <definedName name="BExODEWDDEABM4ZY3XREJIBZ8IVP" localSheetId="8" hidden="1">#REF!</definedName>
    <definedName name="BExODEWDDEABM4ZY3XREJIBZ8IVP" localSheetId="19" hidden="1">#REF!</definedName>
    <definedName name="BExODEWDDEABM4ZY3XREJIBZ8IVP" hidden="1">#REF!</definedName>
    <definedName name="BExODICDVVLFKWA22B3L0CKKTAZA" localSheetId="8" hidden="1">#REF!</definedName>
    <definedName name="BExODICDVVLFKWA22B3L0CKKTAZA" localSheetId="19" hidden="1">#REF!</definedName>
    <definedName name="BExODICDVVLFKWA22B3L0CKKTAZA" hidden="1">#REF!</definedName>
    <definedName name="BExODZFEIWV26E8RFU7XQYX1J458" localSheetId="8" hidden="1">#REF!</definedName>
    <definedName name="BExODZFEIWV26E8RFU7XQYX1J458" localSheetId="19" hidden="1">#REF!</definedName>
    <definedName name="BExODZFEIWV26E8RFU7XQYX1J458" hidden="1">#REF!</definedName>
    <definedName name="BExOE0S111KPTELH26PPXE94J3GJ" localSheetId="8" hidden="1">#REF!</definedName>
    <definedName name="BExOE0S111KPTELH26PPXE94J3GJ" localSheetId="19" hidden="1">#REF!</definedName>
    <definedName name="BExOE0S111KPTELH26PPXE94J3GJ" hidden="1">#REF!</definedName>
    <definedName name="BExOE5KH3JKKPZO401YAB3A11G1U" localSheetId="8" hidden="1">#REF!</definedName>
    <definedName name="BExOE5KH3JKKPZO401YAB3A11G1U" localSheetId="19" hidden="1">#REF!</definedName>
    <definedName name="BExOE5KH3JKKPZO401YAB3A11G1U" hidden="1">#REF!</definedName>
    <definedName name="BExOEBKG55EROA2VL360A06LKASE" localSheetId="8" hidden="1">#REF!</definedName>
    <definedName name="BExOEBKG55EROA2VL360A06LKASE" localSheetId="19" hidden="1">#REF!</definedName>
    <definedName name="BExOEBKG55EROA2VL360A06LKASE" hidden="1">#REF!</definedName>
    <definedName name="BExOEFWUBETCPIYF89P9SBDOI3X5" localSheetId="8" hidden="1">#REF!</definedName>
    <definedName name="BExOEFWUBETCPIYF89P9SBDOI3X5" localSheetId="19" hidden="1">#REF!</definedName>
    <definedName name="BExOEFWUBETCPIYF89P9SBDOI3X5" hidden="1">#REF!</definedName>
    <definedName name="BExOEL08MN74RQKVY0P43PFHPTVB" localSheetId="8" hidden="1">#REF!</definedName>
    <definedName name="BExOEL08MN74RQKVY0P43PFHPTVB" localSheetId="19" hidden="1">#REF!</definedName>
    <definedName name="BExOEL08MN74RQKVY0P43PFHPTVB" hidden="1">#REF!</definedName>
    <definedName name="BExOERG5LWXYYEN1DY1H2FWRJS9T" localSheetId="8" hidden="1">#REF!</definedName>
    <definedName name="BExOERG5LWXYYEN1DY1H2FWRJS9T" localSheetId="19" hidden="1">#REF!</definedName>
    <definedName name="BExOERG5LWXYYEN1DY1H2FWRJS9T" hidden="1">#REF!</definedName>
    <definedName name="BExOEV1S6JJVO5PP4BZ20SNGZR7D" localSheetId="8" hidden="1">#REF!</definedName>
    <definedName name="BExOEV1S6JJVO5PP4BZ20SNGZR7D" localSheetId="19" hidden="1">#REF!</definedName>
    <definedName name="BExOEV1S6JJVO5PP4BZ20SNGZR7D" hidden="1">#REF!</definedName>
    <definedName name="BExOEVNDLRXW33RF3AMMCDLTLROJ" localSheetId="8" hidden="1">#REF!</definedName>
    <definedName name="BExOEVNDLRXW33RF3AMMCDLTLROJ" localSheetId="19" hidden="1">#REF!</definedName>
    <definedName name="BExOEVNDLRXW33RF3AMMCDLTLROJ" hidden="1">#REF!</definedName>
    <definedName name="BExOEZOXV3VXUB6VGSS85GXATYAC" localSheetId="8" hidden="1">#REF!</definedName>
    <definedName name="BExOEZOXV3VXUB6VGSS85GXATYAC" localSheetId="19" hidden="1">#REF!</definedName>
    <definedName name="BExOEZOXV3VXUB6VGSS85GXATYAC" hidden="1">#REF!</definedName>
    <definedName name="BExOFDBSAZV60157PIDWCSSUN3MJ" localSheetId="8" hidden="1">#REF!</definedName>
    <definedName name="BExOFDBSAZV60157PIDWCSSUN3MJ" localSheetId="19" hidden="1">#REF!</definedName>
    <definedName name="BExOFDBSAZV60157PIDWCSSUN3MJ" hidden="1">#REF!</definedName>
    <definedName name="BExOFEDNCYI2TPTMQ8SJN3AW4YMF" localSheetId="8" hidden="1">#REF!</definedName>
    <definedName name="BExOFEDNCYI2TPTMQ8SJN3AW4YMF" localSheetId="19" hidden="1">#REF!</definedName>
    <definedName name="BExOFEDNCYI2TPTMQ8SJN3AW4YMF" hidden="1">#REF!</definedName>
    <definedName name="BExOFVLXVD6RVHSQO8KZOOACSV24" localSheetId="8" hidden="1">#REF!</definedName>
    <definedName name="BExOFVLXVD6RVHSQO8KZOOACSV24" localSheetId="19" hidden="1">#REF!</definedName>
    <definedName name="BExOFVLXVD6RVHSQO8KZOOACSV24" hidden="1">#REF!</definedName>
    <definedName name="BExOG2SW3XOGP9VAPQ3THV3VWV12" localSheetId="8" hidden="1">#REF!</definedName>
    <definedName name="BExOG2SW3XOGP9VAPQ3THV3VWV12" localSheetId="19" hidden="1">#REF!</definedName>
    <definedName name="BExOG2SW3XOGP9VAPQ3THV3VWV12" hidden="1">#REF!</definedName>
    <definedName name="BExOG45J81K4OPA40KW5VQU54KY3" localSheetId="8" hidden="1">#REF!</definedName>
    <definedName name="BExOG45J81K4OPA40KW5VQU54KY3" localSheetId="19" hidden="1">#REF!</definedName>
    <definedName name="BExOG45J81K4OPA40KW5VQU54KY3" hidden="1">#REF!</definedName>
    <definedName name="BExOGFE2SCL8HHT4DFAXKLUTJZOG" localSheetId="8" hidden="1">#REF!</definedName>
    <definedName name="BExOGFE2SCL8HHT4DFAXKLUTJZOG" localSheetId="19" hidden="1">#REF!</definedName>
    <definedName name="BExOGFE2SCL8HHT4DFAXKLUTJZOG" hidden="1">#REF!</definedName>
    <definedName name="BExOGH1IMADJCZMFDE6NMBBKO558" localSheetId="8" hidden="1">#REF!</definedName>
    <definedName name="BExOGH1IMADJCZMFDE6NMBBKO558" localSheetId="19" hidden="1">#REF!</definedName>
    <definedName name="BExOGH1IMADJCZMFDE6NMBBKO558" hidden="1">#REF!</definedName>
    <definedName name="BExOGT6D0LJ3C22RDW8COECKB1J5" localSheetId="8" hidden="1">#REF!</definedName>
    <definedName name="BExOGT6D0LJ3C22RDW8COECKB1J5" localSheetId="19" hidden="1">#REF!</definedName>
    <definedName name="BExOGT6D0LJ3C22RDW8COECKB1J5" hidden="1">#REF!</definedName>
    <definedName name="BExOGTMI1HT31M1RGWVRAVHAK7DE" localSheetId="8" hidden="1">#REF!</definedName>
    <definedName name="BExOGTMI1HT31M1RGWVRAVHAK7DE" localSheetId="19" hidden="1">#REF!</definedName>
    <definedName name="BExOGTMI1HT31M1RGWVRAVHAK7DE" hidden="1">#REF!</definedName>
    <definedName name="BExOGXO9JE5XSE9GC3I6O21UEKAO" localSheetId="8" hidden="1">#REF!</definedName>
    <definedName name="BExOGXO9JE5XSE9GC3I6O21UEKAO" localSheetId="19" hidden="1">#REF!</definedName>
    <definedName name="BExOGXO9JE5XSE9GC3I6O21UEKAO" hidden="1">#REF!</definedName>
    <definedName name="BExOH9ICQA5WPLVJIKJVPWUPKSYO" localSheetId="8" hidden="1">#REF!</definedName>
    <definedName name="BExOH9ICQA5WPLVJIKJVPWUPKSYO" localSheetId="19" hidden="1">#REF!</definedName>
    <definedName name="BExOH9ICQA5WPLVJIKJVPWUPKSYO" hidden="1">#REF!</definedName>
    <definedName name="BExOH9ICZ13C1LAW8OTYTR9S7ZP3" localSheetId="8" hidden="1">#REF!</definedName>
    <definedName name="BExOH9ICZ13C1LAW8OTYTR9S7ZP3" localSheetId="19" hidden="1">#REF!</definedName>
    <definedName name="BExOH9ICZ13C1LAW8OTYTR9S7ZP3" hidden="1">#REF!</definedName>
    <definedName name="BExOHGEJ8V8OXT32FSU173XLXBDH" localSheetId="8" hidden="1">#REF!</definedName>
    <definedName name="BExOHGEJ8V8OXT32FSU173XLXBDH" localSheetId="19" hidden="1">#REF!</definedName>
    <definedName name="BExOHGEJ8V8OXT32FSU173XLXBDH" hidden="1">#REF!</definedName>
    <definedName name="BExOHL75H3OT4WAKKPUXIVXWFVDS" localSheetId="8" hidden="1">#REF!</definedName>
    <definedName name="BExOHL75H3OT4WAKKPUXIVXWFVDS" localSheetId="19" hidden="1">#REF!</definedName>
    <definedName name="BExOHL75H3OT4WAKKPUXIVXWFVDS" hidden="1">#REF!</definedName>
    <definedName name="BExOHLHXXJL6363CC082M9M5VVXQ" localSheetId="8" hidden="1">#REF!</definedName>
    <definedName name="BExOHLHXXJL6363CC082M9M5VVXQ" localSheetId="19" hidden="1">#REF!</definedName>
    <definedName name="BExOHLHXXJL6363CC082M9M5VVXQ" hidden="1">#REF!</definedName>
    <definedName name="BExOHNAO5UDXSO73BK2ARHWKS90Y" localSheetId="8" hidden="1">#REF!</definedName>
    <definedName name="BExOHNAO5UDXSO73BK2ARHWKS90Y" localSheetId="19" hidden="1">#REF!</definedName>
    <definedName name="BExOHNAO5UDXSO73BK2ARHWKS90Y" hidden="1">#REF!</definedName>
    <definedName name="BExOHR1G1I9A9CI1HG94EWBLWNM2" localSheetId="8" hidden="1">#REF!</definedName>
    <definedName name="BExOHR1G1I9A9CI1HG94EWBLWNM2" localSheetId="19" hidden="1">#REF!</definedName>
    <definedName name="BExOHR1G1I9A9CI1HG94EWBLWNM2" hidden="1">#REF!</definedName>
    <definedName name="BExOHTQPP8LQ98L6PYUI6QW08YID" localSheetId="8" hidden="1">#REF!</definedName>
    <definedName name="BExOHTQPP8LQ98L6PYUI6QW08YID" localSheetId="19" hidden="1">#REF!</definedName>
    <definedName name="BExOHTQPP8LQ98L6PYUI6QW08YID" hidden="1">#REF!</definedName>
    <definedName name="BExOHUHN7UXHYAJFJJFU805UZ0NB" localSheetId="8" hidden="1">#REF!</definedName>
    <definedName name="BExOHUHN7UXHYAJFJJFU805UZ0NB" localSheetId="19" hidden="1">#REF!</definedName>
    <definedName name="BExOHUHN7UXHYAJFJJFU805UZ0NB" hidden="1">#REF!</definedName>
    <definedName name="BExOHX6Q6NJI793PGX59O5EKTP4G" localSheetId="8" hidden="1">#REF!</definedName>
    <definedName name="BExOHX6Q6NJI793PGX59O5EKTP4G" localSheetId="19" hidden="1">#REF!</definedName>
    <definedName name="BExOHX6Q6NJI793PGX59O5EKTP4G" hidden="1">#REF!</definedName>
    <definedName name="BExOI5VMTHH7Y8MQQ1N635CHYI0P" localSheetId="8" hidden="1">#REF!</definedName>
    <definedName name="BExOI5VMTHH7Y8MQQ1N635CHYI0P" localSheetId="19" hidden="1">#REF!</definedName>
    <definedName name="BExOI5VMTHH7Y8MQQ1N635CHYI0P" hidden="1">#REF!</definedName>
    <definedName name="BExOIEVCP4Y6VDS23AK84MCYYHRT" localSheetId="8" hidden="1">#REF!</definedName>
    <definedName name="BExOIEVCP4Y6VDS23AK84MCYYHRT" localSheetId="19" hidden="1">#REF!</definedName>
    <definedName name="BExOIEVCP4Y6VDS23AK84MCYYHRT" hidden="1">#REF!</definedName>
    <definedName name="BExOIFRP0HEHF5D7JSZ0X8ADJ79U" localSheetId="8" hidden="1">#REF!</definedName>
    <definedName name="BExOIFRP0HEHF5D7JSZ0X8ADJ79U" localSheetId="19" hidden="1">#REF!</definedName>
    <definedName name="BExOIFRP0HEHF5D7JSZ0X8ADJ79U" hidden="1">#REF!</definedName>
    <definedName name="BExOIHPQIXR0NDR5WD01BZKPKEO3" localSheetId="8" hidden="1">#REF!</definedName>
    <definedName name="BExOIHPQIXR0NDR5WD01BZKPKEO3" localSheetId="19" hidden="1">#REF!</definedName>
    <definedName name="BExOIHPQIXR0NDR5WD01BZKPKEO3" hidden="1">#REF!</definedName>
    <definedName name="BExOIM7L0Z3LSII9P7ZTV4KJ8RMA" localSheetId="8" hidden="1">#REF!</definedName>
    <definedName name="BExOIM7L0Z3LSII9P7ZTV4KJ8RMA" localSheetId="19" hidden="1">#REF!</definedName>
    <definedName name="BExOIM7L0Z3LSII9P7ZTV4KJ8RMA" hidden="1">#REF!</definedName>
    <definedName name="BExOIWJVMJ6MG6JC4SPD1L00OHU1" localSheetId="8" hidden="1">#REF!</definedName>
    <definedName name="BExOIWJVMJ6MG6JC4SPD1L00OHU1" localSheetId="19" hidden="1">#REF!</definedName>
    <definedName name="BExOIWJVMJ6MG6JC4SPD1L00OHU1" hidden="1">#REF!</definedName>
    <definedName name="BExOIYCN8Z4JK3OOG86KYUCV0ME8" localSheetId="8" hidden="1">#REF!</definedName>
    <definedName name="BExOIYCN8Z4JK3OOG86KYUCV0ME8" localSheetId="19" hidden="1">#REF!</definedName>
    <definedName name="BExOIYCN8Z4JK3OOG86KYUCV0ME8" hidden="1">#REF!</definedName>
    <definedName name="BExOJ3AKZ9BCBZT3KD8WMSLK6MN2" localSheetId="8" hidden="1">#REF!</definedName>
    <definedName name="BExOJ3AKZ9BCBZT3KD8WMSLK6MN2" localSheetId="19" hidden="1">#REF!</definedName>
    <definedName name="BExOJ3AKZ9BCBZT3KD8WMSLK6MN2" hidden="1">#REF!</definedName>
    <definedName name="BExOJ7XQK71I4YZDD29AKOOWZ47E" localSheetId="8" hidden="1">#REF!</definedName>
    <definedName name="BExOJ7XQK71I4YZDD29AKOOWZ47E" localSheetId="19" hidden="1">#REF!</definedName>
    <definedName name="BExOJ7XQK71I4YZDD29AKOOWZ47E" hidden="1">#REF!</definedName>
    <definedName name="BExOJAXS2THXXIJMV2F2LZKMI589" localSheetId="8" hidden="1">#REF!</definedName>
    <definedName name="BExOJAXS2THXXIJMV2F2LZKMI589" localSheetId="19" hidden="1">#REF!</definedName>
    <definedName name="BExOJAXS2THXXIJMV2F2LZKMI589" hidden="1">#REF!</definedName>
    <definedName name="BExOJDXKJ43BMD5CFWEMSU5R1BP9" localSheetId="8" hidden="1">#REF!</definedName>
    <definedName name="BExOJDXKJ43BMD5CFWEMSU5R1BP9" localSheetId="19" hidden="1">#REF!</definedName>
    <definedName name="BExOJDXKJ43BMD5CFWEMSU5R1BP9" hidden="1">#REF!</definedName>
    <definedName name="BExOJHZ9KOD9LEP7ES426LHOCXEY" localSheetId="8" hidden="1">#REF!</definedName>
    <definedName name="BExOJHZ9KOD9LEP7ES426LHOCXEY" localSheetId="19" hidden="1">#REF!</definedName>
    <definedName name="BExOJHZ9KOD9LEP7ES426LHOCXEY" hidden="1">#REF!</definedName>
    <definedName name="BExOJM0W6XGSW5MXPTTX0GNF6SFT" localSheetId="8" hidden="1">#REF!</definedName>
    <definedName name="BExOJM0W6XGSW5MXPTTX0GNF6SFT" localSheetId="19" hidden="1">#REF!</definedName>
    <definedName name="BExOJM0W6XGSW5MXPTTX0GNF6SFT" hidden="1">#REF!</definedName>
    <definedName name="BExOJQ7XL1X94G2GP88DSU6OTRKY" localSheetId="8" hidden="1">#REF!</definedName>
    <definedName name="BExOJQ7XL1X94G2GP88DSU6OTRKY" localSheetId="19" hidden="1">#REF!</definedName>
    <definedName name="BExOJQ7XL1X94G2GP88DSU6OTRKY" hidden="1">#REF!</definedName>
    <definedName name="BExOJXEUJJ9SYRJXKYYV2NCCDT2R" localSheetId="8" hidden="1">#REF!</definedName>
    <definedName name="BExOJXEUJJ9SYRJXKYYV2NCCDT2R" localSheetId="19" hidden="1">#REF!</definedName>
    <definedName name="BExOJXEUJJ9SYRJXKYYV2NCCDT2R" hidden="1">#REF!</definedName>
    <definedName name="BExOK0EQYM9JUMAGWOUN7QDH7VMZ" localSheetId="8" hidden="1">#REF!</definedName>
    <definedName name="BExOK0EQYM9JUMAGWOUN7QDH7VMZ" localSheetId="19" hidden="1">#REF!</definedName>
    <definedName name="BExOK0EQYM9JUMAGWOUN7QDH7VMZ" hidden="1">#REF!</definedName>
    <definedName name="BExOK10DBCM0O0CLRF8BB6EEWGB2" localSheetId="8" hidden="1">#REF!</definedName>
    <definedName name="BExOK10DBCM0O0CLRF8BB6EEWGB2" localSheetId="19" hidden="1">#REF!</definedName>
    <definedName name="BExOK10DBCM0O0CLRF8BB6EEWGB2" hidden="1">#REF!</definedName>
    <definedName name="BExOK45QZPFPJ08Z5BZOFLNGPHCZ" localSheetId="8" hidden="1">#REF!</definedName>
    <definedName name="BExOK45QZPFPJ08Z5BZOFLNGPHCZ" localSheetId="19" hidden="1">#REF!</definedName>
    <definedName name="BExOK45QZPFPJ08Z5BZOFLNGPHCZ" hidden="1">#REF!</definedName>
    <definedName name="BExOK4WM9O7QNG6O57FOASI5QSN1" localSheetId="8" hidden="1">#REF!</definedName>
    <definedName name="BExOK4WM9O7QNG6O57FOASI5QSN1" localSheetId="19" hidden="1">#REF!</definedName>
    <definedName name="BExOK4WM9O7QNG6O57FOASI5QSN1" hidden="1">#REF!</definedName>
    <definedName name="BExOK57E3HXBUDOQB4M87JK9OPNE" localSheetId="8" hidden="1">#REF!</definedName>
    <definedName name="BExOK57E3HXBUDOQB4M87JK9OPNE" localSheetId="19" hidden="1">#REF!</definedName>
    <definedName name="BExOK57E3HXBUDOQB4M87JK9OPNE" hidden="1">#REF!</definedName>
    <definedName name="BExOKJLBFD15HACQ01HQLY1U5SE2" localSheetId="8" hidden="1">#REF!</definedName>
    <definedName name="BExOKJLBFD15HACQ01HQLY1U5SE2" localSheetId="19" hidden="1">#REF!</definedName>
    <definedName name="BExOKJLBFD15HACQ01HQLY1U5SE2" hidden="1">#REF!</definedName>
    <definedName name="BExOKTXMJP351VXKH8VT6SXUNIMF" localSheetId="8" hidden="1">#REF!</definedName>
    <definedName name="BExOKTXMJP351VXKH8VT6SXUNIMF" localSheetId="19" hidden="1">#REF!</definedName>
    <definedName name="BExOKTXMJP351VXKH8VT6SXUNIMF" hidden="1">#REF!</definedName>
    <definedName name="BExOKU8GMLOCNVORDE329819XN67" localSheetId="8" hidden="1">#REF!</definedName>
    <definedName name="BExOKU8GMLOCNVORDE329819XN67" localSheetId="19" hidden="1">#REF!</definedName>
    <definedName name="BExOKU8GMLOCNVORDE329819XN67" hidden="1">#REF!</definedName>
    <definedName name="BExOL0Z3Z7IAMHPB91EO2MF49U57" localSheetId="8" hidden="1">#REF!</definedName>
    <definedName name="BExOL0Z3Z7IAMHPB91EO2MF49U57" localSheetId="19" hidden="1">#REF!</definedName>
    <definedName name="BExOL0Z3Z7IAMHPB91EO2MF49U57" hidden="1">#REF!</definedName>
    <definedName name="BExOL7KH12VAR0LG741SIOJTLWFD" localSheetId="8" hidden="1">#REF!</definedName>
    <definedName name="BExOL7KH12VAR0LG741SIOJTLWFD" localSheetId="19" hidden="1">#REF!</definedName>
    <definedName name="BExOL7KH12VAR0LG741SIOJTLWFD" hidden="1">#REF!</definedName>
    <definedName name="BExOLGUYDBS2V3UOK4DVPUW5JZN7" localSheetId="8" hidden="1">#REF!</definedName>
    <definedName name="BExOLGUYDBS2V3UOK4DVPUW5JZN7" localSheetId="19" hidden="1">#REF!</definedName>
    <definedName name="BExOLGUYDBS2V3UOK4DVPUW5JZN7" hidden="1">#REF!</definedName>
    <definedName name="BExOLICXFHJLILCJVFMJE5MGGWKR" localSheetId="8" hidden="1">#REF!</definedName>
    <definedName name="BExOLICXFHJLILCJVFMJE5MGGWKR" localSheetId="19" hidden="1">#REF!</definedName>
    <definedName name="BExOLICXFHJLILCJVFMJE5MGGWKR" hidden="1">#REF!</definedName>
    <definedName name="BExOLOI0WJS3QC12I3ISL0D9AWOF" localSheetId="8" hidden="1">#REF!</definedName>
    <definedName name="BExOLOI0WJS3QC12I3ISL0D9AWOF" localSheetId="19" hidden="1">#REF!</definedName>
    <definedName name="BExOLOI0WJS3QC12I3ISL0D9AWOF" hidden="1">#REF!</definedName>
    <definedName name="BExOLQ5A7IWI0W12J7315E7LBI0O" localSheetId="8" hidden="1">#REF!</definedName>
    <definedName name="BExOLQ5A7IWI0W12J7315E7LBI0O" localSheetId="19" hidden="1">#REF!</definedName>
    <definedName name="BExOLQ5A7IWI0W12J7315E7LBI0O" hidden="1">#REF!</definedName>
    <definedName name="BExOLYZNG5RBD0BTS1OEZJNU92Q5" localSheetId="8" hidden="1">#REF!</definedName>
    <definedName name="BExOLYZNG5RBD0BTS1OEZJNU92Q5" localSheetId="19" hidden="1">#REF!</definedName>
    <definedName name="BExOLYZNG5RBD0BTS1OEZJNU92Q5" hidden="1">#REF!</definedName>
    <definedName name="BExOM136CSOYSV2NE3NAU04Z4414" localSheetId="8" hidden="1">#REF!</definedName>
    <definedName name="BExOM136CSOYSV2NE3NAU04Z4414" localSheetId="19" hidden="1">#REF!</definedName>
    <definedName name="BExOM136CSOYSV2NE3NAU04Z4414" hidden="1">#REF!</definedName>
    <definedName name="BExOM3HIJ3UZPOKJI68KPBJAHPDC" localSheetId="8" hidden="1">#REF!</definedName>
    <definedName name="BExOM3HIJ3UZPOKJI68KPBJAHPDC" localSheetId="19" hidden="1">#REF!</definedName>
    <definedName name="BExOM3HIJ3UZPOKJI68KPBJAHPDC" hidden="1">#REF!</definedName>
    <definedName name="BExOM5QC0I90GVJG1G7NFAIINKAQ" localSheetId="8" hidden="1">#REF!</definedName>
    <definedName name="BExOM5QC0I90GVJG1G7NFAIINKAQ" localSheetId="19" hidden="1">#REF!</definedName>
    <definedName name="BExOM5QC0I90GVJG1G7NFAIINKAQ" hidden="1">#REF!</definedName>
    <definedName name="BExOMKPURE33YQ3K1JG9NVQD4W49" localSheetId="8" hidden="1">#REF!</definedName>
    <definedName name="BExOMKPURE33YQ3K1JG9NVQD4W49" localSheetId="19" hidden="1">#REF!</definedName>
    <definedName name="BExOMKPURE33YQ3K1JG9NVQD4W49" hidden="1">#REF!</definedName>
    <definedName name="BExOMP7NGCLUNFK50QD2LPKRG078" localSheetId="8" hidden="1">#REF!</definedName>
    <definedName name="BExOMP7NGCLUNFK50QD2LPKRG078" localSheetId="19" hidden="1">#REF!</definedName>
    <definedName name="BExOMP7NGCLUNFK50QD2LPKRG078" hidden="1">#REF!</definedName>
    <definedName name="BExOMPNX2853XA8AUM0BLA7CS86A" localSheetId="8" hidden="1">#REF!</definedName>
    <definedName name="BExOMPNX2853XA8AUM0BLA7CS86A" localSheetId="19" hidden="1">#REF!</definedName>
    <definedName name="BExOMPNX2853XA8AUM0BLA7CS86A" hidden="1">#REF!</definedName>
    <definedName name="BExOMU0A6XMY48SZRYL4WQZD13BI" localSheetId="8" hidden="1">#REF!</definedName>
    <definedName name="BExOMU0A6XMY48SZRYL4WQZD13BI" localSheetId="19" hidden="1">#REF!</definedName>
    <definedName name="BExOMU0A6XMY48SZRYL4WQZD13BI" hidden="1">#REF!</definedName>
    <definedName name="BExOMVT0HSNC59DJP4CLISASGHKL" localSheetId="8" hidden="1">#REF!</definedName>
    <definedName name="BExOMVT0HSNC59DJP4CLISASGHKL" localSheetId="19" hidden="1">#REF!</definedName>
    <definedName name="BExOMVT0HSNC59DJP4CLISASGHKL" hidden="1">#REF!</definedName>
    <definedName name="BExON0AX35F2SI0UCVMGWGVIUNI3" localSheetId="8" hidden="1">#REF!</definedName>
    <definedName name="BExON0AX35F2SI0UCVMGWGVIUNI3" localSheetId="19" hidden="1">#REF!</definedName>
    <definedName name="BExON0AX35F2SI0UCVMGWGVIUNI3" hidden="1">#REF!</definedName>
    <definedName name="BExON1I19LN0T10YIIYC5NE9UGMR" localSheetId="8" hidden="1">#REF!</definedName>
    <definedName name="BExON1I19LN0T10YIIYC5NE9UGMR" localSheetId="19" hidden="1">#REF!</definedName>
    <definedName name="BExON1I19LN0T10YIIYC5NE9UGMR" hidden="1">#REF!</definedName>
    <definedName name="BExON41U4296DV3DPG6I5EF3OEYF" localSheetId="8" hidden="1">#REF!</definedName>
    <definedName name="BExON41U4296DV3DPG6I5EF3OEYF" localSheetId="19" hidden="1">#REF!</definedName>
    <definedName name="BExON41U4296DV3DPG6I5EF3OEYF" hidden="1">#REF!</definedName>
    <definedName name="BExONB3A7CO4YD8RB41PHC93BQ9M" localSheetId="8" hidden="1">#REF!</definedName>
    <definedName name="BExONB3A7CO4YD8RB41PHC93BQ9M" localSheetId="19" hidden="1">#REF!</definedName>
    <definedName name="BExONB3A7CO4YD8RB41PHC93BQ9M" hidden="1">#REF!</definedName>
    <definedName name="BExONFQH6UUXF8V0GI4BRIST9RFO" localSheetId="8" hidden="1">#REF!</definedName>
    <definedName name="BExONFQH6UUXF8V0GI4BRIST9RFO" localSheetId="19" hidden="1">#REF!</definedName>
    <definedName name="BExONFQH6UUXF8V0GI4BRIST9RFO" hidden="1">#REF!</definedName>
    <definedName name="BExONIL31DZWU7IFVN3VV0XTXJA1" localSheetId="8" hidden="1">#REF!</definedName>
    <definedName name="BExONIL31DZWU7IFVN3VV0XTXJA1" localSheetId="19" hidden="1">#REF!</definedName>
    <definedName name="BExONIL31DZWU7IFVN3VV0XTXJA1" hidden="1">#REF!</definedName>
    <definedName name="BExONJ1BU17R0F5A2UP1UGJBOGKS" localSheetId="8" hidden="1">#REF!</definedName>
    <definedName name="BExONJ1BU17R0F5A2UP1UGJBOGKS" localSheetId="19" hidden="1">#REF!</definedName>
    <definedName name="BExONJ1BU17R0F5A2UP1UGJBOGKS" hidden="1">#REF!</definedName>
    <definedName name="BExONKZDHE8SS0P4YRLGEQR9KYHF" localSheetId="8" hidden="1">#REF!</definedName>
    <definedName name="BExONKZDHE8SS0P4YRLGEQR9KYHF" localSheetId="19" hidden="1">#REF!</definedName>
    <definedName name="BExONKZDHE8SS0P4YRLGEQR9KYHF" hidden="1">#REF!</definedName>
    <definedName name="BExONNZ9VMHVX3J6NLNJY7KZA61O" localSheetId="8" hidden="1">#REF!</definedName>
    <definedName name="BExONNZ9VMHVX3J6NLNJY7KZA61O" localSheetId="19" hidden="1">#REF!</definedName>
    <definedName name="BExONNZ9VMHVX3J6NLNJY7KZA61O" hidden="1">#REF!</definedName>
    <definedName name="BExONRQ1BAA4F3TXP2MYQ4YCZ09S" localSheetId="8" hidden="1">#REF!</definedName>
    <definedName name="BExONRQ1BAA4F3TXP2MYQ4YCZ09S" localSheetId="19" hidden="1">#REF!</definedName>
    <definedName name="BExONRQ1BAA4F3TXP2MYQ4YCZ09S" hidden="1">#REF!</definedName>
    <definedName name="BExONU4ENMND8RLZX0L5EHPYQQSB" localSheetId="8" hidden="1">#REF!</definedName>
    <definedName name="BExONU4ENMND8RLZX0L5EHPYQQSB" localSheetId="19" hidden="1">#REF!</definedName>
    <definedName name="BExONU4ENMND8RLZX0L5EHPYQQSB" hidden="1">#REF!</definedName>
    <definedName name="BExONXPUEU6ZRSIX4PDJ1DXY679I" localSheetId="8" hidden="1">#REF!</definedName>
    <definedName name="BExONXPUEU6ZRSIX4PDJ1DXY679I" localSheetId="19" hidden="1">#REF!</definedName>
    <definedName name="BExONXPUEU6ZRSIX4PDJ1DXY679I" hidden="1">#REF!</definedName>
    <definedName name="BExOO0KEG2WL5WKKMHN0S2UTIUNG" localSheetId="8" hidden="1">#REF!</definedName>
    <definedName name="BExOO0KEG2WL5WKKMHN0S2UTIUNG" localSheetId="19" hidden="1">#REF!</definedName>
    <definedName name="BExOO0KEG2WL5WKKMHN0S2UTIUNG" hidden="1">#REF!</definedName>
    <definedName name="BExOO1WWIZSGB0YTGKESB45TSVMZ" localSheetId="8" hidden="1">#REF!</definedName>
    <definedName name="BExOO1WWIZSGB0YTGKESB45TSVMZ" localSheetId="19" hidden="1">#REF!</definedName>
    <definedName name="BExOO1WWIZSGB0YTGKESB45TSVMZ" hidden="1">#REF!</definedName>
    <definedName name="BExOO4B8FPAFYPHCTYTX37P1TQM5" localSheetId="8" hidden="1">#REF!</definedName>
    <definedName name="BExOO4B8FPAFYPHCTYTX37P1TQM5" localSheetId="19" hidden="1">#REF!</definedName>
    <definedName name="BExOO4B8FPAFYPHCTYTX37P1TQM5" hidden="1">#REF!</definedName>
    <definedName name="BExOOIULUDOJRMYABWV5CCL906X6" localSheetId="8" hidden="1">#REF!</definedName>
    <definedName name="BExOOIULUDOJRMYABWV5CCL906X6" localSheetId="19" hidden="1">#REF!</definedName>
    <definedName name="BExOOIULUDOJRMYABWV5CCL906X6" hidden="1">#REF!</definedName>
    <definedName name="BExOOJLIWKJW5S7XWJXD8TYV5HQ9" localSheetId="8" hidden="1">#REF!</definedName>
    <definedName name="BExOOJLIWKJW5S7XWJXD8TYV5HQ9" localSheetId="19" hidden="1">#REF!</definedName>
    <definedName name="BExOOJLIWKJW5S7XWJXD8TYV5HQ9" hidden="1">#REF!</definedName>
    <definedName name="BExOOQ1JVWQ9LYXD0V94BRXKTA1I" localSheetId="8" hidden="1">#REF!</definedName>
    <definedName name="BExOOQ1JVWQ9LYXD0V94BRXKTA1I" localSheetId="19" hidden="1">#REF!</definedName>
    <definedName name="BExOOQ1JVWQ9LYXD0V94BRXKTA1I" hidden="1">#REF!</definedName>
    <definedName name="BExOOTN0KTXJCL7E476XBN1CJ553" localSheetId="8" hidden="1">#REF!</definedName>
    <definedName name="BExOOTN0KTXJCL7E476XBN1CJ553" localSheetId="19" hidden="1">#REF!</definedName>
    <definedName name="BExOOTN0KTXJCL7E476XBN1CJ553" hidden="1">#REF!</definedName>
    <definedName name="BExOOVVUJIJNAYDICUUQQ9O7O3TW" localSheetId="8" hidden="1">#REF!</definedName>
    <definedName name="BExOOVVUJIJNAYDICUUQQ9O7O3TW" localSheetId="19" hidden="1">#REF!</definedName>
    <definedName name="BExOOVVUJIJNAYDICUUQQ9O7O3TW" hidden="1">#REF!</definedName>
    <definedName name="BExOP9DDU5MZJKWGFT0MKL44YKIV" localSheetId="8" hidden="1">#REF!</definedName>
    <definedName name="BExOP9DDU5MZJKWGFT0MKL44YKIV" localSheetId="19" hidden="1">#REF!</definedName>
    <definedName name="BExOP9DDU5MZJKWGFT0MKL44YKIV" hidden="1">#REF!</definedName>
    <definedName name="BExOP9DEBV5W5P4Q25J3XCJBP5S9" localSheetId="8" hidden="1">#REF!</definedName>
    <definedName name="BExOP9DEBV5W5P4Q25J3XCJBP5S9" localSheetId="19" hidden="1">#REF!</definedName>
    <definedName name="BExOP9DEBV5W5P4Q25J3XCJBP5S9" hidden="1">#REF!</definedName>
    <definedName name="BExOPFNYRBL0BFM23LZBJTADNOE4" localSheetId="8" hidden="1">#REF!</definedName>
    <definedName name="BExOPFNYRBL0BFM23LZBJTADNOE4" localSheetId="19" hidden="1">#REF!</definedName>
    <definedName name="BExOPFNYRBL0BFM23LZBJTADNOE4" hidden="1">#REF!</definedName>
    <definedName name="BExOPINVFSIZMCVT9YGT2AODVCX3" localSheetId="8" hidden="1">#REF!</definedName>
    <definedName name="BExOPINVFSIZMCVT9YGT2AODVCX3" localSheetId="19" hidden="1">#REF!</definedName>
    <definedName name="BExOPINVFSIZMCVT9YGT2AODVCX3" hidden="1">#REF!</definedName>
    <definedName name="BExOQ1JN4SAC44RTMZIGHSW023WA" localSheetId="8" hidden="1">#REF!</definedName>
    <definedName name="BExOQ1JN4SAC44RTMZIGHSW023WA" localSheetId="19" hidden="1">#REF!</definedName>
    <definedName name="BExOQ1JN4SAC44RTMZIGHSW023WA" hidden="1">#REF!</definedName>
    <definedName name="BExOQ256YMF115DJL3KBPNKABJ90" localSheetId="8" hidden="1">#REF!</definedName>
    <definedName name="BExOQ256YMF115DJL3KBPNKABJ90" localSheetId="19" hidden="1">#REF!</definedName>
    <definedName name="BExOQ256YMF115DJL3KBPNKABJ90" hidden="1">#REF!</definedName>
    <definedName name="BExQ19DEUOLC11IW32E2AMVZLFF1" localSheetId="8" hidden="1">#REF!</definedName>
    <definedName name="BExQ19DEUOLC11IW32E2AMVZLFF1" localSheetId="19" hidden="1">#REF!</definedName>
    <definedName name="BExQ19DEUOLC11IW32E2AMVZLFF1" hidden="1">#REF!</definedName>
    <definedName name="BExQ1OCW3L24TN0BYVRE2NE3IK1O" localSheetId="8" hidden="1">#REF!</definedName>
    <definedName name="BExQ1OCW3L24TN0BYVRE2NE3IK1O" localSheetId="19" hidden="1">#REF!</definedName>
    <definedName name="BExQ1OCW3L24TN0BYVRE2NE3IK1O" hidden="1">#REF!</definedName>
    <definedName name="BExQ29C73XR33S3668YYSYZAIHTG" localSheetId="8" hidden="1">#REF!</definedName>
    <definedName name="BExQ29C73XR33S3668YYSYZAIHTG" localSheetId="19" hidden="1">#REF!</definedName>
    <definedName name="BExQ29C73XR33S3668YYSYZAIHTG" hidden="1">#REF!</definedName>
    <definedName name="BExQ2FS228IUDUP2023RA1D4AO4C" localSheetId="8" hidden="1">#REF!</definedName>
    <definedName name="BExQ2FS228IUDUP2023RA1D4AO4C" localSheetId="19" hidden="1">#REF!</definedName>
    <definedName name="BExQ2FS228IUDUP2023RA1D4AO4C" hidden="1">#REF!</definedName>
    <definedName name="BExQ2L0XYWLY9VPZWXYYFRIRQRJ1" localSheetId="8" hidden="1">#REF!</definedName>
    <definedName name="BExQ2L0XYWLY9VPZWXYYFRIRQRJ1" localSheetId="19" hidden="1">#REF!</definedName>
    <definedName name="BExQ2L0XYWLY9VPZWXYYFRIRQRJ1" hidden="1">#REF!</definedName>
    <definedName name="BExQ2M841F5Z1BQYR8DG5FKK0LIU" localSheetId="8" hidden="1">#REF!</definedName>
    <definedName name="BExQ2M841F5Z1BQYR8DG5FKK0LIU" localSheetId="19" hidden="1">#REF!</definedName>
    <definedName name="BExQ2M841F5Z1BQYR8DG5FKK0LIU" hidden="1">#REF!</definedName>
    <definedName name="BExQ2STHO7AXYTS1VPPHQMX1WT30" localSheetId="8" hidden="1">#REF!</definedName>
    <definedName name="BExQ2STHO7AXYTS1VPPHQMX1WT30" localSheetId="19" hidden="1">#REF!</definedName>
    <definedName name="BExQ2STHO7AXYTS1VPPHQMX1WT30" hidden="1">#REF!</definedName>
    <definedName name="BExQ2XWXHMQMQ99FF9293AEQHABB" localSheetId="8" hidden="1">#REF!</definedName>
    <definedName name="BExQ2XWXHMQMQ99FF9293AEQHABB" localSheetId="19" hidden="1">#REF!</definedName>
    <definedName name="BExQ2XWXHMQMQ99FF9293AEQHABB" hidden="1">#REF!</definedName>
    <definedName name="BExQ300G8I8TK45A0MVHV15422EU" localSheetId="8" hidden="1">#REF!</definedName>
    <definedName name="BExQ300G8I8TK45A0MVHV15422EU" localSheetId="19" hidden="1">#REF!</definedName>
    <definedName name="BExQ300G8I8TK45A0MVHV15422EU" hidden="1">#REF!</definedName>
    <definedName name="BExQ305RBEODGNAETZ0EZQLLDZZD" localSheetId="8" hidden="1">#REF!</definedName>
    <definedName name="BExQ305RBEODGNAETZ0EZQLLDZZD" localSheetId="19" hidden="1">#REF!</definedName>
    <definedName name="BExQ305RBEODGNAETZ0EZQLLDZZD" hidden="1">#REF!</definedName>
    <definedName name="BExQ37SZQJSC2C73FY2IJY852LVP" localSheetId="8" hidden="1">#REF!</definedName>
    <definedName name="BExQ37SZQJSC2C73FY2IJY852LVP" localSheetId="19" hidden="1">#REF!</definedName>
    <definedName name="BExQ37SZQJSC2C73FY2IJY852LVP" hidden="1">#REF!</definedName>
    <definedName name="BExQ39R28MXSG2SEV956F0KZ20AN" localSheetId="8" hidden="1">#REF!</definedName>
    <definedName name="BExQ39R28MXSG2SEV956F0KZ20AN" localSheetId="19" hidden="1">#REF!</definedName>
    <definedName name="BExQ39R28MXSG2SEV956F0KZ20AN" hidden="1">#REF!</definedName>
    <definedName name="BExQ3D1P3M5Z3HLMEZ17E0BLEE4U" localSheetId="8" hidden="1">#REF!</definedName>
    <definedName name="BExQ3D1P3M5Z3HLMEZ17E0BLEE4U" localSheetId="19" hidden="1">#REF!</definedName>
    <definedName name="BExQ3D1P3M5Z3HLMEZ17E0BLEE4U" hidden="1">#REF!</definedName>
    <definedName name="BExQ3EZX6BA2WHKI84SG78UPRTSE" localSheetId="8" hidden="1">#REF!</definedName>
    <definedName name="BExQ3EZX6BA2WHKI84SG78UPRTSE" localSheetId="19" hidden="1">#REF!</definedName>
    <definedName name="BExQ3EZX6BA2WHKI84SG78UPRTSE" hidden="1">#REF!</definedName>
    <definedName name="BExQ3KOX6620WUSBG7PGACNC936P" localSheetId="8" hidden="1">#REF!</definedName>
    <definedName name="BExQ3KOX6620WUSBG7PGACNC936P" localSheetId="19" hidden="1">#REF!</definedName>
    <definedName name="BExQ3KOX6620WUSBG7PGACNC936P" hidden="1">#REF!</definedName>
    <definedName name="BExQ3O4W7QF8BOXTUT4IOGF6YKUD" localSheetId="8" hidden="1">#REF!</definedName>
    <definedName name="BExQ3O4W7QF8BOXTUT4IOGF6YKUD" localSheetId="19" hidden="1">#REF!</definedName>
    <definedName name="BExQ3O4W7QF8BOXTUT4IOGF6YKUD" hidden="1">#REF!</definedName>
    <definedName name="BExQ3PXOWSN8561ZR8IEY8ZASI3B" localSheetId="8" hidden="1">#REF!</definedName>
    <definedName name="BExQ3PXOWSN8561ZR8IEY8ZASI3B" localSheetId="19" hidden="1">#REF!</definedName>
    <definedName name="BExQ3PXOWSN8561ZR8IEY8ZASI3B" hidden="1">#REF!</definedName>
    <definedName name="BExQ3TZF04IPY0B0UG9CQQ5736UA" localSheetId="8" hidden="1">#REF!</definedName>
    <definedName name="BExQ3TZF04IPY0B0UG9CQQ5736UA" localSheetId="19" hidden="1">#REF!</definedName>
    <definedName name="BExQ3TZF04IPY0B0UG9CQQ5736UA" hidden="1">#REF!</definedName>
    <definedName name="BExQ42IU9MNDYLODP41DL6YTZMAR" localSheetId="8" hidden="1">#REF!</definedName>
    <definedName name="BExQ42IU9MNDYLODP41DL6YTZMAR" localSheetId="19" hidden="1">#REF!</definedName>
    <definedName name="BExQ42IU9MNDYLODP41DL6YTZMAR" hidden="1">#REF!</definedName>
    <definedName name="BExQ42O4PHH156IHXSW0JAYAC0NJ" localSheetId="8" hidden="1">#REF!</definedName>
    <definedName name="BExQ42O4PHH156IHXSW0JAYAC0NJ" localSheetId="19" hidden="1">#REF!</definedName>
    <definedName name="BExQ42O4PHH156IHXSW0JAYAC0NJ" hidden="1">#REF!</definedName>
    <definedName name="BExQ452HF7N1HYPXJXQ8WD6SOWUV" localSheetId="8" hidden="1">#REF!</definedName>
    <definedName name="BExQ452HF7N1HYPXJXQ8WD6SOWUV" localSheetId="19" hidden="1">#REF!</definedName>
    <definedName name="BExQ452HF7N1HYPXJXQ8WD6SOWUV" hidden="1">#REF!</definedName>
    <definedName name="BExQ4BTBSHPHVEDRCXC2ROW8PLFC" localSheetId="8" hidden="1">#REF!</definedName>
    <definedName name="BExQ4BTBSHPHVEDRCXC2ROW8PLFC" localSheetId="19" hidden="1">#REF!</definedName>
    <definedName name="BExQ4BTBSHPHVEDRCXC2ROW8PLFC" hidden="1">#REF!</definedName>
    <definedName name="BExQ4DGKF54SRKQUTUT4B1CZSS62" localSheetId="8" hidden="1">#REF!</definedName>
    <definedName name="BExQ4DGKF54SRKQUTUT4B1CZSS62" localSheetId="19" hidden="1">#REF!</definedName>
    <definedName name="BExQ4DGKF54SRKQUTUT4B1CZSS62" hidden="1">#REF!</definedName>
    <definedName name="BExQ4T74LQ5PYTV1MUQUW75A4BDY" localSheetId="8" hidden="1">#REF!</definedName>
    <definedName name="BExQ4T74LQ5PYTV1MUQUW75A4BDY" localSheetId="19" hidden="1">#REF!</definedName>
    <definedName name="BExQ4T74LQ5PYTV1MUQUW75A4BDY" hidden="1">#REF!</definedName>
    <definedName name="BExQ4XJHD7EJCNH7S1MJDZJ2MNWG" localSheetId="8" hidden="1">#REF!</definedName>
    <definedName name="BExQ4XJHD7EJCNH7S1MJDZJ2MNWG" localSheetId="19" hidden="1">#REF!</definedName>
    <definedName name="BExQ4XJHD7EJCNH7S1MJDZJ2MNWG" hidden="1">#REF!</definedName>
    <definedName name="BExQ5039ZCEWBUJHU682G4S89J03" localSheetId="8" hidden="1">#REF!</definedName>
    <definedName name="BExQ5039ZCEWBUJHU682G4S89J03" localSheetId="19" hidden="1">#REF!</definedName>
    <definedName name="BExQ5039ZCEWBUJHU682G4S89J03" hidden="1">#REF!</definedName>
    <definedName name="BExQ56Z9W6YHZHRXOFFI8EFA7CDI" localSheetId="8" hidden="1">#REF!</definedName>
    <definedName name="BExQ56Z9W6YHZHRXOFFI8EFA7CDI" localSheetId="19" hidden="1">#REF!</definedName>
    <definedName name="BExQ56Z9W6YHZHRXOFFI8EFA7CDI" hidden="1">#REF!</definedName>
    <definedName name="BExQ58MP5FO5Q5CIXVMMYWWPEFW3" localSheetId="8" hidden="1">#REF!</definedName>
    <definedName name="BExQ58MP5FO5Q5CIXVMMYWWPEFW3" localSheetId="19" hidden="1">#REF!</definedName>
    <definedName name="BExQ58MP5FO5Q5CIXVMMYWWPEFW3" hidden="1">#REF!</definedName>
    <definedName name="BExQ5KX3Z668H1KUCKZ9J24HUQ1F" localSheetId="8" hidden="1">#REF!</definedName>
    <definedName name="BExQ5KX3Z668H1KUCKZ9J24HUQ1F" localSheetId="19" hidden="1">#REF!</definedName>
    <definedName name="BExQ5KX3Z668H1KUCKZ9J24HUQ1F" hidden="1">#REF!</definedName>
    <definedName name="BExQ5SPMSOCJYLAY20NB5A6O32RE" localSheetId="8" hidden="1">#REF!</definedName>
    <definedName name="BExQ5SPMSOCJYLAY20NB5A6O32RE" localSheetId="19" hidden="1">#REF!</definedName>
    <definedName name="BExQ5SPMSOCJYLAY20NB5A6O32RE" hidden="1">#REF!</definedName>
    <definedName name="BExQ5UICMGTMK790KTLK49MAGXRC" localSheetId="8" hidden="1">#REF!</definedName>
    <definedName name="BExQ5UICMGTMK790KTLK49MAGXRC" localSheetId="19" hidden="1">#REF!</definedName>
    <definedName name="BExQ5UICMGTMK790KTLK49MAGXRC" hidden="1">#REF!</definedName>
    <definedName name="BExQ5YUUK9FD0QGTY4WD0W90O7OL" localSheetId="8" hidden="1">#REF!</definedName>
    <definedName name="BExQ5YUUK9FD0QGTY4WD0W90O7OL" localSheetId="19" hidden="1">#REF!</definedName>
    <definedName name="BExQ5YUUK9FD0QGTY4WD0W90O7OL" hidden="1">#REF!</definedName>
    <definedName name="BExQ62WGBSDPG7ZU34W0N8X45R3X" localSheetId="8" hidden="1">#REF!</definedName>
    <definedName name="BExQ62WGBSDPG7ZU34W0N8X45R3X" localSheetId="19" hidden="1">#REF!</definedName>
    <definedName name="BExQ62WGBSDPG7ZU34W0N8X45R3X" hidden="1">#REF!</definedName>
    <definedName name="BExQ63793YQ9BH7JLCNRIATIGTRG" localSheetId="8" hidden="1">#REF!</definedName>
    <definedName name="BExQ63793YQ9BH7JLCNRIATIGTRG" localSheetId="19" hidden="1">#REF!</definedName>
    <definedName name="BExQ63793YQ9BH7JLCNRIATIGTRG" hidden="1">#REF!</definedName>
    <definedName name="BExQ6CN1EF2UPZ57ZYMGK8TUJQSS" localSheetId="8" hidden="1">#REF!</definedName>
    <definedName name="BExQ6CN1EF2UPZ57ZYMGK8TUJQSS" localSheetId="19" hidden="1">#REF!</definedName>
    <definedName name="BExQ6CN1EF2UPZ57ZYMGK8TUJQSS" hidden="1">#REF!</definedName>
    <definedName name="BExQ6FSF8BMWVLJI7Y7MKPG9SU5O" localSheetId="8" hidden="1">#REF!</definedName>
    <definedName name="BExQ6FSF8BMWVLJI7Y7MKPG9SU5O" localSheetId="19" hidden="1">#REF!</definedName>
    <definedName name="BExQ6FSF8BMWVLJI7Y7MKPG9SU5O" hidden="1">#REF!</definedName>
    <definedName name="BExQ6M2YXJ8AMRJF3QGHC40ADAHZ" localSheetId="8" hidden="1">#REF!</definedName>
    <definedName name="BExQ6M2YXJ8AMRJF3QGHC40ADAHZ" localSheetId="19" hidden="1">#REF!</definedName>
    <definedName name="BExQ6M2YXJ8AMRJF3QGHC40ADAHZ" hidden="1">#REF!</definedName>
    <definedName name="BExQ6M8B0X44N9TV56ATUVHGDI00" localSheetId="8" hidden="1">#REF!</definedName>
    <definedName name="BExQ6M8B0X44N9TV56ATUVHGDI00" localSheetId="19" hidden="1">#REF!</definedName>
    <definedName name="BExQ6M8B0X44N9TV56ATUVHGDI00" hidden="1">#REF!</definedName>
    <definedName name="BExQ6POH065GV0I74XXVD0VUPBJW" localSheetId="8" hidden="1">#REF!</definedName>
    <definedName name="BExQ6POH065GV0I74XXVD0VUPBJW" localSheetId="19" hidden="1">#REF!</definedName>
    <definedName name="BExQ6POH065GV0I74XXVD0VUPBJW" hidden="1">#REF!</definedName>
    <definedName name="BExQ6WV9KPSMXPPLGZ3KK4WNYTHU" localSheetId="8" hidden="1">#REF!</definedName>
    <definedName name="BExQ6WV9KPSMXPPLGZ3KK4WNYTHU" localSheetId="19" hidden="1">#REF!</definedName>
    <definedName name="BExQ6WV9KPSMXPPLGZ3KK4WNYTHU" hidden="1">#REF!</definedName>
    <definedName name="BExQ7541G92R52ECOIYO6UXIWJJ4" localSheetId="8" hidden="1">#REF!</definedName>
    <definedName name="BExQ7541G92R52ECOIYO6UXIWJJ4" localSheetId="19" hidden="1">#REF!</definedName>
    <definedName name="BExQ7541G92R52ECOIYO6UXIWJJ4" hidden="1">#REF!</definedName>
    <definedName name="BExQ783XTMM2A9I3UKCFWJH1PP2N" localSheetId="8" hidden="1">#REF!</definedName>
    <definedName name="BExQ783XTMM2A9I3UKCFWJH1PP2N" localSheetId="19" hidden="1">#REF!</definedName>
    <definedName name="BExQ783XTMM2A9I3UKCFWJH1PP2N" hidden="1">#REF!</definedName>
    <definedName name="BExQ79LX01ZPQB8EGD1ZHR2VK2H3" localSheetId="8" hidden="1">#REF!</definedName>
    <definedName name="BExQ79LX01ZPQB8EGD1ZHR2VK2H3" localSheetId="19" hidden="1">#REF!</definedName>
    <definedName name="BExQ79LX01ZPQB8EGD1ZHR2VK2H3" hidden="1">#REF!</definedName>
    <definedName name="BExQ7B3V9MGDK2OIJ61XXFBFLJFZ" localSheetId="8" hidden="1">#REF!</definedName>
    <definedName name="BExQ7B3V9MGDK2OIJ61XXFBFLJFZ" localSheetId="19" hidden="1">#REF!</definedName>
    <definedName name="BExQ7B3V9MGDK2OIJ61XXFBFLJFZ" hidden="1">#REF!</definedName>
    <definedName name="BExQ7CB046NVPF9ZXDGA7OXOLSLX" localSheetId="8" hidden="1">#REF!</definedName>
    <definedName name="BExQ7CB046NVPF9ZXDGA7OXOLSLX" localSheetId="19" hidden="1">#REF!</definedName>
    <definedName name="BExQ7CB046NVPF9ZXDGA7OXOLSLX" hidden="1">#REF!</definedName>
    <definedName name="BExQ7IWDCGGOO1HTJ97YGO1CK3R9" localSheetId="8" hidden="1">#REF!</definedName>
    <definedName name="BExQ7IWDCGGOO1HTJ97YGO1CK3R9" localSheetId="19" hidden="1">#REF!</definedName>
    <definedName name="BExQ7IWDCGGOO1HTJ97YGO1CK3R9" hidden="1">#REF!</definedName>
    <definedName name="BExQ7JNFIEGS2HKNBALH3Q2N5G7Z" localSheetId="8" hidden="1">#REF!</definedName>
    <definedName name="BExQ7JNFIEGS2HKNBALH3Q2N5G7Z" localSheetId="19" hidden="1">#REF!</definedName>
    <definedName name="BExQ7JNFIEGS2HKNBALH3Q2N5G7Z" hidden="1">#REF!</definedName>
    <definedName name="BExQ7MY3U2Z1IZ71U5LJUD00VVB4" localSheetId="8" hidden="1">#REF!</definedName>
    <definedName name="BExQ7MY3U2Z1IZ71U5LJUD00VVB4" localSheetId="19" hidden="1">#REF!</definedName>
    <definedName name="BExQ7MY3U2Z1IZ71U5LJUD00VVB4" hidden="1">#REF!</definedName>
    <definedName name="BExQ7XL2Q1GVUFL1F9KK0K0EXMWG" localSheetId="8" hidden="1">#REF!</definedName>
    <definedName name="BExQ7XL2Q1GVUFL1F9KK0K0EXMWG" localSheetId="19" hidden="1">#REF!</definedName>
    <definedName name="BExQ7XL2Q1GVUFL1F9KK0K0EXMWG" hidden="1">#REF!</definedName>
    <definedName name="BExQ8469L3ZRZ3KYZPYMSJIDL7Y5" localSheetId="8" hidden="1">#REF!</definedName>
    <definedName name="BExQ8469L3ZRZ3KYZPYMSJIDL7Y5" localSheetId="19" hidden="1">#REF!</definedName>
    <definedName name="BExQ8469L3ZRZ3KYZPYMSJIDL7Y5" hidden="1">#REF!</definedName>
    <definedName name="BExQ84MJB94HL3BWRN50M4NCB6Z0" localSheetId="8" hidden="1">#REF!</definedName>
    <definedName name="BExQ84MJB94HL3BWRN50M4NCB6Z0" localSheetId="19" hidden="1">#REF!</definedName>
    <definedName name="BExQ84MJB94HL3BWRN50M4NCB6Z0" hidden="1">#REF!</definedName>
    <definedName name="BExQ8583ZE00NW7T9OF11OT9IA14" localSheetId="8" hidden="1">#REF!</definedName>
    <definedName name="BExQ8583ZE00NW7T9OF11OT9IA14" localSheetId="19" hidden="1">#REF!</definedName>
    <definedName name="BExQ8583ZE00NW7T9OF11OT9IA14" hidden="1">#REF!</definedName>
    <definedName name="BExQ8A0RPE3IMIFIZLUE7KD2N21W" localSheetId="8" hidden="1">#REF!</definedName>
    <definedName name="BExQ8A0RPE3IMIFIZLUE7KD2N21W" localSheetId="19" hidden="1">#REF!</definedName>
    <definedName name="BExQ8A0RPE3IMIFIZLUE7KD2N21W" hidden="1">#REF!</definedName>
    <definedName name="BExQ8ABK6H1ADV2R2OYT8NFFYG2N" localSheetId="8" hidden="1">#REF!</definedName>
    <definedName name="BExQ8ABK6H1ADV2R2OYT8NFFYG2N" localSheetId="19" hidden="1">#REF!</definedName>
    <definedName name="BExQ8ABK6H1ADV2R2OYT8NFFYG2N" hidden="1">#REF!</definedName>
    <definedName name="BExQ8DM90XJ6GCJIK9LC5O82I2TJ" localSheetId="8" hidden="1">#REF!</definedName>
    <definedName name="BExQ8DM90XJ6GCJIK9LC5O82I2TJ" localSheetId="19" hidden="1">#REF!</definedName>
    <definedName name="BExQ8DM90XJ6GCJIK9LC5O82I2TJ" hidden="1">#REF!</definedName>
    <definedName name="BExQ8G0K46ZORA0QVQTDI7Z8LXGF" localSheetId="8" hidden="1">#REF!</definedName>
    <definedName name="BExQ8G0K46ZORA0QVQTDI7Z8LXGF" localSheetId="19" hidden="1">#REF!</definedName>
    <definedName name="BExQ8G0K46ZORA0QVQTDI7Z8LXGF" hidden="1">#REF!</definedName>
    <definedName name="BExQ8O3WEU8HNTTGKTW5T0QSKCLP" localSheetId="8" hidden="1">#REF!</definedName>
    <definedName name="BExQ8O3WEU8HNTTGKTW5T0QSKCLP" localSheetId="19" hidden="1">#REF!</definedName>
    <definedName name="BExQ8O3WEU8HNTTGKTW5T0QSKCLP" hidden="1">#REF!</definedName>
    <definedName name="BExQ8ZCEDBOBJA3D9LDP5TU2WYGR" localSheetId="8" hidden="1">#REF!</definedName>
    <definedName name="BExQ8ZCEDBOBJA3D9LDP5TU2WYGR" localSheetId="19" hidden="1">#REF!</definedName>
    <definedName name="BExQ8ZCEDBOBJA3D9LDP5TU2WYGR" hidden="1">#REF!</definedName>
    <definedName name="BExQ94LAW6MAQBWY25WTBFV5PPZJ" localSheetId="8" hidden="1">#REF!</definedName>
    <definedName name="BExQ94LAW6MAQBWY25WTBFV5PPZJ" localSheetId="19" hidden="1">#REF!</definedName>
    <definedName name="BExQ94LAW6MAQBWY25WTBFV5PPZJ" hidden="1">#REF!</definedName>
    <definedName name="BExQ968K8V66L55PCVI3B4VR4FW6" localSheetId="8" hidden="1">#REF!</definedName>
    <definedName name="BExQ968K8V66L55PCVI3B4VR4FW6" localSheetId="19" hidden="1">#REF!</definedName>
    <definedName name="BExQ968K8V66L55PCVI3B4VR4FW6" hidden="1">#REF!</definedName>
    <definedName name="BExQ97QIPOSSRK978N8P234Y1XA4" localSheetId="8" hidden="1">#REF!</definedName>
    <definedName name="BExQ97QIPOSSRK978N8P234Y1XA4" localSheetId="19" hidden="1">#REF!</definedName>
    <definedName name="BExQ97QIPOSSRK978N8P234Y1XA4" hidden="1">#REF!</definedName>
    <definedName name="BExQ9DFHXLBKBS9DWH05G83SL12Z" localSheetId="8" hidden="1">#REF!</definedName>
    <definedName name="BExQ9DFHXLBKBS9DWH05G83SL12Z" localSheetId="19" hidden="1">#REF!</definedName>
    <definedName name="BExQ9DFHXLBKBS9DWH05G83SL12Z" hidden="1">#REF!</definedName>
    <definedName name="BExQ9E6FBAXTHGF3RXANFIA77GXP" localSheetId="8" hidden="1">#REF!</definedName>
    <definedName name="BExQ9E6FBAXTHGF3RXANFIA77GXP" localSheetId="19" hidden="1">#REF!</definedName>
    <definedName name="BExQ9E6FBAXTHGF3RXANFIA77GXP" hidden="1">#REF!</definedName>
    <definedName name="BExQ9J4ID0TGFFFJSQ9PFAMXOYZ1" localSheetId="8" hidden="1">#REF!</definedName>
    <definedName name="BExQ9J4ID0TGFFFJSQ9PFAMXOYZ1" localSheetId="19" hidden="1">#REF!</definedName>
    <definedName name="BExQ9J4ID0TGFFFJSQ9PFAMXOYZ1" hidden="1">#REF!</definedName>
    <definedName name="BExQ9KX9734KIAK7IMRLHCPYDHO2" localSheetId="8" hidden="1">#REF!</definedName>
    <definedName name="BExQ9KX9734KIAK7IMRLHCPYDHO2" localSheetId="19" hidden="1">#REF!</definedName>
    <definedName name="BExQ9KX9734KIAK7IMRLHCPYDHO2" hidden="1">#REF!</definedName>
    <definedName name="BExQ9L81FF4I7816VTPFBDWVU4CW" localSheetId="8" hidden="1">#REF!</definedName>
    <definedName name="BExQ9L81FF4I7816VTPFBDWVU4CW" localSheetId="19" hidden="1">#REF!</definedName>
    <definedName name="BExQ9L81FF4I7816VTPFBDWVU4CW" hidden="1">#REF!</definedName>
    <definedName name="BExQ9M4E2ACZOWWWP1JJIQO8AHUM" localSheetId="8" hidden="1">#REF!</definedName>
    <definedName name="BExQ9M4E2ACZOWWWP1JJIQO8AHUM" localSheetId="19" hidden="1">#REF!</definedName>
    <definedName name="BExQ9M4E2ACZOWWWP1JJIQO8AHUM" hidden="1">#REF!</definedName>
    <definedName name="BExQ9TBCP5IJKSQLYEBE6FQLF16I" localSheetId="8" hidden="1">#REF!</definedName>
    <definedName name="BExQ9TBCP5IJKSQLYEBE6FQLF16I" localSheetId="19" hidden="1">#REF!</definedName>
    <definedName name="BExQ9TBCP5IJKSQLYEBE6FQLF16I" hidden="1">#REF!</definedName>
    <definedName name="BExQ9UTANMJCK7LJ4OQMD6F2Q01L" localSheetId="8" hidden="1">#REF!</definedName>
    <definedName name="BExQ9UTANMJCK7LJ4OQMD6F2Q01L" localSheetId="19" hidden="1">#REF!</definedName>
    <definedName name="BExQ9UTANMJCK7LJ4OQMD6F2Q01L" hidden="1">#REF!</definedName>
    <definedName name="BExQ9ZLYHWABXAA9NJDW8ZS0UQ9P" localSheetId="8" hidden="1">#REF!</definedName>
    <definedName name="BExQ9ZLYHWABXAA9NJDW8ZS0UQ9P" localSheetId="19" hidden="1">#REF!</definedName>
    <definedName name="BExQ9ZLYHWABXAA9NJDW8ZS0UQ9P" hidden="1">#REF!</definedName>
    <definedName name="BExQ9ZWQ19KSRZNZNPY6ZNWEST1J" localSheetId="8" hidden="1">#REF!</definedName>
    <definedName name="BExQ9ZWQ19KSRZNZNPY6ZNWEST1J" localSheetId="19" hidden="1">#REF!</definedName>
    <definedName name="BExQ9ZWQ19KSRZNZNPY6ZNWEST1J" hidden="1">#REF!</definedName>
    <definedName name="BExQA324HSCK40ENJUT9CS9EC71B" localSheetId="8" hidden="1">#REF!</definedName>
    <definedName name="BExQA324HSCK40ENJUT9CS9EC71B" localSheetId="19" hidden="1">#REF!</definedName>
    <definedName name="BExQA324HSCK40ENJUT9CS9EC71B" hidden="1">#REF!</definedName>
    <definedName name="BExQA55GY0STSNBWQCWN8E31ZXCS" localSheetId="8" hidden="1">#REF!</definedName>
    <definedName name="BExQA55GY0STSNBWQCWN8E31ZXCS" localSheetId="19" hidden="1">#REF!</definedName>
    <definedName name="BExQA55GY0STSNBWQCWN8E31ZXCS" hidden="1">#REF!</definedName>
    <definedName name="BExQA7URC7M82I0T9RUF90GCS15S" localSheetId="8" hidden="1">#REF!</definedName>
    <definedName name="BExQA7URC7M82I0T9RUF90GCS15S" localSheetId="19" hidden="1">#REF!</definedName>
    <definedName name="BExQA7URC7M82I0T9RUF90GCS15S" hidden="1">#REF!</definedName>
    <definedName name="BExQA9HZIN9XEMHEEVHT99UU9Z82" localSheetId="8" hidden="1">#REF!</definedName>
    <definedName name="BExQA9HZIN9XEMHEEVHT99UU9Z82" localSheetId="19" hidden="1">#REF!</definedName>
    <definedName name="BExQA9HZIN9XEMHEEVHT99UU9Z82" hidden="1">#REF!</definedName>
    <definedName name="BExQAELFYH92K8CJL155181UDORO" localSheetId="8" hidden="1">#REF!</definedName>
    <definedName name="BExQAELFYH92K8CJL155181UDORO" localSheetId="19" hidden="1">#REF!</definedName>
    <definedName name="BExQAELFYH92K8CJL155181UDORO" hidden="1">#REF!</definedName>
    <definedName name="BExQAG8PP8R5NJKNQD1U4QOSD6X5" localSheetId="8" hidden="1">#REF!</definedName>
    <definedName name="BExQAG8PP8R5NJKNQD1U4QOSD6X5" localSheetId="19" hidden="1">#REF!</definedName>
    <definedName name="BExQAG8PP8R5NJKNQD1U4QOSD6X5" hidden="1">#REF!</definedName>
    <definedName name="BExQAVTR32SDHZQ69KNYF6UXXKS2" localSheetId="8" hidden="1">#REF!</definedName>
    <definedName name="BExQAVTR32SDHZQ69KNYF6UXXKS2" localSheetId="19" hidden="1">#REF!</definedName>
    <definedName name="BExQAVTR32SDHZQ69KNYF6UXXKS2" hidden="1">#REF!</definedName>
    <definedName name="BExQBBETZJ7LHJ9CLAL3GEKQFEGR" localSheetId="8" hidden="1">#REF!</definedName>
    <definedName name="BExQBBETZJ7LHJ9CLAL3GEKQFEGR" localSheetId="19" hidden="1">#REF!</definedName>
    <definedName name="BExQBBETZJ7LHJ9CLAL3GEKQFEGR" hidden="1">#REF!</definedName>
    <definedName name="BExQBDICMZTSA1X73TMHNO4JSFLN" localSheetId="8" hidden="1">#REF!</definedName>
    <definedName name="BExQBDICMZTSA1X73TMHNO4JSFLN" localSheetId="19" hidden="1">#REF!</definedName>
    <definedName name="BExQBDICMZTSA1X73TMHNO4JSFLN" hidden="1">#REF!</definedName>
    <definedName name="BExQBEER6CRCRPSSL61S0OMH57ZA" localSheetId="8" hidden="1">#REF!</definedName>
    <definedName name="BExQBEER6CRCRPSSL61S0OMH57ZA" localSheetId="19" hidden="1">#REF!</definedName>
    <definedName name="BExQBEER6CRCRPSSL61S0OMH57ZA" hidden="1">#REF!</definedName>
    <definedName name="BExQBFR753FNBMC27WEQJT8UKANJ" localSheetId="8" hidden="1">#REF!</definedName>
    <definedName name="BExQBFR753FNBMC27WEQJT8UKANJ" localSheetId="19" hidden="1">#REF!</definedName>
    <definedName name="BExQBFR753FNBMC27WEQJT8UKANJ" hidden="1">#REF!</definedName>
    <definedName name="BExQBIGGY5TXI2FJVVZSLZ0LTZYH" localSheetId="8" hidden="1">#REF!</definedName>
    <definedName name="BExQBIGGY5TXI2FJVVZSLZ0LTZYH" localSheetId="19" hidden="1">#REF!</definedName>
    <definedName name="BExQBIGGY5TXI2FJVVZSLZ0LTZYH" hidden="1">#REF!</definedName>
    <definedName name="BExQBM1RUSIQ85LLMM2159BYDPIP" localSheetId="8" hidden="1">#REF!</definedName>
    <definedName name="BExQBM1RUSIQ85LLMM2159BYDPIP" localSheetId="19" hidden="1">#REF!</definedName>
    <definedName name="BExQBM1RUSIQ85LLMM2159BYDPIP" hidden="1">#REF!</definedName>
    <definedName name="BExQBOWE543K7PGA5S7SVU2QKPM3" localSheetId="8" hidden="1">#REF!</definedName>
    <definedName name="BExQBOWE543K7PGA5S7SVU2QKPM3" localSheetId="19" hidden="1">#REF!</definedName>
    <definedName name="BExQBOWE543K7PGA5S7SVU2QKPM3" hidden="1">#REF!</definedName>
    <definedName name="BExQBPSOZ47V81YAEURP0NQJNTJH" localSheetId="8" hidden="1">#REF!</definedName>
    <definedName name="BExQBPSOZ47V81YAEURP0NQJNTJH" localSheetId="19" hidden="1">#REF!</definedName>
    <definedName name="BExQBPSOZ47V81YAEURP0NQJNTJH" hidden="1">#REF!</definedName>
    <definedName name="BExQC5TWT21CGBKD0IHAXTIN2QB8" localSheetId="8" hidden="1">#REF!</definedName>
    <definedName name="BExQC5TWT21CGBKD0IHAXTIN2QB8" localSheetId="19" hidden="1">#REF!</definedName>
    <definedName name="BExQC5TWT21CGBKD0IHAXTIN2QB8" hidden="1">#REF!</definedName>
    <definedName name="BExQC94JL9F5GW4S8DQCAF4WB2DA" localSheetId="8" hidden="1">#REF!</definedName>
    <definedName name="BExQC94JL9F5GW4S8DQCAF4WB2DA" localSheetId="19" hidden="1">#REF!</definedName>
    <definedName name="BExQC94JL9F5GW4S8DQCAF4WB2DA" hidden="1">#REF!</definedName>
    <definedName name="BExQCKTD8AT0824LGWREXM1B5D1X" localSheetId="8" hidden="1">#REF!</definedName>
    <definedName name="BExQCKTD8AT0824LGWREXM1B5D1X" localSheetId="19" hidden="1">#REF!</definedName>
    <definedName name="BExQCKTD8AT0824LGWREXM1B5D1X" hidden="1">#REF!</definedName>
    <definedName name="BExQCQ7KF4HVXSD72FF3DJGNNO3M" localSheetId="8" hidden="1">#REF!</definedName>
    <definedName name="BExQCQ7KF4HVXSD72FF3DJGNNO3M" localSheetId="19" hidden="1">#REF!</definedName>
    <definedName name="BExQCQ7KF4HVXSD72FF3DJGNNO3M" hidden="1">#REF!</definedName>
    <definedName name="BExQCRPJXI0WNJUFFAC39C0PFUFK" localSheetId="8" hidden="1">#REF!</definedName>
    <definedName name="BExQCRPJXI0WNJUFFAC39C0PFUFK" localSheetId="19" hidden="1">#REF!</definedName>
    <definedName name="BExQCRPJXI0WNJUFFAC39C0PFUFK" hidden="1">#REF!</definedName>
    <definedName name="BExQD571YWOXKR2SX85K5MKQ0AO2" localSheetId="8" hidden="1">#REF!</definedName>
    <definedName name="BExQD571YWOXKR2SX85K5MKQ0AO2" localSheetId="19" hidden="1">#REF!</definedName>
    <definedName name="BExQD571YWOXKR2SX85K5MKQ0AO2" hidden="1">#REF!</definedName>
    <definedName name="BExQDB6VCHN8PNX8EA6JNIEQ2JC2" localSheetId="8" hidden="1">#REF!</definedName>
    <definedName name="BExQDB6VCHN8PNX8EA6JNIEQ2JC2" localSheetId="19" hidden="1">#REF!</definedName>
    <definedName name="BExQDB6VCHN8PNX8EA6JNIEQ2JC2" hidden="1">#REF!</definedName>
    <definedName name="BExQDE1B6U2Q9B73KBENABP71YM1" localSheetId="8" hidden="1">#REF!</definedName>
    <definedName name="BExQDE1B6U2Q9B73KBENABP71YM1" localSheetId="19" hidden="1">#REF!</definedName>
    <definedName name="BExQDE1B6U2Q9B73KBENABP71YM1" hidden="1">#REF!</definedName>
    <definedName name="BExQDGQCN7ZW41QDUHOBJUGQAX40" localSheetId="8" hidden="1">#REF!</definedName>
    <definedName name="BExQDGQCN7ZW41QDUHOBJUGQAX40" localSheetId="19" hidden="1">#REF!</definedName>
    <definedName name="BExQDGQCN7ZW41QDUHOBJUGQAX40" hidden="1">#REF!</definedName>
    <definedName name="BExQED8ZZUEH0WRNOHXI7V9TVC8K" localSheetId="8" hidden="1">#REF!</definedName>
    <definedName name="BExQED8ZZUEH0WRNOHXI7V9TVC8K" localSheetId="19" hidden="1">#REF!</definedName>
    <definedName name="BExQED8ZZUEH0WRNOHXI7V9TVC8K" hidden="1">#REF!</definedName>
    <definedName name="BExQEF1PIJIB9J24OB0M4X1WLBB0" localSheetId="8" hidden="1">#REF!</definedName>
    <definedName name="BExQEF1PIJIB9J24OB0M4X1WLBB0" localSheetId="19" hidden="1">#REF!</definedName>
    <definedName name="BExQEF1PIJIB9J24OB0M4X1WLBB0" hidden="1">#REF!</definedName>
    <definedName name="BExQEMUA4HEFM4OVO8M8MA8PIAW1" localSheetId="8" hidden="1">#REF!</definedName>
    <definedName name="BExQEMUA4HEFM4OVO8M8MA8PIAW1" localSheetId="19" hidden="1">#REF!</definedName>
    <definedName name="BExQEMUA4HEFM4OVO8M8MA8PIAW1" hidden="1">#REF!</definedName>
    <definedName name="BExQEP38QPDKB85WG2WOL17IMB5S" localSheetId="8" hidden="1">#REF!</definedName>
    <definedName name="BExQEP38QPDKB85WG2WOL17IMB5S" localSheetId="19" hidden="1">#REF!</definedName>
    <definedName name="BExQEP38QPDKB85WG2WOL17IMB5S" hidden="1">#REF!</definedName>
    <definedName name="BExQEQ4XZQFIKUXNU9H7WE7AMZ1U" localSheetId="8" hidden="1">#REF!</definedName>
    <definedName name="BExQEQ4XZQFIKUXNU9H7WE7AMZ1U" localSheetId="19" hidden="1">#REF!</definedName>
    <definedName name="BExQEQ4XZQFIKUXNU9H7WE7AMZ1U" hidden="1">#REF!</definedName>
    <definedName name="BExQF1OEB07CRAP6ALNNMJNJ3P2D" localSheetId="8" hidden="1">#REF!</definedName>
    <definedName name="BExQF1OEB07CRAP6ALNNMJNJ3P2D" localSheetId="19" hidden="1">#REF!</definedName>
    <definedName name="BExQF1OEB07CRAP6ALNNMJNJ3P2D" hidden="1">#REF!</definedName>
    <definedName name="BExQF8KKL224NYD20XYLLM2RE7EW" localSheetId="8" hidden="1">#REF!</definedName>
    <definedName name="BExQF8KKL224NYD20XYLLM2RE7EW" localSheetId="19" hidden="1">#REF!</definedName>
    <definedName name="BExQF8KKL224NYD20XYLLM2RE7EW" hidden="1">#REF!</definedName>
    <definedName name="BExQF9X2AQPFJZTCHTU5PTTR0JAH" localSheetId="8" hidden="1">#REF!</definedName>
    <definedName name="BExQF9X2AQPFJZTCHTU5PTTR0JAH" localSheetId="19" hidden="1">#REF!</definedName>
    <definedName name="BExQF9X2AQPFJZTCHTU5PTTR0JAH" hidden="1">#REF!</definedName>
    <definedName name="BExQFAINO9ODQZX6NSM8EBTRD04E" localSheetId="8" hidden="1">#REF!</definedName>
    <definedName name="BExQFAINO9ODQZX6NSM8EBTRD04E" localSheetId="19" hidden="1">#REF!</definedName>
    <definedName name="BExQFAINO9ODQZX6NSM8EBTRD04E" hidden="1">#REF!</definedName>
    <definedName name="BExQFC0M9KKFMQKPLPEO2RQDB7MM" localSheetId="8" hidden="1">#REF!</definedName>
    <definedName name="BExQFC0M9KKFMQKPLPEO2RQDB7MM" localSheetId="19" hidden="1">#REF!</definedName>
    <definedName name="BExQFC0M9KKFMQKPLPEO2RQDB7MM" hidden="1">#REF!</definedName>
    <definedName name="BExQFEEV7627R8TYZCM28C6V6WHE" localSheetId="8" hidden="1">#REF!</definedName>
    <definedName name="BExQFEEV7627R8TYZCM28C6V6WHE" localSheetId="19" hidden="1">#REF!</definedName>
    <definedName name="BExQFEEV7627R8TYZCM28C6V6WHE" hidden="1">#REF!</definedName>
    <definedName name="BExQFEK8NUD04X2OBRA275ADPSDL" localSheetId="8" hidden="1">#REF!</definedName>
    <definedName name="BExQFEK8NUD04X2OBRA275ADPSDL" localSheetId="19" hidden="1">#REF!</definedName>
    <definedName name="BExQFEK8NUD04X2OBRA275ADPSDL" hidden="1">#REF!</definedName>
    <definedName name="BExQFGYIWDR4W0YF7XR6E4EWWJ02" localSheetId="8" hidden="1">#REF!</definedName>
    <definedName name="BExQFGYIWDR4W0YF7XR6E4EWWJ02" localSheetId="19" hidden="1">#REF!</definedName>
    <definedName name="BExQFGYIWDR4W0YF7XR6E4EWWJ02" hidden="1">#REF!</definedName>
    <definedName name="BExQFPNFKA36IAPS22LAUMBDI4KE" localSheetId="8" hidden="1">#REF!</definedName>
    <definedName name="BExQFPNFKA36IAPS22LAUMBDI4KE" localSheetId="19" hidden="1">#REF!</definedName>
    <definedName name="BExQFPNFKA36IAPS22LAUMBDI4KE" hidden="1">#REF!</definedName>
    <definedName name="BExQFPSWEMA8WBUZ4WK20LR13VSU" localSheetId="8" hidden="1">#REF!</definedName>
    <definedName name="BExQFPSWEMA8WBUZ4WK20LR13VSU" localSheetId="19" hidden="1">#REF!</definedName>
    <definedName name="BExQFPSWEMA8WBUZ4WK20LR13VSU" hidden="1">#REF!</definedName>
    <definedName name="BExQFVSPOSCCPF1TLJPIWYWYB8A9" localSheetId="8" hidden="1">#REF!</definedName>
    <definedName name="BExQFVSPOSCCPF1TLJPIWYWYB8A9" localSheetId="19" hidden="1">#REF!</definedName>
    <definedName name="BExQFVSPOSCCPF1TLJPIWYWYB8A9" hidden="1">#REF!</definedName>
    <definedName name="BExQFWJQXNQAW6LUMOEDS6KMJMYL" localSheetId="8" hidden="1">#REF!</definedName>
    <definedName name="BExQFWJQXNQAW6LUMOEDS6KMJMYL" localSheetId="19" hidden="1">#REF!</definedName>
    <definedName name="BExQFWJQXNQAW6LUMOEDS6KMJMYL" hidden="1">#REF!</definedName>
    <definedName name="BExQG8TYRD2G42UA5ZPCRLNKUDMX" localSheetId="8" hidden="1">#REF!</definedName>
    <definedName name="BExQG8TYRD2G42UA5ZPCRLNKUDMX" localSheetId="19" hidden="1">#REF!</definedName>
    <definedName name="BExQG8TYRD2G42UA5ZPCRLNKUDMX" hidden="1">#REF!</definedName>
    <definedName name="BExQG9A8OZ31BDN5QEGQGWG59A43" localSheetId="8" hidden="1">#REF!</definedName>
    <definedName name="BExQG9A8OZ31BDN5QEGQGWG59A43" localSheetId="19" hidden="1">#REF!</definedName>
    <definedName name="BExQG9A8OZ31BDN5QEGQGWG59A43" hidden="1">#REF!</definedName>
    <definedName name="BExQGGBQ2CMSPV4NV4RA7NMBQER6" localSheetId="8" hidden="1">#REF!</definedName>
    <definedName name="BExQGGBQ2CMSPV4NV4RA7NMBQER6" localSheetId="19" hidden="1">#REF!</definedName>
    <definedName name="BExQGGBQ2CMSPV4NV4RA7NMBQER6" hidden="1">#REF!</definedName>
    <definedName name="BExQGO48J9MPCDQ96RBB9UN9AIGT" localSheetId="8" hidden="1">#REF!</definedName>
    <definedName name="BExQGO48J9MPCDQ96RBB9UN9AIGT" localSheetId="19" hidden="1">#REF!</definedName>
    <definedName name="BExQGO48J9MPCDQ96RBB9UN9AIGT" hidden="1">#REF!</definedName>
    <definedName name="BExQGSBB6MJWDW7AYWA0MSFTXKRR" localSheetId="8" hidden="1">#REF!</definedName>
    <definedName name="BExQGSBB6MJWDW7AYWA0MSFTXKRR" localSheetId="19" hidden="1">#REF!</definedName>
    <definedName name="BExQGSBB6MJWDW7AYWA0MSFTXKRR" hidden="1">#REF!</definedName>
    <definedName name="BExQH0UURAJ13AVO5UI04HSRGVYW" localSheetId="8" hidden="1">#REF!</definedName>
    <definedName name="BExQH0UURAJ13AVO5UI04HSRGVYW" localSheetId="19" hidden="1">#REF!</definedName>
    <definedName name="BExQH0UURAJ13AVO5UI04HSRGVYW" hidden="1">#REF!</definedName>
    <definedName name="BExQH5I0FUT0822E2ITR6M5724UF" localSheetId="8" hidden="1">#REF!</definedName>
    <definedName name="BExQH5I0FUT0822E2ITR6M5724UF" localSheetId="19" hidden="1">#REF!</definedName>
    <definedName name="BExQH5I0FUT0822E2ITR6M5724UF" hidden="1">#REF!</definedName>
    <definedName name="BExQH6ZZY0NR8SE48PSI9D0CU1TC" localSheetId="8" hidden="1">#REF!</definedName>
    <definedName name="BExQH6ZZY0NR8SE48PSI9D0CU1TC" localSheetId="19" hidden="1">#REF!</definedName>
    <definedName name="BExQH6ZZY0NR8SE48PSI9D0CU1TC" hidden="1">#REF!</definedName>
    <definedName name="BExQH9P2MCXAJOVEO4GFQT6MNW22" localSheetId="8" hidden="1">#REF!</definedName>
    <definedName name="BExQH9P2MCXAJOVEO4GFQT6MNW22" localSheetId="19" hidden="1">#REF!</definedName>
    <definedName name="BExQH9P2MCXAJOVEO4GFQT6MNW22" hidden="1">#REF!</definedName>
    <definedName name="BExQHCZSBYUY8OKKJXFYWKBBM6AH" localSheetId="8" hidden="1">#REF!</definedName>
    <definedName name="BExQHCZSBYUY8OKKJXFYWKBBM6AH" localSheetId="19" hidden="1">#REF!</definedName>
    <definedName name="BExQHCZSBYUY8OKKJXFYWKBBM6AH" hidden="1">#REF!</definedName>
    <definedName name="BExQHML1J3V7M9VZ3S2S198637RP" localSheetId="8" hidden="1">#REF!</definedName>
    <definedName name="BExQHML1J3V7M9VZ3S2S198637RP" localSheetId="19" hidden="1">#REF!</definedName>
    <definedName name="BExQHML1J3V7M9VZ3S2S198637RP" hidden="1">#REF!</definedName>
    <definedName name="BExQHPKXZ1K33V2F90NZIQRZYIAW" localSheetId="8" hidden="1">#REF!</definedName>
    <definedName name="BExQHPKXZ1K33V2F90NZIQRZYIAW" localSheetId="19" hidden="1">#REF!</definedName>
    <definedName name="BExQHPKXZ1K33V2F90NZIQRZYIAW" hidden="1">#REF!</definedName>
    <definedName name="BExQHRDNW8YFGT2B35K9CYSS1VAI" localSheetId="8" hidden="1">#REF!</definedName>
    <definedName name="BExQHRDNW8YFGT2B35K9CYSS1VAI" localSheetId="19" hidden="1">#REF!</definedName>
    <definedName name="BExQHRDNW8YFGT2B35K9CYSS1VAI" hidden="1">#REF!</definedName>
    <definedName name="BExQHRZ9FBLUG6G6CC88UZA6V39L" localSheetId="8" hidden="1">#REF!</definedName>
    <definedName name="BExQHRZ9FBLUG6G6CC88UZA6V39L" localSheetId="19" hidden="1">#REF!</definedName>
    <definedName name="BExQHRZ9FBLUG6G6CC88UZA6V39L" hidden="1">#REF!</definedName>
    <definedName name="BExQHVF9KD06AG2RXUQJ9X4PVGX4" localSheetId="8" hidden="1">#REF!</definedName>
    <definedName name="BExQHVF9KD06AG2RXUQJ9X4PVGX4" localSheetId="19" hidden="1">#REF!</definedName>
    <definedName name="BExQHVF9KD06AG2RXUQJ9X4PVGX4" hidden="1">#REF!</definedName>
    <definedName name="BExQHZBHVN2L4HC7ACTR73T5OCV0" localSheetId="8" hidden="1">#REF!</definedName>
    <definedName name="BExQHZBHVN2L4HC7ACTR73T5OCV0" localSheetId="19" hidden="1">#REF!</definedName>
    <definedName name="BExQHZBHVN2L4HC7ACTR73T5OCV0" hidden="1">#REF!</definedName>
    <definedName name="BExQI3O3BBL6MXZNJD1S3UD8WBUU" localSheetId="8" hidden="1">#REF!</definedName>
    <definedName name="BExQI3O3BBL6MXZNJD1S3UD8WBUU" localSheetId="19" hidden="1">#REF!</definedName>
    <definedName name="BExQI3O3BBL6MXZNJD1S3UD8WBUU" hidden="1">#REF!</definedName>
    <definedName name="BExQI7431UOEBYKYPVVMNXBZ2ZP2" localSheetId="8" hidden="1">#REF!</definedName>
    <definedName name="BExQI7431UOEBYKYPVVMNXBZ2ZP2" localSheetId="19" hidden="1">#REF!</definedName>
    <definedName name="BExQI7431UOEBYKYPVVMNXBZ2ZP2" hidden="1">#REF!</definedName>
    <definedName name="BExQI85V9TNLDJT5LTRZS10Y26SG" localSheetId="8" hidden="1">#REF!</definedName>
    <definedName name="BExQI85V9TNLDJT5LTRZS10Y26SG" localSheetId="19" hidden="1">#REF!</definedName>
    <definedName name="BExQI85V9TNLDJT5LTRZS10Y26SG" hidden="1">#REF!</definedName>
    <definedName name="BExQI9ICYVAAXE7L1BQSE1VWSQA9" localSheetId="8" hidden="1">#REF!</definedName>
    <definedName name="BExQI9ICYVAAXE7L1BQSE1VWSQA9" localSheetId="19" hidden="1">#REF!</definedName>
    <definedName name="BExQI9ICYVAAXE7L1BQSE1VWSQA9" hidden="1">#REF!</definedName>
    <definedName name="BExQIAPKHVEV8CU1L3TTHJW67FJ5" localSheetId="8" hidden="1">#REF!</definedName>
    <definedName name="BExQIAPKHVEV8CU1L3TTHJW67FJ5" localSheetId="19" hidden="1">#REF!</definedName>
    <definedName name="BExQIAPKHVEV8CU1L3TTHJW67FJ5" hidden="1">#REF!</definedName>
    <definedName name="BExQIAV02RGEQG6AF0CWXU3MS9BZ" localSheetId="8" hidden="1">#REF!</definedName>
    <definedName name="BExQIAV02RGEQG6AF0CWXU3MS9BZ" localSheetId="19" hidden="1">#REF!</definedName>
    <definedName name="BExQIAV02RGEQG6AF0CWXU3MS9BZ" hidden="1">#REF!</definedName>
    <definedName name="BExQIBB4I3Z6AUU0HYV1DHRS13M4" localSheetId="8" hidden="1">#REF!</definedName>
    <definedName name="BExQIBB4I3Z6AUU0HYV1DHRS13M4" localSheetId="19" hidden="1">#REF!</definedName>
    <definedName name="BExQIBB4I3Z6AUU0HYV1DHRS13M4" hidden="1">#REF!</definedName>
    <definedName name="BExQIBWPAXU7HJZLKGJZY3EB7MIS" localSheetId="8" hidden="1">#REF!</definedName>
    <definedName name="BExQIBWPAXU7HJZLKGJZY3EB7MIS" localSheetId="19" hidden="1">#REF!</definedName>
    <definedName name="BExQIBWPAXU7HJZLKGJZY3EB7MIS" hidden="1">#REF!</definedName>
    <definedName name="BExQIHLP9AT969BKBF22IGW76GLI" localSheetId="8" hidden="1">#REF!</definedName>
    <definedName name="BExQIHLP9AT969BKBF22IGW76GLI" localSheetId="19" hidden="1">#REF!</definedName>
    <definedName name="BExQIHLP9AT969BKBF22IGW76GLI" hidden="1">#REF!</definedName>
    <definedName name="BExQIS8O6R36CI01XRY9ISM99TW9" localSheetId="8" hidden="1">#REF!</definedName>
    <definedName name="BExQIS8O6R36CI01XRY9ISM99TW9" localSheetId="19" hidden="1">#REF!</definedName>
    <definedName name="BExQIS8O6R36CI01XRY9ISM99TW9" hidden="1">#REF!</definedName>
    <definedName name="BExQIVJB9MJ25NDUHTCVMSODJY2C" localSheetId="8" hidden="1">#REF!</definedName>
    <definedName name="BExQIVJB9MJ25NDUHTCVMSODJY2C" localSheetId="19" hidden="1">#REF!</definedName>
    <definedName name="BExQIVJB9MJ25NDUHTCVMSODJY2C" hidden="1">#REF!</definedName>
    <definedName name="BExQIWAEMVTWAU39DWIXT17K2A9Z" localSheetId="8" hidden="1">#REF!</definedName>
    <definedName name="BExQIWAEMVTWAU39DWIXT17K2A9Z" localSheetId="19" hidden="1">#REF!</definedName>
    <definedName name="BExQIWAEMVTWAU39DWIXT17K2A9Z" hidden="1">#REF!</definedName>
    <definedName name="BExQJ72T8UR0U461ZLEGOOEPCDIG" localSheetId="8" hidden="1">#REF!</definedName>
    <definedName name="BExQJ72T8UR0U461ZLEGOOEPCDIG" localSheetId="19" hidden="1">#REF!</definedName>
    <definedName name="BExQJ72T8UR0U461ZLEGOOEPCDIG" hidden="1">#REF!</definedName>
    <definedName name="BExQJAZ2QDORCR0K8PR9VHQZ4Y3P" localSheetId="8" hidden="1">#REF!</definedName>
    <definedName name="BExQJAZ2QDORCR0K8PR9VHQZ4Y3P" localSheetId="19" hidden="1">#REF!</definedName>
    <definedName name="BExQJAZ2QDORCR0K8PR9VHQZ4Y3P" hidden="1">#REF!</definedName>
    <definedName name="BExQJBF7LAX128WR7VTMJC88ZLPG" localSheetId="8" hidden="1">#REF!</definedName>
    <definedName name="BExQJBF7LAX128WR7VTMJC88ZLPG" localSheetId="19" hidden="1">#REF!</definedName>
    <definedName name="BExQJBF7LAX128WR7VTMJC88ZLPG" hidden="1">#REF!</definedName>
    <definedName name="BExQJEVCKX6KZHNCLYXY7D0MX5KN" localSheetId="8" hidden="1">#REF!</definedName>
    <definedName name="BExQJEVCKX6KZHNCLYXY7D0MX5KN" localSheetId="19" hidden="1">#REF!</definedName>
    <definedName name="BExQJEVCKX6KZHNCLYXY7D0MX5KN" hidden="1">#REF!</definedName>
    <definedName name="BExQJJYSDX8B0J1QGF2HL071KKA3" localSheetId="8" hidden="1">#REF!</definedName>
    <definedName name="BExQJJYSDX8B0J1QGF2HL071KKA3" localSheetId="19" hidden="1">#REF!</definedName>
    <definedName name="BExQJJYSDX8B0J1QGF2HL071KKA3" hidden="1">#REF!</definedName>
    <definedName name="BExQK1HV6SQQ7CP8H8IUKI9TYXTD" localSheetId="8" hidden="1">#REF!</definedName>
    <definedName name="BExQK1HV6SQQ7CP8H8IUKI9TYXTD" localSheetId="19" hidden="1">#REF!</definedName>
    <definedName name="BExQK1HV6SQQ7CP8H8IUKI9TYXTD" hidden="1">#REF!</definedName>
    <definedName name="BExQK3LE5CSBW1E4H4KHW548FL2R" localSheetId="8" hidden="1">#REF!</definedName>
    <definedName name="BExQK3LE5CSBW1E4H4KHW548FL2R" localSheetId="19" hidden="1">#REF!</definedName>
    <definedName name="BExQK3LE5CSBW1E4H4KHW548FL2R" hidden="1">#REF!</definedName>
    <definedName name="BExQKG6LD6PLNDGNGO9DJXY865BR" localSheetId="8" hidden="1">#REF!</definedName>
    <definedName name="BExQKG6LD6PLNDGNGO9DJXY865BR" localSheetId="19" hidden="1">#REF!</definedName>
    <definedName name="BExQKG6LD6PLNDGNGO9DJXY865BR" hidden="1">#REF!</definedName>
    <definedName name="BExQKUKG8I4CGS9QYSD0H7NHP4JN" localSheetId="8" hidden="1">#REF!</definedName>
    <definedName name="BExQKUKG8I4CGS9QYSD0H7NHP4JN" localSheetId="19" hidden="1">#REF!</definedName>
    <definedName name="BExQKUKG8I4CGS9QYSD0H7NHP4JN" hidden="1">#REF!</definedName>
    <definedName name="BExQL2NSE8OYZFXQH8A23RMVMFW7" localSheetId="8" hidden="1">#REF!</definedName>
    <definedName name="BExQL2NSE8OYZFXQH8A23RMVMFW7" localSheetId="19" hidden="1">#REF!</definedName>
    <definedName name="BExQL2NSE8OYZFXQH8A23RMVMFW7" hidden="1">#REF!</definedName>
    <definedName name="BExQL4GJ3LZJL6JDEHT7UDXW90TV" localSheetId="8" hidden="1">#REF!</definedName>
    <definedName name="BExQL4GJ3LZJL6JDEHT7UDXW90TV" localSheetId="19" hidden="1">#REF!</definedName>
    <definedName name="BExQL4GJ3LZJL6JDEHT7UDXW90TV" hidden="1">#REF!</definedName>
    <definedName name="BExQLE1TOW3A287TQB0AVWENT8O1" localSheetId="8" hidden="1">#REF!</definedName>
    <definedName name="BExQLE1TOW3A287TQB0AVWENT8O1" localSheetId="19" hidden="1">#REF!</definedName>
    <definedName name="BExQLE1TOW3A287TQB0AVWENT8O1" hidden="1">#REF!</definedName>
    <definedName name="BExRYOYB4A3E5F6MTROY69LR0PMG" localSheetId="8" hidden="1">#REF!</definedName>
    <definedName name="BExRYOYB4A3E5F6MTROY69LR0PMG" localSheetId="19" hidden="1">#REF!</definedName>
    <definedName name="BExRYOYB4A3E5F6MTROY69LR0PMG" hidden="1">#REF!</definedName>
    <definedName name="BExRYZLA9EW71H4SXQR525S72LLP" localSheetId="8" hidden="1">#REF!</definedName>
    <definedName name="BExRYZLA9EW71H4SXQR525S72LLP" localSheetId="19" hidden="1">#REF!</definedName>
    <definedName name="BExRYZLA9EW71H4SXQR525S72LLP" hidden="1">#REF!</definedName>
    <definedName name="BExRZ66M8G9FQ0VFP077QSZBSOA5" localSheetId="8" hidden="1">#REF!</definedName>
    <definedName name="BExRZ66M8G9FQ0VFP077QSZBSOA5" localSheetId="19" hidden="1">#REF!</definedName>
    <definedName name="BExRZ66M8G9FQ0VFP077QSZBSOA5" hidden="1">#REF!</definedName>
    <definedName name="BExRZ8FMQQL46I8AQWU17LRNZD5T" localSheetId="8" hidden="1">#REF!</definedName>
    <definedName name="BExRZ8FMQQL46I8AQWU17LRNZD5T" localSheetId="19" hidden="1">#REF!</definedName>
    <definedName name="BExRZ8FMQQL46I8AQWU17LRNZD5T" hidden="1">#REF!</definedName>
    <definedName name="BExRZIRRIXRUMZ5GOO95S7460BMP" localSheetId="8" hidden="1">#REF!</definedName>
    <definedName name="BExRZIRRIXRUMZ5GOO95S7460BMP" localSheetId="19" hidden="1">#REF!</definedName>
    <definedName name="BExRZIRRIXRUMZ5GOO95S7460BMP" hidden="1">#REF!</definedName>
    <definedName name="BExRZJTNBKKPK7SB4LA31O3OH6PO" localSheetId="8" hidden="1">#REF!</definedName>
    <definedName name="BExRZJTNBKKPK7SB4LA31O3OH6PO" localSheetId="19" hidden="1">#REF!</definedName>
    <definedName name="BExRZJTNBKKPK7SB4LA31O3OH6PO" hidden="1">#REF!</definedName>
    <definedName name="BExRZK9RAHMM0ZLTNSK7A4LDC42D" localSheetId="8" hidden="1">#REF!</definedName>
    <definedName name="BExRZK9RAHMM0ZLTNSK7A4LDC42D" localSheetId="19" hidden="1">#REF!</definedName>
    <definedName name="BExRZK9RAHMM0ZLTNSK7A4LDC42D" hidden="1">#REF!</definedName>
    <definedName name="BExRZNF461H0WDF36L3U0UQSJGZB" localSheetId="8" hidden="1">#REF!</definedName>
    <definedName name="BExRZNF461H0WDF36L3U0UQSJGZB" localSheetId="19" hidden="1">#REF!</definedName>
    <definedName name="BExRZNF461H0WDF36L3U0UQSJGZB" hidden="1">#REF!</definedName>
    <definedName name="BExRZOGSR69INI6GAEPHDWSNK5Q4" localSheetId="8" hidden="1">#REF!</definedName>
    <definedName name="BExRZOGSR69INI6GAEPHDWSNK5Q4" localSheetId="19" hidden="1">#REF!</definedName>
    <definedName name="BExRZOGSR69INI6GAEPHDWSNK5Q4" hidden="1">#REF!</definedName>
    <definedName name="BExS0ASQBKRTPDWFK0KUDFOS9LE5" localSheetId="8" hidden="1">#REF!</definedName>
    <definedName name="BExS0ASQBKRTPDWFK0KUDFOS9LE5" localSheetId="19" hidden="1">#REF!</definedName>
    <definedName name="BExS0ASQBKRTPDWFK0KUDFOS9LE5" hidden="1">#REF!</definedName>
    <definedName name="BExS0GHQUF6YT0RU3TKDEO8CSJYB" localSheetId="8" hidden="1">#REF!</definedName>
    <definedName name="BExS0GHQUF6YT0RU3TKDEO8CSJYB" localSheetId="19" hidden="1">#REF!</definedName>
    <definedName name="BExS0GHQUF6YT0RU3TKDEO8CSJYB" hidden="1">#REF!</definedName>
    <definedName name="BExS0K8IHC45I78DMZBOJ1P13KQA" localSheetId="8" hidden="1">#REF!</definedName>
    <definedName name="BExS0K8IHC45I78DMZBOJ1P13KQA" localSheetId="19" hidden="1">#REF!</definedName>
    <definedName name="BExS0K8IHC45I78DMZBOJ1P13KQA" hidden="1">#REF!</definedName>
    <definedName name="BExS0L4WP69XXUFHED98XIEPB593" localSheetId="8" hidden="1">#REF!</definedName>
    <definedName name="BExS0L4WP69XXUFHED98XIEPB593" localSheetId="19" hidden="1">#REF!</definedName>
    <definedName name="BExS0L4WP69XXUFHED98XIEPB593" hidden="1">#REF!</definedName>
    <definedName name="BExS0Z2O2N4AJXFEPN87NU9ZGAHG" localSheetId="8" hidden="1">#REF!</definedName>
    <definedName name="BExS0Z2O2N4AJXFEPN87NU9ZGAHG" localSheetId="19" hidden="1">#REF!</definedName>
    <definedName name="BExS0Z2O2N4AJXFEPN87NU9ZGAHG" hidden="1">#REF!</definedName>
    <definedName name="BExS15IJV0WW662NXQUVT3FGP4ST" localSheetId="8" hidden="1">#REF!</definedName>
    <definedName name="BExS15IJV0WW662NXQUVT3FGP4ST" localSheetId="19" hidden="1">#REF!</definedName>
    <definedName name="BExS15IJV0WW662NXQUVT3FGP4ST" hidden="1">#REF!</definedName>
    <definedName name="BExS18T8TBNEPF4AU1VJ268XLF3L" localSheetId="8" hidden="1">#REF!</definedName>
    <definedName name="BExS18T8TBNEPF4AU1VJ268XLF3L" localSheetId="19" hidden="1">#REF!</definedName>
    <definedName name="BExS18T8TBNEPF4AU1VJ268XLF3L" hidden="1">#REF!</definedName>
    <definedName name="BExS194110MR25BYJI3CJ2EGZ8XT" localSheetId="8" hidden="1">#REF!</definedName>
    <definedName name="BExS194110MR25BYJI3CJ2EGZ8XT" localSheetId="19" hidden="1">#REF!</definedName>
    <definedName name="BExS194110MR25BYJI3CJ2EGZ8XT" hidden="1">#REF!</definedName>
    <definedName name="BExS1BNVGNSGD4EP90QL8WXYWZ66" localSheetId="8" hidden="1">#REF!</definedName>
    <definedName name="BExS1BNVGNSGD4EP90QL8WXYWZ66" localSheetId="19" hidden="1">#REF!</definedName>
    <definedName name="BExS1BNVGNSGD4EP90QL8WXYWZ66" hidden="1">#REF!</definedName>
    <definedName name="BExS1UE39N6NCND7MAARSBWXS6HU" localSheetId="8" hidden="1">#REF!</definedName>
    <definedName name="BExS1UE39N6NCND7MAARSBWXS6HU" localSheetId="19" hidden="1">#REF!</definedName>
    <definedName name="BExS1UE39N6NCND7MAARSBWXS6HU" hidden="1">#REF!</definedName>
    <definedName name="BExS226HTWL5WVC76MP5A1IBI8WD" localSheetId="8" hidden="1">#REF!</definedName>
    <definedName name="BExS226HTWL5WVC76MP5A1IBI8WD" localSheetId="19" hidden="1">#REF!</definedName>
    <definedName name="BExS226HTWL5WVC76MP5A1IBI8WD" hidden="1">#REF!</definedName>
    <definedName name="BExS26OI2QNNAH2WMDD95Z400048" localSheetId="8" hidden="1">#REF!</definedName>
    <definedName name="BExS26OI2QNNAH2WMDD95Z400048" localSheetId="19" hidden="1">#REF!</definedName>
    <definedName name="BExS26OI2QNNAH2WMDD95Z400048" hidden="1">#REF!</definedName>
    <definedName name="BExS2D4EI622QRKZKVDPRE66M4XA" localSheetId="8" hidden="1">#REF!</definedName>
    <definedName name="BExS2D4EI622QRKZKVDPRE66M4XA" localSheetId="19" hidden="1">#REF!</definedName>
    <definedName name="BExS2D4EI622QRKZKVDPRE66M4XA" hidden="1">#REF!</definedName>
    <definedName name="BExS2DF6B4ZUF3VZLI4G6LJ3BF38" localSheetId="8" hidden="1">#REF!</definedName>
    <definedName name="BExS2DF6B4ZUF3VZLI4G6LJ3BF38" localSheetId="19" hidden="1">#REF!</definedName>
    <definedName name="BExS2DF6B4ZUF3VZLI4G6LJ3BF38" hidden="1">#REF!</definedName>
    <definedName name="BExS2GKEA6VM3PDWKD7XI0KRUHTW" localSheetId="8" hidden="1">#REF!</definedName>
    <definedName name="BExS2GKEA6VM3PDWKD7XI0KRUHTW" localSheetId="19" hidden="1">#REF!</definedName>
    <definedName name="BExS2GKEA6VM3PDWKD7XI0KRUHTW" hidden="1">#REF!</definedName>
    <definedName name="BExS2I2HVU314TXI2DYFRY8XV913" localSheetId="8" hidden="1">#REF!</definedName>
    <definedName name="BExS2I2HVU314TXI2DYFRY8XV913" localSheetId="19" hidden="1">#REF!</definedName>
    <definedName name="BExS2I2HVU314TXI2DYFRY8XV913" hidden="1">#REF!</definedName>
    <definedName name="BExS2QB5FS5LYTFYO4BROTWG3OV5" localSheetId="8" hidden="1">#REF!</definedName>
    <definedName name="BExS2QB5FS5LYTFYO4BROTWG3OV5" localSheetId="19" hidden="1">#REF!</definedName>
    <definedName name="BExS2QB5FS5LYTFYO4BROTWG3OV5" hidden="1">#REF!</definedName>
    <definedName name="BExS2TLU1HONYV6S3ZD9T12D7CIG" localSheetId="8" hidden="1">#REF!</definedName>
    <definedName name="BExS2TLU1HONYV6S3ZD9T12D7CIG" localSheetId="19" hidden="1">#REF!</definedName>
    <definedName name="BExS2TLU1HONYV6S3ZD9T12D7CIG" hidden="1">#REF!</definedName>
    <definedName name="BExS2WLQUVBRZJWQTWUU4CYDY4IN" localSheetId="8" hidden="1">#REF!</definedName>
    <definedName name="BExS2WLQUVBRZJWQTWUU4CYDY4IN" localSheetId="19" hidden="1">#REF!</definedName>
    <definedName name="BExS2WLQUVBRZJWQTWUU4CYDY4IN" hidden="1">#REF!</definedName>
    <definedName name="BExS2YJQV4NUX6135T90Z1Y5R26Q" localSheetId="8" hidden="1">#REF!</definedName>
    <definedName name="BExS2YJQV4NUX6135T90Z1Y5R26Q" localSheetId="19" hidden="1">#REF!</definedName>
    <definedName name="BExS2YJQV4NUX6135T90Z1Y5R26Q" hidden="1">#REF!</definedName>
    <definedName name="BExS318UV9I2FXPQQWUKKX00QLPJ" localSheetId="8" hidden="1">#REF!</definedName>
    <definedName name="BExS318UV9I2FXPQQWUKKX00QLPJ" localSheetId="19" hidden="1">#REF!</definedName>
    <definedName name="BExS318UV9I2FXPQQWUKKX00QLPJ" hidden="1">#REF!</definedName>
    <definedName name="BExS3LBS0SMTHALVM4NRI1BAV1NP" localSheetId="8" hidden="1">#REF!</definedName>
    <definedName name="BExS3LBS0SMTHALVM4NRI1BAV1NP" localSheetId="19" hidden="1">#REF!</definedName>
    <definedName name="BExS3LBS0SMTHALVM4NRI1BAV1NP" hidden="1">#REF!</definedName>
    <definedName name="BExS3MTQ75VBXDGEBURP6YT8RROE" localSheetId="8" hidden="1">#REF!</definedName>
    <definedName name="BExS3MTQ75VBXDGEBURP6YT8RROE" localSheetId="19" hidden="1">#REF!</definedName>
    <definedName name="BExS3MTQ75VBXDGEBURP6YT8RROE" hidden="1">#REF!</definedName>
    <definedName name="BExS3OMGYO0DFN5186UFKEXZ2RX3" localSheetId="8" hidden="1">#REF!</definedName>
    <definedName name="BExS3OMGYO0DFN5186UFKEXZ2RX3" localSheetId="19" hidden="1">#REF!</definedName>
    <definedName name="BExS3OMGYO0DFN5186UFKEXZ2RX3" hidden="1">#REF!</definedName>
    <definedName name="BExS3SDERJ27OER67TIGOVZU13A2" localSheetId="8" hidden="1">#REF!</definedName>
    <definedName name="BExS3SDERJ27OER67TIGOVZU13A2" localSheetId="19" hidden="1">#REF!</definedName>
    <definedName name="BExS3SDERJ27OER67TIGOVZU13A2" hidden="1">#REF!</definedName>
    <definedName name="BExS3STIH9SFG0R6H30P191QZE98" localSheetId="8" hidden="1">#REF!</definedName>
    <definedName name="BExS3STIH9SFG0R6H30P191QZE98" localSheetId="19" hidden="1">#REF!</definedName>
    <definedName name="BExS3STIH9SFG0R6H30P191QZE98" hidden="1">#REF!</definedName>
    <definedName name="BExS46R5WDNU5KL04FKY5LHJUCB8" localSheetId="8" hidden="1">#REF!</definedName>
    <definedName name="BExS46R5WDNU5KL04FKY5LHJUCB8" localSheetId="19" hidden="1">#REF!</definedName>
    <definedName name="BExS46R5WDNU5KL04FKY5LHJUCB8" hidden="1">#REF!</definedName>
    <definedName name="BExS4ASWKM93XA275AXHYP8AG6SU" localSheetId="8" hidden="1">#REF!</definedName>
    <definedName name="BExS4ASWKM93XA275AXHYP8AG6SU" localSheetId="19" hidden="1">#REF!</definedName>
    <definedName name="BExS4ASWKM93XA275AXHYP8AG6SU" hidden="1">#REF!</definedName>
    <definedName name="BExS4IANBC4RO7HIK0MZZ2RPQU78" localSheetId="8" hidden="1">#REF!</definedName>
    <definedName name="BExS4IANBC4RO7HIK0MZZ2RPQU78" localSheetId="19" hidden="1">#REF!</definedName>
    <definedName name="BExS4IANBC4RO7HIK0MZZ2RPQU78" hidden="1">#REF!</definedName>
    <definedName name="BExS4JN3Y6SVBKILQK0R9HS45Y52" localSheetId="8" hidden="1">#REF!</definedName>
    <definedName name="BExS4JN3Y6SVBKILQK0R9HS45Y52" localSheetId="19" hidden="1">#REF!</definedName>
    <definedName name="BExS4JN3Y6SVBKILQK0R9HS45Y52" hidden="1">#REF!</definedName>
    <definedName name="BExS4P6S41O6Z6BED77U3GD9PNH1" localSheetId="8" hidden="1">#REF!</definedName>
    <definedName name="BExS4P6S41O6Z6BED77U3GD9PNH1" localSheetId="19" hidden="1">#REF!</definedName>
    <definedName name="BExS4P6S41O6Z6BED77U3GD9PNH1" hidden="1">#REF!</definedName>
    <definedName name="BExS4PXPURUHFBOKYFJD5J1J2RXC" localSheetId="8" hidden="1">#REF!</definedName>
    <definedName name="BExS4PXPURUHFBOKYFJD5J1J2RXC" localSheetId="19" hidden="1">#REF!</definedName>
    <definedName name="BExS4PXPURUHFBOKYFJD5J1J2RXC" hidden="1">#REF!</definedName>
    <definedName name="BExS4T32HD3YGJ91HTJ2IGVX6V4O" localSheetId="8" hidden="1">#REF!</definedName>
    <definedName name="BExS4T32HD3YGJ91HTJ2IGVX6V4O" localSheetId="19" hidden="1">#REF!</definedName>
    <definedName name="BExS4T32HD3YGJ91HTJ2IGVX6V4O" hidden="1">#REF!</definedName>
    <definedName name="BExS51H0N51UT0FZOPZRCF1GU063" localSheetId="8" hidden="1">#REF!</definedName>
    <definedName name="BExS51H0N51UT0FZOPZRCF1GU063" localSheetId="19" hidden="1">#REF!</definedName>
    <definedName name="BExS51H0N51UT0FZOPZRCF1GU063" hidden="1">#REF!</definedName>
    <definedName name="BExS54X72TJFC41FJK72MLRR2OO7" localSheetId="8" hidden="1">#REF!</definedName>
    <definedName name="BExS54X72TJFC41FJK72MLRR2OO7" localSheetId="19" hidden="1">#REF!</definedName>
    <definedName name="BExS54X72TJFC41FJK72MLRR2OO7" hidden="1">#REF!</definedName>
    <definedName name="BExS59F0PA1V2ZC7S5TN6IT41SXP" localSheetId="8" hidden="1">#REF!</definedName>
    <definedName name="BExS59F0PA1V2ZC7S5TN6IT41SXP" localSheetId="19" hidden="1">#REF!</definedName>
    <definedName name="BExS59F0PA1V2ZC7S5TN6IT41SXP" hidden="1">#REF!</definedName>
    <definedName name="BExS5L3TGB8JVW9ROYWTKYTUPW27" localSheetId="8" hidden="1">#REF!</definedName>
    <definedName name="BExS5L3TGB8JVW9ROYWTKYTUPW27" localSheetId="19" hidden="1">#REF!</definedName>
    <definedName name="BExS5L3TGB8JVW9ROYWTKYTUPW27" hidden="1">#REF!</definedName>
    <definedName name="BExS6GKQ96EHVLYWNJDWXZXUZW90" localSheetId="8" hidden="1">#REF!</definedName>
    <definedName name="BExS6GKQ96EHVLYWNJDWXZXUZW90" localSheetId="19" hidden="1">#REF!</definedName>
    <definedName name="BExS6GKQ96EHVLYWNJDWXZXUZW90" hidden="1">#REF!</definedName>
    <definedName name="BExS6ITKSZFRR01YD5B0F676SYN7" localSheetId="8" hidden="1">#REF!</definedName>
    <definedName name="BExS6ITKSZFRR01YD5B0F676SYN7" localSheetId="19" hidden="1">#REF!</definedName>
    <definedName name="BExS6ITKSZFRR01YD5B0F676SYN7" hidden="1">#REF!</definedName>
    <definedName name="BExS6N0LI574IAC89EFW6CLTCQ33" localSheetId="8" hidden="1">#REF!</definedName>
    <definedName name="BExS6N0LI574IAC89EFW6CLTCQ33" localSheetId="19" hidden="1">#REF!</definedName>
    <definedName name="BExS6N0LI574IAC89EFW6CLTCQ33" hidden="1">#REF!</definedName>
    <definedName name="BExS6N0NEF7XCTT5R600QZ71A44O" localSheetId="8" hidden="1">#REF!</definedName>
    <definedName name="BExS6N0NEF7XCTT5R600QZ71A44O" localSheetId="19" hidden="1">#REF!</definedName>
    <definedName name="BExS6N0NEF7XCTT5R600QZ71A44O" hidden="1">#REF!</definedName>
    <definedName name="BExS6WRDBF3ST86ZOBBUL3GTCR11" localSheetId="8" hidden="1">#REF!</definedName>
    <definedName name="BExS6WRDBF3ST86ZOBBUL3GTCR11" localSheetId="19" hidden="1">#REF!</definedName>
    <definedName name="BExS6WRDBF3ST86ZOBBUL3GTCR11" hidden="1">#REF!</definedName>
    <definedName name="BExS6XNRKR0C3MTA0LV5B60UB908" localSheetId="8" hidden="1">#REF!</definedName>
    <definedName name="BExS6XNRKR0C3MTA0LV5B60UB908" localSheetId="19" hidden="1">#REF!</definedName>
    <definedName name="BExS6XNRKR0C3MTA0LV5B60UB908" hidden="1">#REF!</definedName>
    <definedName name="BExS73NELZEK2MDOLXO2Q7H3EG71" localSheetId="8" hidden="1">#REF!</definedName>
    <definedName name="BExS73NELZEK2MDOLXO2Q7H3EG71" localSheetId="19" hidden="1">#REF!</definedName>
    <definedName name="BExS73NELZEK2MDOLXO2Q7H3EG71" hidden="1">#REF!</definedName>
    <definedName name="BExS7DJF6AXTWAJD7K4ZCD7L6BHV" localSheetId="8" hidden="1">#REF!</definedName>
    <definedName name="BExS7DJF6AXTWAJD7K4ZCD7L6BHV" localSheetId="19" hidden="1">#REF!</definedName>
    <definedName name="BExS7DJF6AXTWAJD7K4ZCD7L6BHV" hidden="1">#REF!</definedName>
    <definedName name="BExS7GOTHHOK287MX2RC853NWQAL" localSheetId="8" hidden="1">#REF!</definedName>
    <definedName name="BExS7GOTHHOK287MX2RC853NWQAL" localSheetId="19" hidden="1">#REF!</definedName>
    <definedName name="BExS7GOTHHOK287MX2RC853NWQAL" hidden="1">#REF!</definedName>
    <definedName name="BExS7TKQYLRZGM93UY3ZJZJBQNFJ" localSheetId="8" hidden="1">#REF!</definedName>
    <definedName name="BExS7TKQYLRZGM93UY3ZJZJBQNFJ" localSheetId="19" hidden="1">#REF!</definedName>
    <definedName name="BExS7TKQYLRZGM93UY3ZJZJBQNFJ" hidden="1">#REF!</definedName>
    <definedName name="BExS7Y2LNGVHSIBKC7C3R6X4LDR6" localSheetId="8" hidden="1">#REF!</definedName>
    <definedName name="BExS7Y2LNGVHSIBKC7C3R6X4LDR6" localSheetId="19" hidden="1">#REF!</definedName>
    <definedName name="BExS7Y2LNGVHSIBKC7C3R6X4LDR6" hidden="1">#REF!</definedName>
    <definedName name="BExS81TE0EY44Y3W2M4Z4MGNP5OM" localSheetId="8" hidden="1">#REF!</definedName>
    <definedName name="BExS81TE0EY44Y3W2M4Z4MGNP5OM" localSheetId="19" hidden="1">#REF!</definedName>
    <definedName name="BExS81TE0EY44Y3W2M4Z4MGNP5OM" hidden="1">#REF!</definedName>
    <definedName name="BExS81YPDZDVJJVS15HV2HDXAC3Y" localSheetId="8" hidden="1">#REF!</definedName>
    <definedName name="BExS81YPDZDVJJVS15HV2HDXAC3Y" localSheetId="19" hidden="1">#REF!</definedName>
    <definedName name="BExS81YPDZDVJJVS15HV2HDXAC3Y" hidden="1">#REF!</definedName>
    <definedName name="BExS82PRVNUTEKQZS56YT2DVF6C2" localSheetId="8" hidden="1">#REF!</definedName>
    <definedName name="BExS82PRVNUTEKQZS56YT2DVF6C2" localSheetId="19" hidden="1">#REF!</definedName>
    <definedName name="BExS82PRVNUTEKQZS56YT2DVF6C2" hidden="1">#REF!</definedName>
    <definedName name="BExS83BCNFAV6DRCB1VTUF96491J" localSheetId="8" hidden="1">#REF!</definedName>
    <definedName name="BExS83BCNFAV6DRCB1VTUF96491J" localSheetId="19" hidden="1">#REF!</definedName>
    <definedName name="BExS83BCNFAV6DRCB1VTUF96491J" hidden="1">#REF!</definedName>
    <definedName name="BExS86GKM9ISCSNZD15BQ5E5L6A5" localSheetId="8" hidden="1">#REF!</definedName>
    <definedName name="BExS86GKM9ISCSNZD15BQ5E5L6A5" localSheetId="19" hidden="1">#REF!</definedName>
    <definedName name="BExS86GKM9ISCSNZD15BQ5E5L6A5" hidden="1">#REF!</definedName>
    <definedName name="BExS89GGRJ55EK546SM31UGE2K8T" localSheetId="8" hidden="1">#REF!</definedName>
    <definedName name="BExS89GGRJ55EK546SM31UGE2K8T" localSheetId="19" hidden="1">#REF!</definedName>
    <definedName name="BExS89GGRJ55EK546SM31UGE2K8T" hidden="1">#REF!</definedName>
    <definedName name="BExS8BPG5A0GR5AO1U951NDGGR0L" localSheetId="8" hidden="1">#REF!</definedName>
    <definedName name="BExS8BPG5A0GR5AO1U951NDGGR0L" localSheetId="19" hidden="1">#REF!</definedName>
    <definedName name="BExS8BPG5A0GR5AO1U951NDGGR0L" hidden="1">#REF!</definedName>
    <definedName name="BExS8CGI0JXFUBD41VFLI0SZSV8F" localSheetId="8" hidden="1">#REF!</definedName>
    <definedName name="BExS8CGI0JXFUBD41VFLI0SZSV8F" localSheetId="19" hidden="1">#REF!</definedName>
    <definedName name="BExS8CGI0JXFUBD41VFLI0SZSV8F" hidden="1">#REF!</definedName>
    <definedName name="BExS8D22FXVQKOEJP01LT0CDI3PS" localSheetId="8" hidden="1">#REF!</definedName>
    <definedName name="BExS8D22FXVQKOEJP01LT0CDI3PS" localSheetId="19" hidden="1">#REF!</definedName>
    <definedName name="BExS8D22FXVQKOEJP01LT0CDI3PS" hidden="1">#REF!</definedName>
    <definedName name="BExS8EEJOZFBUWZDOM3O25AJRUVU" localSheetId="8" hidden="1">#REF!</definedName>
    <definedName name="BExS8EEJOZFBUWZDOM3O25AJRUVU" localSheetId="19" hidden="1">#REF!</definedName>
    <definedName name="BExS8EEJOZFBUWZDOM3O25AJRUVU" hidden="1">#REF!</definedName>
    <definedName name="BExS8GSUS17UY50TEM2AWF36BR9Z" localSheetId="8" hidden="1">#REF!</definedName>
    <definedName name="BExS8GSUS17UY50TEM2AWF36BR9Z" localSheetId="19" hidden="1">#REF!</definedName>
    <definedName name="BExS8GSUS17UY50TEM2AWF36BR9Z" hidden="1">#REF!</definedName>
    <definedName name="BExS8HJRBVG0XI6PWA9KTMJZMQXK" localSheetId="8" hidden="1">#REF!</definedName>
    <definedName name="BExS8HJRBVG0XI6PWA9KTMJZMQXK" localSheetId="19" hidden="1">#REF!</definedName>
    <definedName name="BExS8HJRBVG0XI6PWA9KTMJZMQXK" hidden="1">#REF!</definedName>
    <definedName name="BExS8NE9HUZJH13OXLREOV1BX0OZ" localSheetId="8" hidden="1">#REF!</definedName>
    <definedName name="BExS8NE9HUZJH13OXLREOV1BX0OZ" localSheetId="19" hidden="1">#REF!</definedName>
    <definedName name="BExS8NE9HUZJH13OXLREOV1BX0OZ" hidden="1">#REF!</definedName>
    <definedName name="BExS8R51C8RM2FS6V6IRTYO9GA4A" localSheetId="8" hidden="1">#REF!</definedName>
    <definedName name="BExS8R51C8RM2FS6V6IRTYO9GA4A" localSheetId="19" hidden="1">#REF!</definedName>
    <definedName name="BExS8R51C8RM2FS6V6IRTYO9GA4A" hidden="1">#REF!</definedName>
    <definedName name="BExS8WDX408F60MH1X9B9UZ2H4R7" localSheetId="8" hidden="1">#REF!</definedName>
    <definedName name="BExS8WDX408F60MH1X9B9UZ2H4R7" localSheetId="19" hidden="1">#REF!</definedName>
    <definedName name="BExS8WDX408F60MH1X9B9UZ2H4R7" hidden="1">#REF!</definedName>
    <definedName name="BExS8X4UTVOFE2YEVLO8LTKMSI3A" localSheetId="8" hidden="1">#REF!</definedName>
    <definedName name="BExS8X4UTVOFE2YEVLO8LTKMSI3A" localSheetId="19" hidden="1">#REF!</definedName>
    <definedName name="BExS8X4UTVOFE2YEVLO8LTKMSI3A" hidden="1">#REF!</definedName>
    <definedName name="BExS8Z2W2QEC3MH0BZIYLDFQNUIP" localSheetId="8" hidden="1">#REF!</definedName>
    <definedName name="BExS8Z2W2QEC3MH0BZIYLDFQNUIP" localSheetId="19" hidden="1">#REF!</definedName>
    <definedName name="BExS8Z2W2QEC3MH0BZIYLDFQNUIP" hidden="1">#REF!</definedName>
    <definedName name="BExS92DKGRFFCIA9C0IXDOLO57EP" localSheetId="8" hidden="1">#REF!</definedName>
    <definedName name="BExS92DKGRFFCIA9C0IXDOLO57EP" localSheetId="19" hidden="1">#REF!</definedName>
    <definedName name="BExS92DKGRFFCIA9C0IXDOLO57EP" hidden="1">#REF!</definedName>
    <definedName name="BExS98OB4321YCHLCQ022PXKTT2W" localSheetId="8" hidden="1">#REF!</definedName>
    <definedName name="BExS98OB4321YCHLCQ022PXKTT2W" localSheetId="19" hidden="1">#REF!</definedName>
    <definedName name="BExS98OB4321YCHLCQ022PXKTT2W" hidden="1">#REF!</definedName>
    <definedName name="BExS9C9N8GFISC6HUERJ0EI06GB2" localSheetId="8" hidden="1">#REF!</definedName>
    <definedName name="BExS9C9N8GFISC6HUERJ0EI06GB2" localSheetId="19" hidden="1">#REF!</definedName>
    <definedName name="BExS9C9N8GFISC6HUERJ0EI06GB2" hidden="1">#REF!</definedName>
    <definedName name="BExS9D6619QNINF06KHZHYUAH0S9" localSheetId="8" hidden="1">#REF!</definedName>
    <definedName name="BExS9D6619QNINF06KHZHYUAH0S9" localSheetId="19" hidden="1">#REF!</definedName>
    <definedName name="BExS9D6619QNINF06KHZHYUAH0S9" hidden="1">#REF!</definedName>
    <definedName name="BExS9DX13CACP3J8JDREK30JB1SQ" localSheetId="8" hidden="1">#REF!</definedName>
    <definedName name="BExS9DX13CACP3J8JDREK30JB1SQ" localSheetId="19" hidden="1">#REF!</definedName>
    <definedName name="BExS9DX13CACP3J8JDREK30JB1SQ" hidden="1">#REF!</definedName>
    <definedName name="BExS9FPRS2KRRCS33SE6WFNF5GYL" localSheetId="8" hidden="1">#REF!</definedName>
    <definedName name="BExS9FPRS2KRRCS33SE6WFNF5GYL" localSheetId="19" hidden="1">#REF!</definedName>
    <definedName name="BExS9FPRS2KRRCS33SE6WFNF5GYL" hidden="1">#REF!</definedName>
    <definedName name="BExS9M5VN3VE822UH6TLACVY24CJ" localSheetId="8" hidden="1">#REF!</definedName>
    <definedName name="BExS9M5VN3VE822UH6TLACVY24CJ" localSheetId="19" hidden="1">#REF!</definedName>
    <definedName name="BExS9M5VN3VE822UH6TLACVY24CJ" hidden="1">#REF!</definedName>
    <definedName name="BExS9WI0A6PSEB8N9GPXF2Z7MWHM" localSheetId="8" hidden="1">#REF!</definedName>
    <definedName name="BExS9WI0A6PSEB8N9GPXF2Z7MWHM" localSheetId="19" hidden="1">#REF!</definedName>
    <definedName name="BExS9WI0A6PSEB8N9GPXF2Z7MWHM" hidden="1">#REF!</definedName>
    <definedName name="BExS9XJPZ07ND34OHX60QD382FV6" localSheetId="8" hidden="1">#REF!</definedName>
    <definedName name="BExS9XJPZ07ND34OHX60QD382FV6" localSheetId="19" hidden="1">#REF!</definedName>
    <definedName name="BExS9XJPZ07ND34OHX60QD382FV6" hidden="1">#REF!</definedName>
    <definedName name="BExSA4AJLEEN4R7HU4FRSMYR17TR" localSheetId="8" hidden="1">#REF!</definedName>
    <definedName name="BExSA4AJLEEN4R7HU4FRSMYR17TR" localSheetId="19" hidden="1">#REF!</definedName>
    <definedName name="BExSA4AJLEEN4R7HU4FRSMYR17TR" hidden="1">#REF!</definedName>
    <definedName name="BExSA5HP306TN9XJS0TU619DLRR7" localSheetId="8" hidden="1">#REF!</definedName>
    <definedName name="BExSA5HP306TN9XJS0TU619DLRR7" localSheetId="19" hidden="1">#REF!</definedName>
    <definedName name="BExSA5HP306TN9XJS0TU619DLRR7" hidden="1">#REF!</definedName>
    <definedName name="BExSAAVWQOOIA6B3JHQVGP08HFEM" localSheetId="8" hidden="1">#REF!</definedName>
    <definedName name="BExSAAVWQOOIA6B3JHQVGP08HFEM" localSheetId="19" hidden="1">#REF!</definedName>
    <definedName name="BExSAAVWQOOIA6B3JHQVGP08HFEM" hidden="1">#REF!</definedName>
    <definedName name="BExSAFJ3IICU2M7QPVE4ARYMXZKX" localSheetId="8" hidden="1">#REF!</definedName>
    <definedName name="BExSAFJ3IICU2M7QPVE4ARYMXZKX" localSheetId="19" hidden="1">#REF!</definedName>
    <definedName name="BExSAFJ3IICU2M7QPVE4ARYMXZKX" hidden="1">#REF!</definedName>
    <definedName name="BExSAH6ID8OHX379UXVNGFO8J6KQ" localSheetId="8" hidden="1">#REF!</definedName>
    <definedName name="BExSAH6ID8OHX379UXVNGFO8J6KQ" localSheetId="19" hidden="1">#REF!</definedName>
    <definedName name="BExSAH6ID8OHX379UXVNGFO8J6KQ" hidden="1">#REF!</definedName>
    <definedName name="BExSAQBHIXGQRNIRGCJMBXUPCZQA" localSheetId="8" hidden="1">#REF!</definedName>
    <definedName name="BExSAQBHIXGQRNIRGCJMBXUPCZQA" localSheetId="19" hidden="1">#REF!</definedName>
    <definedName name="BExSAQBHIXGQRNIRGCJMBXUPCZQA" hidden="1">#REF!</definedName>
    <definedName name="BExSAUTCT4P7JP57NOR9MTX33QJZ" localSheetId="8" hidden="1">#REF!</definedName>
    <definedName name="BExSAUTCT4P7JP57NOR9MTX33QJZ" localSheetId="19" hidden="1">#REF!</definedName>
    <definedName name="BExSAUTCT4P7JP57NOR9MTX33QJZ" hidden="1">#REF!</definedName>
    <definedName name="BExSAY9CA9TFXQ9M9FBJRGJO9T9E" localSheetId="8" hidden="1">#REF!</definedName>
    <definedName name="BExSAY9CA9TFXQ9M9FBJRGJO9T9E" localSheetId="19" hidden="1">#REF!</definedName>
    <definedName name="BExSAY9CA9TFXQ9M9FBJRGJO9T9E" hidden="1">#REF!</definedName>
    <definedName name="BExSB4JYKQ3MINI7RAYK5M8BLJDC" localSheetId="8" hidden="1">#REF!</definedName>
    <definedName name="BExSB4JYKQ3MINI7RAYK5M8BLJDC" localSheetId="19" hidden="1">#REF!</definedName>
    <definedName name="BExSB4JYKQ3MINI7RAYK5M8BLJDC" hidden="1">#REF!</definedName>
    <definedName name="BExSBCY73CG3Q15P5BDLDT994XRL" localSheetId="8" hidden="1">#REF!</definedName>
    <definedName name="BExSBCY73CG3Q15P5BDLDT994XRL" localSheetId="19" hidden="1">#REF!</definedName>
    <definedName name="BExSBCY73CG3Q15P5BDLDT994XRL" hidden="1">#REF!</definedName>
    <definedName name="BExSBMOS41ZRLWYLOU29V6Y7YORR" localSheetId="8" hidden="1">#REF!</definedName>
    <definedName name="BExSBMOS41ZRLWYLOU29V6Y7YORR" localSheetId="19" hidden="1">#REF!</definedName>
    <definedName name="BExSBMOS41ZRLWYLOU29V6Y7YORR" hidden="1">#REF!</definedName>
    <definedName name="BExSBPZG22WAMZYIF7CZ686E8X80" localSheetId="8" hidden="1">#REF!</definedName>
    <definedName name="BExSBPZG22WAMZYIF7CZ686E8X80" localSheetId="19" hidden="1">#REF!</definedName>
    <definedName name="BExSBPZG22WAMZYIF7CZ686E8X80" hidden="1">#REF!</definedName>
    <definedName name="BExSBRBXXQMBU1TYDW1BXTEVEPRU" localSheetId="8" hidden="1">#REF!</definedName>
    <definedName name="BExSBRBXXQMBU1TYDW1BXTEVEPRU" localSheetId="19" hidden="1">#REF!</definedName>
    <definedName name="BExSBRBXXQMBU1TYDW1BXTEVEPRU" hidden="1">#REF!</definedName>
    <definedName name="BExSC54998WTZ21DSL0R8UN0Y9JH" localSheetId="8" hidden="1">#REF!</definedName>
    <definedName name="BExSC54998WTZ21DSL0R8UN0Y9JH" localSheetId="19" hidden="1">#REF!</definedName>
    <definedName name="BExSC54998WTZ21DSL0R8UN0Y9JH" hidden="1">#REF!</definedName>
    <definedName name="BExSC60N7WR9PJSNC9B7ORCX9NGY" localSheetId="8" hidden="1">#REF!</definedName>
    <definedName name="BExSC60N7WR9PJSNC9B7ORCX9NGY" localSheetId="19" hidden="1">#REF!</definedName>
    <definedName name="BExSC60N7WR9PJSNC9B7ORCX9NGY" hidden="1">#REF!</definedName>
    <definedName name="BExSCE99EZTILTTCE4NJJF96OYYM" localSheetId="8" hidden="1">#REF!</definedName>
    <definedName name="BExSCE99EZTILTTCE4NJJF96OYYM" localSheetId="19" hidden="1">#REF!</definedName>
    <definedName name="BExSCE99EZTILTTCE4NJJF96OYYM" hidden="1">#REF!</definedName>
    <definedName name="BExSCFWOMYELUEPWVJIRGIQZH5BV" localSheetId="8" hidden="1">#REF!</definedName>
    <definedName name="BExSCFWOMYELUEPWVJIRGIQZH5BV" localSheetId="19" hidden="1">#REF!</definedName>
    <definedName name="BExSCFWOMYELUEPWVJIRGIQZH5BV" hidden="1">#REF!</definedName>
    <definedName name="BExSCHUQZ2HFEWS54X67DIS8OSXZ" localSheetId="8" hidden="1">#REF!</definedName>
    <definedName name="BExSCHUQZ2HFEWS54X67DIS8OSXZ" localSheetId="19" hidden="1">#REF!</definedName>
    <definedName name="BExSCHUQZ2HFEWS54X67DIS8OSXZ" hidden="1">#REF!</definedName>
    <definedName name="BExSCOG41SKKG4GYU76WRWW1CTE6" localSheetId="8" hidden="1">#REF!</definedName>
    <definedName name="BExSCOG41SKKG4GYU76WRWW1CTE6" localSheetId="19" hidden="1">#REF!</definedName>
    <definedName name="BExSCOG41SKKG4GYU76WRWW1CTE6" hidden="1">#REF!</definedName>
    <definedName name="BExSCVC9P86YVFMRKKUVRV29MZXZ" localSheetId="8" hidden="1">#REF!</definedName>
    <definedName name="BExSCVC9P86YVFMRKKUVRV29MZXZ" localSheetId="19" hidden="1">#REF!</definedName>
    <definedName name="BExSCVC9P86YVFMRKKUVRV29MZXZ" hidden="1">#REF!</definedName>
    <definedName name="BExSD233CH4MU9ZMGNRF97ZV7KWU" localSheetId="8" hidden="1">#REF!</definedName>
    <definedName name="BExSD233CH4MU9ZMGNRF97ZV7KWU" localSheetId="19" hidden="1">#REF!</definedName>
    <definedName name="BExSD233CH4MU9ZMGNRF97ZV7KWU" hidden="1">#REF!</definedName>
    <definedName name="BExSD2U0F3BN6IN9N4R2DTTJG15H" localSheetId="8" hidden="1">#REF!</definedName>
    <definedName name="BExSD2U0F3BN6IN9N4R2DTTJG15H" localSheetId="19" hidden="1">#REF!</definedName>
    <definedName name="BExSD2U0F3BN6IN9N4R2DTTJG15H" hidden="1">#REF!</definedName>
    <definedName name="BExSD6A6NY15YSMFH51ST6XJY429" localSheetId="8" hidden="1">#REF!</definedName>
    <definedName name="BExSD6A6NY15YSMFH51ST6XJY429" localSheetId="19" hidden="1">#REF!</definedName>
    <definedName name="BExSD6A6NY15YSMFH51ST6XJY429" hidden="1">#REF!</definedName>
    <definedName name="BExSD9VH6PF6RQ135VOEE08YXPAW" localSheetId="8" hidden="1">#REF!</definedName>
    <definedName name="BExSD9VH6PF6RQ135VOEE08YXPAW" localSheetId="19" hidden="1">#REF!</definedName>
    <definedName name="BExSD9VH6PF6RQ135VOEE08YXPAW" hidden="1">#REF!</definedName>
    <definedName name="BExSDI9QWFD49GEZWZ3KOGM27XRB" localSheetId="8" hidden="1">#REF!</definedName>
    <definedName name="BExSDI9QWFD49GEZWZ3KOGM27XRB" localSheetId="19" hidden="1">#REF!</definedName>
    <definedName name="BExSDI9QWFD49GEZWZ3KOGM27XRB" hidden="1">#REF!</definedName>
    <definedName name="BExSDP5Y04WWMX2WWRITWOX8R5I9" localSheetId="8" hidden="1">#REF!</definedName>
    <definedName name="BExSDP5Y04WWMX2WWRITWOX8R5I9" localSheetId="19" hidden="1">#REF!</definedName>
    <definedName name="BExSDP5Y04WWMX2WWRITWOX8R5I9" hidden="1">#REF!</definedName>
    <definedName name="BExSDSGM203BJTNS9MKCBX453HMD" localSheetId="8" hidden="1">#REF!</definedName>
    <definedName name="BExSDSGM203BJTNS9MKCBX453HMD" localSheetId="19" hidden="1">#REF!</definedName>
    <definedName name="BExSDSGM203BJTNS9MKCBX453HMD" hidden="1">#REF!</definedName>
    <definedName name="BExSDT20XUFXTDM37M148AXAP7HN" localSheetId="8" hidden="1">#REF!</definedName>
    <definedName name="BExSDT20XUFXTDM37M148AXAP7HN" localSheetId="19" hidden="1">#REF!</definedName>
    <definedName name="BExSDT20XUFXTDM37M148AXAP7HN" hidden="1">#REF!</definedName>
    <definedName name="BExSDYLOWNTKCY92LFEDAV8LO7D3" localSheetId="8" hidden="1">#REF!</definedName>
    <definedName name="BExSDYLOWNTKCY92LFEDAV8LO7D3" localSheetId="19" hidden="1">#REF!</definedName>
    <definedName name="BExSDYLOWNTKCY92LFEDAV8LO7D3" hidden="1">#REF!</definedName>
    <definedName name="BExSE277VXZ807WBUB6A1UGQ1SF9" localSheetId="8" hidden="1">#REF!</definedName>
    <definedName name="BExSE277VXZ807WBUB6A1UGQ1SF9" localSheetId="19" hidden="1">#REF!</definedName>
    <definedName name="BExSE277VXZ807WBUB6A1UGQ1SF9" hidden="1">#REF!</definedName>
    <definedName name="BExSE3EDSP4UL6G0I3DZ5SBHMUBU" localSheetId="8" hidden="1">#REF!</definedName>
    <definedName name="BExSE3EDSP4UL6G0I3DZ5SBHMUBU" localSheetId="19" hidden="1">#REF!</definedName>
    <definedName name="BExSE3EDSP4UL6G0I3DZ5SBHMUBU" hidden="1">#REF!</definedName>
    <definedName name="BExSEEHK1VLWD7JBV9SVVVIKQZ3I" localSheetId="8" hidden="1">#REF!</definedName>
    <definedName name="BExSEEHK1VLWD7JBV9SVVVIKQZ3I" localSheetId="19" hidden="1">#REF!</definedName>
    <definedName name="BExSEEHK1VLWD7JBV9SVVVIKQZ3I" hidden="1">#REF!</definedName>
    <definedName name="BExSEITYG8XAMWJ1C8VKU1MB4TEO" localSheetId="8" hidden="1">#REF!</definedName>
    <definedName name="BExSEITYG8XAMWJ1C8VKU1MB4TEO" localSheetId="19" hidden="1">#REF!</definedName>
    <definedName name="BExSEITYG8XAMWJ1C8VKU1MB4TEO" hidden="1">#REF!</definedName>
    <definedName name="BExSEJKZLX37P3V33TRTFJ30BFRK" localSheetId="8" hidden="1">#REF!</definedName>
    <definedName name="BExSEJKZLX37P3V33TRTFJ30BFRK" localSheetId="19" hidden="1">#REF!</definedName>
    <definedName name="BExSEJKZLX37P3V33TRTFJ30BFRK" hidden="1">#REF!</definedName>
    <definedName name="BExSEKXG1AW54E28IG5EODEM0JJV" localSheetId="8" hidden="1">#REF!</definedName>
    <definedName name="BExSEKXG1AW54E28IG5EODEM0JJV" localSheetId="19" hidden="1">#REF!</definedName>
    <definedName name="BExSEKXG1AW54E28IG5EODEM0JJV" hidden="1">#REF!</definedName>
    <definedName name="BExSEO84KVM8R2IV5MFH0XI3IZSN" localSheetId="8" hidden="1">#REF!</definedName>
    <definedName name="BExSEO84KVM8R2IV5MFH0XI3IZSN" localSheetId="19" hidden="1">#REF!</definedName>
    <definedName name="BExSEO84KVM8R2IV5MFH0XI3IZSN" hidden="1">#REF!</definedName>
    <definedName name="BExSEP9UVOAI6TMXKNK587PQ3328" localSheetId="8" hidden="1">#REF!</definedName>
    <definedName name="BExSEP9UVOAI6TMXKNK587PQ3328" localSheetId="19" hidden="1">#REF!</definedName>
    <definedName name="BExSEP9UVOAI6TMXKNK587PQ3328" hidden="1">#REF!</definedName>
    <definedName name="BExSERIU9MUGR4NPZAUJCVXUZ74I" localSheetId="8" hidden="1">#REF!</definedName>
    <definedName name="BExSERIU9MUGR4NPZAUJCVXUZ74I" localSheetId="19" hidden="1">#REF!</definedName>
    <definedName name="BExSERIU9MUGR4NPZAUJCVXUZ74I" hidden="1">#REF!</definedName>
    <definedName name="BExSF07QFLZCO4P6K6QF05XG7PH1" localSheetId="8" hidden="1">#REF!</definedName>
    <definedName name="BExSF07QFLZCO4P6K6QF05XG7PH1" localSheetId="19" hidden="1">#REF!</definedName>
    <definedName name="BExSF07QFLZCO4P6K6QF05XG7PH1" hidden="1">#REF!</definedName>
    <definedName name="BExSFJ8ZAGQ63A4MVMZRQWLVRGQ5" localSheetId="8" hidden="1">#REF!</definedName>
    <definedName name="BExSFJ8ZAGQ63A4MVMZRQWLVRGQ5" localSheetId="19" hidden="1">#REF!</definedName>
    <definedName name="BExSFJ8ZAGQ63A4MVMZRQWLVRGQ5" hidden="1">#REF!</definedName>
    <definedName name="BExSFKQRST2S9KXWWLCXYLKSF4G1" localSheetId="8" hidden="1">#REF!</definedName>
    <definedName name="BExSFKQRST2S9KXWWLCXYLKSF4G1" localSheetId="19" hidden="1">#REF!</definedName>
    <definedName name="BExSFKQRST2S9KXWWLCXYLKSF4G1" hidden="1">#REF!</definedName>
    <definedName name="BExSFOHO6VZ5Y463KL3XYTZBVE3P" localSheetId="8" hidden="1">#REF!</definedName>
    <definedName name="BExSFOHO6VZ5Y463KL3XYTZBVE3P" localSheetId="19" hidden="1">#REF!</definedName>
    <definedName name="BExSFOHO6VZ5Y463KL3XYTZBVE3P" hidden="1">#REF!</definedName>
    <definedName name="BExSFY2ZJOYUEYBX21QZ7AMN2WK1" localSheetId="8" hidden="1">#REF!</definedName>
    <definedName name="BExSFY2ZJOYUEYBX21QZ7AMN2WK1" localSheetId="19" hidden="1">#REF!</definedName>
    <definedName name="BExSFY2ZJOYUEYBX21QZ7AMN2WK1" hidden="1">#REF!</definedName>
    <definedName name="BExSFYDRRTAZVPXRWUF5PDQ97WFF" localSheetId="8" hidden="1">#REF!</definedName>
    <definedName name="BExSFYDRRTAZVPXRWUF5PDQ97WFF" localSheetId="19" hidden="1">#REF!</definedName>
    <definedName name="BExSFYDRRTAZVPXRWUF5PDQ97WFF" hidden="1">#REF!</definedName>
    <definedName name="BExSFZVPFTXA3F0IJ2NGH1GXX9R7" localSheetId="8" hidden="1">#REF!</definedName>
    <definedName name="BExSFZVPFTXA3F0IJ2NGH1GXX9R7" localSheetId="19" hidden="1">#REF!</definedName>
    <definedName name="BExSFZVPFTXA3F0IJ2NGH1GXX9R7" hidden="1">#REF!</definedName>
    <definedName name="BExSG2Q34XRC1K28H4XG6PQM3FTW" localSheetId="8" hidden="1">#REF!</definedName>
    <definedName name="BExSG2Q34XRC1K28H4XG6PQM3FTW" localSheetId="19" hidden="1">#REF!</definedName>
    <definedName name="BExSG2Q34XRC1K28H4XG6PQM3FTW" hidden="1">#REF!</definedName>
    <definedName name="BExSG90Q4ZUU2IPGDYOM169NJV9S" localSheetId="8" hidden="1">#REF!</definedName>
    <definedName name="BExSG90Q4ZUU2IPGDYOM169NJV9S" localSheetId="19" hidden="1">#REF!</definedName>
    <definedName name="BExSG90Q4ZUU2IPGDYOM169NJV9S" hidden="1">#REF!</definedName>
    <definedName name="BExSG9X3DU845PNXYJGGLBQY2UHG" localSheetId="8" hidden="1">#REF!</definedName>
    <definedName name="BExSG9X3DU845PNXYJGGLBQY2UHG" localSheetId="19" hidden="1">#REF!</definedName>
    <definedName name="BExSG9X3DU845PNXYJGGLBQY2UHG" hidden="1">#REF!</definedName>
    <definedName name="BExSGE45J27MDUUNXW7Z8Q33UAON" localSheetId="8" hidden="1">#REF!</definedName>
    <definedName name="BExSGE45J27MDUUNXW7Z8Q33UAON" localSheetId="19" hidden="1">#REF!</definedName>
    <definedName name="BExSGE45J27MDUUNXW7Z8Q33UAON" hidden="1">#REF!</definedName>
    <definedName name="BExSGE9LY91Q0URHB4YAMX0UAMYI" localSheetId="8" hidden="1">#REF!</definedName>
    <definedName name="BExSGE9LY91Q0URHB4YAMX0UAMYI" localSheetId="19" hidden="1">#REF!</definedName>
    <definedName name="BExSGE9LY91Q0URHB4YAMX0UAMYI" hidden="1">#REF!</definedName>
    <definedName name="BExSGLB2URTLBCKBB4Y885W925F2" localSheetId="8" hidden="1">#REF!</definedName>
    <definedName name="BExSGLB2URTLBCKBB4Y885W925F2" localSheetId="19" hidden="1">#REF!</definedName>
    <definedName name="BExSGLB2URTLBCKBB4Y885W925F2" hidden="1">#REF!</definedName>
    <definedName name="BExSGNEL2G0PC04ATVS20W5179EK" localSheetId="8" hidden="1">#REF!</definedName>
    <definedName name="BExSGNEL2G0PC04ATVS20W5179EK" localSheetId="19" hidden="1">#REF!</definedName>
    <definedName name="BExSGNEL2G0PC04ATVS20W5179EK" hidden="1">#REF!</definedName>
    <definedName name="BExSGOAYG73SFWOPAQV80P710GID" localSheetId="8" hidden="1">#REF!</definedName>
    <definedName name="BExSGOAYG73SFWOPAQV80P710GID" localSheetId="19" hidden="1">#REF!</definedName>
    <definedName name="BExSGOAYG73SFWOPAQV80P710GID" hidden="1">#REF!</definedName>
    <definedName name="BExSGOWJHRW7FWKLO2EHUOOGHNAF" localSheetId="8" hidden="1">#REF!</definedName>
    <definedName name="BExSGOWJHRW7FWKLO2EHUOOGHNAF" localSheetId="19" hidden="1">#REF!</definedName>
    <definedName name="BExSGOWJHRW7FWKLO2EHUOOGHNAF" hidden="1">#REF!</definedName>
    <definedName name="BExSGOWJTAP41ZV5Q23H7MI9C76W" localSheetId="8" hidden="1">#REF!</definedName>
    <definedName name="BExSGOWJTAP41ZV5Q23H7MI9C76W" localSheetId="19" hidden="1">#REF!</definedName>
    <definedName name="BExSGOWJTAP41ZV5Q23H7MI9C76W" hidden="1">#REF!</definedName>
    <definedName name="BExSGR5JQVX2HQ0PKCGZNSSUM1RV" localSheetId="8" hidden="1">#REF!</definedName>
    <definedName name="BExSGR5JQVX2HQ0PKCGZNSSUM1RV" localSheetId="19" hidden="1">#REF!</definedName>
    <definedName name="BExSGR5JQVX2HQ0PKCGZNSSUM1RV" hidden="1">#REF!</definedName>
    <definedName name="BExSGT3MKX7YVLVP6YLL6KVO8UGV" localSheetId="8" hidden="1">#REF!</definedName>
    <definedName name="BExSGT3MKX7YVLVP6YLL6KVO8UGV" localSheetId="19" hidden="1">#REF!</definedName>
    <definedName name="BExSGT3MKX7YVLVP6YLL6KVO8UGV" hidden="1">#REF!</definedName>
    <definedName name="BExSGVHX69GJZHD99DKE4RZ042B1" localSheetId="8" hidden="1">#REF!</definedName>
    <definedName name="BExSGVHX69GJZHD99DKE4RZ042B1" localSheetId="19" hidden="1">#REF!</definedName>
    <definedName name="BExSGVHX69GJZHD99DKE4RZ042B1" hidden="1">#REF!</definedName>
    <definedName name="BExSGZJO4J4ZO04E2N2ECVYS9DEZ" localSheetId="8" hidden="1">#REF!</definedName>
    <definedName name="BExSGZJO4J4ZO04E2N2ECVYS9DEZ" localSheetId="19" hidden="1">#REF!</definedName>
    <definedName name="BExSGZJO4J4ZO04E2N2ECVYS9DEZ" hidden="1">#REF!</definedName>
    <definedName name="BExSHAHFHS7MMNJR8JPVABRGBVIT" localSheetId="8" hidden="1">#REF!</definedName>
    <definedName name="BExSHAHFHS7MMNJR8JPVABRGBVIT" localSheetId="19" hidden="1">#REF!</definedName>
    <definedName name="BExSHAHFHS7MMNJR8JPVABRGBVIT" hidden="1">#REF!</definedName>
    <definedName name="BExSHGH88QZWW4RNAX4YKAZ5JEBL" localSheetId="8" hidden="1">#REF!</definedName>
    <definedName name="BExSHGH88QZWW4RNAX4YKAZ5JEBL" localSheetId="19" hidden="1">#REF!</definedName>
    <definedName name="BExSHGH88QZWW4RNAX4YKAZ5JEBL" hidden="1">#REF!</definedName>
    <definedName name="BExSHOKK1OO3CX9Z28C58E5J1D9W" localSheetId="8" hidden="1">#REF!</definedName>
    <definedName name="BExSHOKK1OO3CX9Z28C58E5J1D9W" localSheetId="19" hidden="1">#REF!</definedName>
    <definedName name="BExSHOKK1OO3CX9Z28C58E5J1D9W" hidden="1">#REF!</definedName>
    <definedName name="BExSHQD8KYLTQGDXIRKCHQQ7MKIH" localSheetId="8" hidden="1">#REF!</definedName>
    <definedName name="BExSHQD8KYLTQGDXIRKCHQQ7MKIH" localSheetId="19" hidden="1">#REF!</definedName>
    <definedName name="BExSHQD8KYLTQGDXIRKCHQQ7MKIH" hidden="1">#REF!</definedName>
    <definedName name="BExSHVGPIAHXI97UBLI9G4I4M29F" localSheetId="8" hidden="1">#REF!</definedName>
    <definedName name="BExSHVGPIAHXI97UBLI9G4I4M29F" localSheetId="19" hidden="1">#REF!</definedName>
    <definedName name="BExSHVGPIAHXI97UBLI9G4I4M29F" hidden="1">#REF!</definedName>
    <definedName name="BExSI0K2YL3HTCQAD8A7TR4QCUR6" localSheetId="8" hidden="1">#REF!</definedName>
    <definedName name="BExSI0K2YL3HTCQAD8A7TR4QCUR6" localSheetId="19" hidden="1">#REF!</definedName>
    <definedName name="BExSI0K2YL3HTCQAD8A7TR4QCUR6" hidden="1">#REF!</definedName>
    <definedName name="BExSIFUDNRWXWIWNGCCFOOD8WIAZ" localSheetId="8" hidden="1">#REF!</definedName>
    <definedName name="BExSIFUDNRWXWIWNGCCFOOD8WIAZ" localSheetId="19" hidden="1">#REF!</definedName>
    <definedName name="BExSIFUDNRWXWIWNGCCFOOD8WIAZ" hidden="1">#REF!</definedName>
    <definedName name="BExTTZNS2PBCR93C9IUW49UZ4I6T" localSheetId="8" hidden="1">#REF!</definedName>
    <definedName name="BExTTZNS2PBCR93C9IUW49UZ4I6T" localSheetId="19" hidden="1">#REF!</definedName>
    <definedName name="BExTTZNS2PBCR93C9IUW49UZ4I6T" hidden="1">#REF!</definedName>
    <definedName name="BExTU2YFQ25JQ6MEMRHHN66VLTPJ" localSheetId="8" hidden="1">#REF!</definedName>
    <definedName name="BExTU2YFQ25JQ6MEMRHHN66VLTPJ" localSheetId="19" hidden="1">#REF!</definedName>
    <definedName name="BExTU2YFQ25JQ6MEMRHHN66VLTPJ" hidden="1">#REF!</definedName>
    <definedName name="BExTU75IOII1V5O0C9X2VAYYVJUG" localSheetId="8" hidden="1">#REF!</definedName>
    <definedName name="BExTU75IOII1V5O0C9X2VAYYVJUG" localSheetId="19" hidden="1">#REF!</definedName>
    <definedName name="BExTU75IOII1V5O0C9X2VAYYVJUG" hidden="1">#REF!</definedName>
    <definedName name="BExTUA5F7V4LUIIAM17J3A8XF3JE" localSheetId="8" hidden="1">#REF!</definedName>
    <definedName name="BExTUA5F7V4LUIIAM17J3A8XF3JE" localSheetId="19" hidden="1">#REF!</definedName>
    <definedName name="BExTUA5F7V4LUIIAM17J3A8XF3JE" hidden="1">#REF!</definedName>
    <definedName name="BExTUBY3AA9B91YRRWFOT21LUL8Q" localSheetId="8" hidden="1">#REF!</definedName>
    <definedName name="BExTUBY3AA9B91YRRWFOT21LUL8Q" localSheetId="19" hidden="1">#REF!</definedName>
    <definedName name="BExTUBY3AA9B91YRRWFOT21LUL8Q" hidden="1">#REF!</definedName>
    <definedName name="BExTUJ53ANGZ3H1KDK4CR4Q0OD6P" localSheetId="8" hidden="1">#REF!</definedName>
    <definedName name="BExTUJ53ANGZ3H1KDK4CR4Q0OD6P" localSheetId="19" hidden="1">#REF!</definedName>
    <definedName name="BExTUJ53ANGZ3H1KDK4CR4Q0OD6P" hidden="1">#REF!</definedName>
    <definedName name="BExTUKXSZBM7C57G6NGLWGU4WOHY" localSheetId="8" hidden="1">#REF!</definedName>
    <definedName name="BExTUKXSZBM7C57G6NGLWGU4WOHY" localSheetId="19" hidden="1">#REF!</definedName>
    <definedName name="BExTUKXSZBM7C57G6NGLWGU4WOHY" hidden="1">#REF!</definedName>
    <definedName name="BExTUNC5INBE8Y5OA5GQUTXX6QJW" localSheetId="8" hidden="1">#REF!</definedName>
    <definedName name="BExTUNC5INBE8Y5OA5GQUTXX6QJW" localSheetId="19" hidden="1">#REF!</definedName>
    <definedName name="BExTUNC5INBE8Y5OA5GQUTXX6QJW" hidden="1">#REF!</definedName>
    <definedName name="BExTUSQCFFYZCDNHWHADBC2E1ZP1" localSheetId="8" hidden="1">#REF!</definedName>
    <definedName name="BExTUSQCFFYZCDNHWHADBC2E1ZP1" localSheetId="19" hidden="1">#REF!</definedName>
    <definedName name="BExTUSQCFFYZCDNHWHADBC2E1ZP1" hidden="1">#REF!</definedName>
    <definedName name="BExTUV4NQDZVAENZPSZGF7A3DDFN" localSheetId="8" hidden="1">#REF!</definedName>
    <definedName name="BExTUV4NQDZVAENZPSZGF7A3DDFN" localSheetId="19" hidden="1">#REF!</definedName>
    <definedName name="BExTUV4NQDZVAENZPSZGF7A3DDFN" hidden="1">#REF!</definedName>
    <definedName name="BExTUVFGOJEYS28JURA5KHQFDU5J" localSheetId="8" hidden="1">#REF!</definedName>
    <definedName name="BExTUVFGOJEYS28JURA5KHQFDU5J" localSheetId="19" hidden="1">#REF!</definedName>
    <definedName name="BExTUVFGOJEYS28JURA5KHQFDU5J" hidden="1">#REF!</definedName>
    <definedName name="BExTUW10U40QCYGHM5NJ3YR1O5SP" localSheetId="8" hidden="1">#REF!</definedName>
    <definedName name="BExTUW10U40QCYGHM5NJ3YR1O5SP" localSheetId="19" hidden="1">#REF!</definedName>
    <definedName name="BExTUW10U40QCYGHM5NJ3YR1O5SP" hidden="1">#REF!</definedName>
    <definedName name="BExTUWXFQHINU66YG82BI20ATMB5" localSheetId="8" hidden="1">#REF!</definedName>
    <definedName name="BExTUWXFQHINU66YG82BI20ATMB5" localSheetId="19" hidden="1">#REF!</definedName>
    <definedName name="BExTUWXFQHINU66YG82BI20ATMB5" hidden="1">#REF!</definedName>
    <definedName name="BExTUY9WNSJ91GV8CP0SKJTEIV82" localSheetId="8" hidden="1">#REF!</definedName>
    <definedName name="BExTUY9WNSJ91GV8CP0SKJTEIV82" localSheetId="19" hidden="1">#REF!</definedName>
    <definedName name="BExTUY9WNSJ91GV8CP0SKJTEIV82" hidden="1">#REF!</definedName>
    <definedName name="BExTV67VIM8PV6KO253M4DUBJQLC" localSheetId="8" hidden="1">#REF!</definedName>
    <definedName name="BExTV67VIM8PV6KO253M4DUBJQLC" localSheetId="19" hidden="1">#REF!</definedName>
    <definedName name="BExTV67VIM8PV6KO253M4DUBJQLC" hidden="1">#REF!</definedName>
    <definedName name="BExTVELZCF2YA5L6F23BYZZR6WHF" localSheetId="8" hidden="1">#REF!</definedName>
    <definedName name="BExTVELZCF2YA5L6F23BYZZR6WHF" localSheetId="19" hidden="1">#REF!</definedName>
    <definedName name="BExTVELZCF2YA5L6F23BYZZR6WHF" hidden="1">#REF!</definedName>
    <definedName name="BExTVGPIQZ99YFXUC8OONUX5BD42" localSheetId="8" hidden="1">#REF!</definedName>
    <definedName name="BExTVGPIQZ99YFXUC8OONUX5BD42" localSheetId="19" hidden="1">#REF!</definedName>
    <definedName name="BExTVGPIQZ99YFXUC8OONUX5BD42" hidden="1">#REF!</definedName>
    <definedName name="BExTVQG4F5RF0LZXG06AZ6EU1GQ3" localSheetId="8" hidden="1">#REF!</definedName>
    <definedName name="BExTVQG4F5RF0LZXG06AZ6EU1GQ3" localSheetId="19" hidden="1">#REF!</definedName>
    <definedName name="BExTVQG4F5RF0LZXG06AZ6EU1GQ3" hidden="1">#REF!</definedName>
    <definedName name="BExTVZQLP9VFLEYQ9280W13X7E8K" localSheetId="8" hidden="1">#REF!</definedName>
    <definedName name="BExTVZQLP9VFLEYQ9280W13X7E8K" localSheetId="19" hidden="1">#REF!</definedName>
    <definedName name="BExTVZQLP9VFLEYQ9280W13X7E8K" hidden="1">#REF!</definedName>
    <definedName name="BExTWB4LA1PODQOH4LDTHQKBN16K" localSheetId="8" hidden="1">#REF!</definedName>
    <definedName name="BExTWB4LA1PODQOH4LDTHQKBN16K" localSheetId="19" hidden="1">#REF!</definedName>
    <definedName name="BExTWB4LA1PODQOH4LDTHQKBN16K" hidden="1">#REF!</definedName>
    <definedName name="BExTWI0Q8AWXUA3ZN7I5V3QK2KM1" localSheetId="8" hidden="1">#REF!</definedName>
    <definedName name="BExTWI0Q8AWXUA3ZN7I5V3QK2KM1" localSheetId="19" hidden="1">#REF!</definedName>
    <definedName name="BExTWI0Q8AWXUA3ZN7I5V3QK2KM1" hidden="1">#REF!</definedName>
    <definedName name="BExTWJTIA3WUW1PUWXAOP9O8NKLZ" localSheetId="8" hidden="1">#REF!</definedName>
    <definedName name="BExTWJTIA3WUW1PUWXAOP9O8NKLZ" localSheetId="19" hidden="1">#REF!</definedName>
    <definedName name="BExTWJTIA3WUW1PUWXAOP9O8NKLZ" hidden="1">#REF!</definedName>
    <definedName name="BExTWW95OX07FNA01WF5MSSSFQLX" localSheetId="8" hidden="1">#REF!</definedName>
    <definedName name="BExTWW95OX07FNA01WF5MSSSFQLX" localSheetId="19" hidden="1">#REF!</definedName>
    <definedName name="BExTWW95OX07FNA01WF5MSSSFQLX" hidden="1">#REF!</definedName>
    <definedName name="BExTX005F4GLW03J0PLPRPMI1SEG" localSheetId="8" hidden="1">#REF!</definedName>
    <definedName name="BExTX005F4GLW03J0PLPRPMI1SEG" localSheetId="19" hidden="1">#REF!</definedName>
    <definedName name="BExTX005F4GLW03J0PLPRPMI1SEG" hidden="1">#REF!</definedName>
    <definedName name="BExTX476KI0RNB71XI5TYMANSGBG" localSheetId="8" hidden="1">#REF!</definedName>
    <definedName name="BExTX476KI0RNB71XI5TYMANSGBG" localSheetId="19" hidden="1">#REF!</definedName>
    <definedName name="BExTX476KI0RNB71XI5TYMANSGBG" hidden="1">#REF!</definedName>
    <definedName name="BExTXBJFKNSCUO7IOL6CSKERP06D" localSheetId="8" hidden="1">#REF!</definedName>
    <definedName name="BExTXBJFKNSCUO7IOL6CSKERP06D" localSheetId="19" hidden="1">#REF!</definedName>
    <definedName name="BExTXBJFKNSCUO7IOL6CSKERP06D" hidden="1">#REF!</definedName>
    <definedName name="BExTXDMZDQ9U1FD9T7F79J29SYYN" localSheetId="8" hidden="1">#REF!</definedName>
    <definedName name="BExTXDMZDQ9U1FD9T7F79J29SYYN" localSheetId="19" hidden="1">#REF!</definedName>
    <definedName name="BExTXDMZDQ9U1FD9T7F79J29SYYN" hidden="1">#REF!</definedName>
    <definedName name="BExTXJ6HBAIXMMWKZTJNFDYVZCAY" localSheetId="8" hidden="1">#REF!</definedName>
    <definedName name="BExTXJ6HBAIXMMWKZTJNFDYVZCAY" localSheetId="19" hidden="1">#REF!</definedName>
    <definedName name="BExTXJ6HBAIXMMWKZTJNFDYVZCAY" hidden="1">#REF!</definedName>
    <definedName name="BExTXT812NQT8GAEGH738U29BI0D" localSheetId="8" hidden="1">#REF!</definedName>
    <definedName name="BExTXT812NQT8GAEGH738U29BI0D" localSheetId="19" hidden="1">#REF!</definedName>
    <definedName name="BExTXT812NQT8GAEGH738U29BI0D" hidden="1">#REF!</definedName>
    <definedName name="BExTXWIP2TFPTQ76NHFOB72NICRZ" localSheetId="8" hidden="1">#REF!</definedName>
    <definedName name="BExTXWIP2TFPTQ76NHFOB72NICRZ" localSheetId="19" hidden="1">#REF!</definedName>
    <definedName name="BExTXWIP2TFPTQ76NHFOB72NICRZ" hidden="1">#REF!</definedName>
    <definedName name="BExTY5T62H651VC86QM4X7E28JVA" localSheetId="8" hidden="1">#REF!</definedName>
    <definedName name="BExTY5T62H651VC86QM4X7E28JVA" localSheetId="19" hidden="1">#REF!</definedName>
    <definedName name="BExTY5T62H651VC86QM4X7E28JVA" hidden="1">#REF!</definedName>
    <definedName name="BExTYB7EHGVTJ4RSYOXWSG87U5WI" localSheetId="8" hidden="1">#REF!</definedName>
    <definedName name="BExTYB7EHGVTJ4RSYOXWSG87U5WI" localSheetId="19" hidden="1">#REF!</definedName>
    <definedName name="BExTYB7EHGVTJ4RSYOXWSG87U5WI" hidden="1">#REF!</definedName>
    <definedName name="BExTYC93RS0KNKFOD35WG37LS9LY" localSheetId="8" hidden="1">#REF!</definedName>
    <definedName name="BExTYC93RS0KNKFOD35WG37LS9LY" localSheetId="19" hidden="1">#REF!</definedName>
    <definedName name="BExTYC93RS0KNKFOD35WG37LS9LY" hidden="1">#REF!</definedName>
    <definedName name="BExTYKCEFJ83LZM95M1V7CSFQVEA" localSheetId="8" hidden="1">#REF!</definedName>
    <definedName name="BExTYKCEFJ83LZM95M1V7CSFQVEA" localSheetId="19" hidden="1">#REF!</definedName>
    <definedName name="BExTYKCEFJ83LZM95M1V7CSFQVEA" hidden="1">#REF!</definedName>
    <definedName name="BExTYPLA9N640MFRJJQPKXT7P88M" localSheetId="8" hidden="1">#REF!</definedName>
    <definedName name="BExTYPLA9N640MFRJJQPKXT7P88M" localSheetId="19" hidden="1">#REF!</definedName>
    <definedName name="BExTYPLA9N640MFRJJQPKXT7P88M" hidden="1">#REF!</definedName>
    <definedName name="BExTYW1794M1TLJ2QQQCEEUZN18F" localSheetId="8" hidden="1">#REF!</definedName>
    <definedName name="BExTYW1794M1TLJ2QQQCEEUZN18F" localSheetId="19" hidden="1">#REF!</definedName>
    <definedName name="BExTYW1794M1TLJ2QQQCEEUZN18F" hidden="1">#REF!</definedName>
    <definedName name="BExTZ7F71SNTOX4LLZCK5R9VUMIJ" localSheetId="8" hidden="1">#REF!</definedName>
    <definedName name="BExTZ7F71SNTOX4LLZCK5R9VUMIJ" localSheetId="19" hidden="1">#REF!</definedName>
    <definedName name="BExTZ7F71SNTOX4LLZCK5R9VUMIJ" hidden="1">#REF!</definedName>
    <definedName name="BExTZ80SWE36T1QSIIPJU7NJ65JL" localSheetId="8" hidden="1">#REF!</definedName>
    <definedName name="BExTZ80SWE36T1QSIIPJU7NJ65JL" localSheetId="19" hidden="1">#REF!</definedName>
    <definedName name="BExTZ80SWE36T1QSIIPJU7NJ65JL" hidden="1">#REF!</definedName>
    <definedName name="BExTZ869RSO739T4Q78JLOVO7G0C" localSheetId="8" hidden="1">#REF!</definedName>
    <definedName name="BExTZ869RSO739T4Q78JLOVO7G0C" localSheetId="19" hidden="1">#REF!</definedName>
    <definedName name="BExTZ869RSO739T4Q78JLOVO7G0C" hidden="1">#REF!</definedName>
    <definedName name="BExTZ8X5G9S3PA4FPSNK7T69W7QT" localSheetId="8" hidden="1">#REF!</definedName>
    <definedName name="BExTZ8X5G9S3PA4FPSNK7T69W7QT" localSheetId="19" hidden="1">#REF!</definedName>
    <definedName name="BExTZ8X5G9S3PA4FPSNK7T69W7QT" hidden="1">#REF!</definedName>
    <definedName name="BExTZ97Y0RMR8V5BI9F2H4MFB77O" localSheetId="8" hidden="1">#REF!</definedName>
    <definedName name="BExTZ97Y0RMR8V5BI9F2H4MFB77O" localSheetId="19" hidden="1">#REF!</definedName>
    <definedName name="BExTZ97Y0RMR8V5BI9F2H4MFB77O" hidden="1">#REF!</definedName>
    <definedName name="BExTZK5PMCAXJL4DUIGL6H9Y8U4C" localSheetId="8" hidden="1">#REF!</definedName>
    <definedName name="BExTZK5PMCAXJL4DUIGL6H9Y8U4C" localSheetId="19" hidden="1">#REF!</definedName>
    <definedName name="BExTZK5PMCAXJL4DUIGL6H9Y8U4C" hidden="1">#REF!</definedName>
    <definedName name="BExTZKB6L5SXV5UN71YVTCBEIGWY" localSheetId="8" hidden="1">#REF!</definedName>
    <definedName name="BExTZKB6L5SXV5UN71YVTCBEIGWY" localSheetId="19" hidden="1">#REF!</definedName>
    <definedName name="BExTZKB6L5SXV5UN71YVTCBEIGWY" hidden="1">#REF!</definedName>
    <definedName name="BExTZLICVKK4NBJFEGL270GJ2VQO" localSheetId="8" hidden="1">#REF!</definedName>
    <definedName name="BExTZLICVKK4NBJFEGL270GJ2VQO" localSheetId="19" hidden="1">#REF!</definedName>
    <definedName name="BExTZLICVKK4NBJFEGL270GJ2VQO" hidden="1">#REF!</definedName>
    <definedName name="BExTZO2596CBZKPI7YNA1QQNPAIJ" localSheetId="8" hidden="1">#REF!</definedName>
    <definedName name="BExTZO2596CBZKPI7YNA1QQNPAIJ" localSheetId="19" hidden="1">#REF!</definedName>
    <definedName name="BExTZO2596CBZKPI7YNA1QQNPAIJ" hidden="1">#REF!</definedName>
    <definedName name="BExTZY8TDV4U7FQL7O10G6VKWKPJ" localSheetId="8" hidden="1">#REF!</definedName>
    <definedName name="BExTZY8TDV4U7FQL7O10G6VKWKPJ" localSheetId="19" hidden="1">#REF!</definedName>
    <definedName name="BExTZY8TDV4U7FQL7O10G6VKWKPJ" hidden="1">#REF!</definedName>
    <definedName name="BExU02QNT4LT7H9JPUC4FXTLVGZT" localSheetId="8" hidden="1">#REF!</definedName>
    <definedName name="BExU02QNT4LT7H9JPUC4FXTLVGZT" localSheetId="19" hidden="1">#REF!</definedName>
    <definedName name="BExU02QNT4LT7H9JPUC4FXTLVGZT" hidden="1">#REF!</definedName>
    <definedName name="BExU0BFJJQO1HJZKI14QGOQ6JROO" localSheetId="8" hidden="1">#REF!</definedName>
    <definedName name="BExU0BFJJQO1HJZKI14QGOQ6JROO" localSheetId="19" hidden="1">#REF!</definedName>
    <definedName name="BExU0BFJJQO1HJZKI14QGOQ6JROO" hidden="1">#REF!</definedName>
    <definedName name="BExU0FH5WTGW8MRFUFMDDSMJ6YQ5" localSheetId="8" hidden="1">#REF!</definedName>
    <definedName name="BExU0FH5WTGW8MRFUFMDDSMJ6YQ5" localSheetId="19" hidden="1">#REF!</definedName>
    <definedName name="BExU0FH5WTGW8MRFUFMDDSMJ6YQ5" hidden="1">#REF!</definedName>
    <definedName name="BExU0GDOIL9U33QGU9ZU3YX3V1I4" localSheetId="8" hidden="1">#REF!</definedName>
    <definedName name="BExU0GDOIL9U33QGU9ZU3YX3V1I4" localSheetId="19" hidden="1">#REF!</definedName>
    <definedName name="BExU0GDOIL9U33QGU9ZU3YX3V1I4" hidden="1">#REF!</definedName>
    <definedName name="BExU0HKTO8WJDQDWRTUK5TETM3HS" localSheetId="8" hidden="1">#REF!</definedName>
    <definedName name="BExU0HKTO8WJDQDWRTUK5TETM3HS" localSheetId="19" hidden="1">#REF!</definedName>
    <definedName name="BExU0HKTO8WJDQDWRTUK5TETM3HS" hidden="1">#REF!</definedName>
    <definedName name="BExU0MTJQPE041ZN7H8UKGV6MZT7" localSheetId="8" hidden="1">#REF!</definedName>
    <definedName name="BExU0MTJQPE041ZN7H8UKGV6MZT7" localSheetId="19" hidden="1">#REF!</definedName>
    <definedName name="BExU0MTJQPE041ZN7H8UKGV6MZT7" hidden="1">#REF!</definedName>
    <definedName name="BExU0ZUUFYHLUK4M4E8GLGIBBNT0" localSheetId="8" hidden="1">#REF!</definedName>
    <definedName name="BExU0ZUUFYHLUK4M4E8GLGIBBNT0" localSheetId="19" hidden="1">#REF!</definedName>
    <definedName name="BExU0ZUUFYHLUK4M4E8GLGIBBNT0" hidden="1">#REF!</definedName>
    <definedName name="BExU147D6RPG6ZVTSXRKFSVRHSBG" localSheetId="8" hidden="1">#REF!</definedName>
    <definedName name="BExU147D6RPG6ZVTSXRKFSVRHSBG" localSheetId="19" hidden="1">#REF!</definedName>
    <definedName name="BExU147D6RPG6ZVTSXRKFSVRHSBG" hidden="1">#REF!</definedName>
    <definedName name="BExU16R10W1SOAPNG4CDJ01T7JRE" localSheetId="8" hidden="1">#REF!</definedName>
    <definedName name="BExU16R10W1SOAPNG4CDJ01T7JRE" localSheetId="19" hidden="1">#REF!</definedName>
    <definedName name="BExU16R10W1SOAPNG4CDJ01T7JRE" hidden="1">#REF!</definedName>
    <definedName name="BExU17CKOR3GNIHDNVLH9L1IOJS9" localSheetId="8" hidden="1">#REF!</definedName>
    <definedName name="BExU17CKOR3GNIHDNVLH9L1IOJS9" localSheetId="19" hidden="1">#REF!</definedName>
    <definedName name="BExU17CKOR3GNIHDNVLH9L1IOJS9" hidden="1">#REF!</definedName>
    <definedName name="BExU1DXYI5DAD9DSFIEAUOB5XFZ9" localSheetId="8" hidden="1">#REF!</definedName>
    <definedName name="BExU1DXYI5DAD9DSFIEAUOB5XFZ9" localSheetId="19" hidden="1">#REF!</definedName>
    <definedName name="BExU1DXYI5DAD9DSFIEAUOB5XFZ9" hidden="1">#REF!</definedName>
    <definedName name="BExU1GXUTLRPJN4MRINLAPHSZQFG" localSheetId="8" hidden="1">#REF!</definedName>
    <definedName name="BExU1GXUTLRPJN4MRINLAPHSZQFG" localSheetId="19" hidden="1">#REF!</definedName>
    <definedName name="BExU1GXUTLRPJN4MRINLAPHSZQFG" hidden="1">#REF!</definedName>
    <definedName name="BExU1IL9AOHFO85BZB6S60DK3N8H" localSheetId="8" hidden="1">#REF!</definedName>
    <definedName name="BExU1IL9AOHFO85BZB6S60DK3N8H" localSheetId="19" hidden="1">#REF!</definedName>
    <definedName name="BExU1IL9AOHFO85BZB6S60DK3N8H" hidden="1">#REF!</definedName>
    <definedName name="BExU1LAEKWJ0U6NP9G2AC9CTBYH6" localSheetId="8" hidden="1">#REF!</definedName>
    <definedName name="BExU1LAEKWJ0U6NP9G2AC9CTBYH6" localSheetId="19" hidden="1">#REF!</definedName>
    <definedName name="BExU1LAEKWJ0U6NP9G2AC9CTBYH6" hidden="1">#REF!</definedName>
    <definedName name="BExU1NOPS09CLFZL1O31RAF9BQNQ" localSheetId="8" hidden="1">#REF!</definedName>
    <definedName name="BExU1NOPS09CLFZL1O31RAF9BQNQ" localSheetId="19" hidden="1">#REF!</definedName>
    <definedName name="BExU1NOPS09CLFZL1O31RAF9BQNQ" hidden="1">#REF!</definedName>
    <definedName name="BExU1PH9MOEX1JZVZ3D5M9DXB191" localSheetId="8" hidden="1">#REF!</definedName>
    <definedName name="BExU1PH9MOEX1JZVZ3D5M9DXB191" localSheetId="19" hidden="1">#REF!</definedName>
    <definedName name="BExU1PH9MOEX1JZVZ3D5M9DXB191" hidden="1">#REF!</definedName>
    <definedName name="BExU1QZEEKJA35IMEOLOJ3ODX0ZA" localSheetId="8" hidden="1">#REF!</definedName>
    <definedName name="BExU1QZEEKJA35IMEOLOJ3ODX0ZA" localSheetId="19" hidden="1">#REF!</definedName>
    <definedName name="BExU1QZEEKJA35IMEOLOJ3ODX0ZA" hidden="1">#REF!</definedName>
    <definedName name="BExU1VRURIWWVJ95O40WA23LMTJD" localSheetId="8" hidden="1">#REF!</definedName>
    <definedName name="BExU1VRURIWWVJ95O40WA23LMTJD" localSheetId="19" hidden="1">#REF!</definedName>
    <definedName name="BExU1VRURIWWVJ95O40WA23LMTJD" hidden="1">#REF!</definedName>
    <definedName name="BExU2A0FXVBDX9LO3VWEXB4TLFT0" localSheetId="8" hidden="1">#REF!</definedName>
    <definedName name="BExU2A0FXVBDX9LO3VWEXB4TLFT0" localSheetId="19" hidden="1">#REF!</definedName>
    <definedName name="BExU2A0FXVBDX9LO3VWEXB4TLFT0" hidden="1">#REF!</definedName>
    <definedName name="BExU2LEH667H33V81XVEZUP2O0UQ" localSheetId="8" hidden="1">#REF!</definedName>
    <definedName name="BExU2LEH667H33V81XVEZUP2O0UQ" localSheetId="19" hidden="1">#REF!</definedName>
    <definedName name="BExU2LEH667H33V81XVEZUP2O0UQ" hidden="1">#REF!</definedName>
    <definedName name="BExU2M5CK6XK55UIHDVYRXJJJRI4" localSheetId="8" hidden="1">#REF!</definedName>
    <definedName name="BExU2M5CK6XK55UIHDVYRXJJJRI4" localSheetId="19" hidden="1">#REF!</definedName>
    <definedName name="BExU2M5CK6XK55UIHDVYRXJJJRI4" hidden="1">#REF!</definedName>
    <definedName name="BExU2TXVT25ZTOFQAF6CM53Z1RLF" localSheetId="8" hidden="1">#REF!</definedName>
    <definedName name="BExU2TXVT25ZTOFQAF6CM53Z1RLF" localSheetId="19" hidden="1">#REF!</definedName>
    <definedName name="BExU2TXVT25ZTOFQAF6CM53Z1RLF" hidden="1">#REF!</definedName>
    <definedName name="BExU2XZLYIU19G7358W5T9E87AFR" localSheetId="8" hidden="1">#REF!</definedName>
    <definedName name="BExU2XZLYIU19G7358W5T9E87AFR" localSheetId="19" hidden="1">#REF!</definedName>
    <definedName name="BExU2XZLYIU19G7358W5T9E87AFR" hidden="1">#REF!</definedName>
    <definedName name="BExU2ZXMKRBQEX0CT3ZPZ3UFZP1G" localSheetId="8" hidden="1">#REF!</definedName>
    <definedName name="BExU2ZXMKRBQEX0CT3ZPZ3UFZP1G" localSheetId="19" hidden="1">#REF!</definedName>
    <definedName name="BExU2ZXMKRBQEX0CT3ZPZ3UFZP1G" hidden="1">#REF!</definedName>
    <definedName name="BExU35XHF1K1XEQUSZ292S5T61YA" localSheetId="8" hidden="1">#REF!</definedName>
    <definedName name="BExU35XHF1K1XEQUSZ292S5T61YA" localSheetId="19" hidden="1">#REF!</definedName>
    <definedName name="BExU35XHF1K1XEQUSZ292S5T61YA" hidden="1">#REF!</definedName>
    <definedName name="BExU38S1U5IC1T5A3P2TZU5OV0LN" localSheetId="8" hidden="1">#REF!</definedName>
    <definedName name="BExU38S1U5IC1T5A3P2TZU5OV0LN" localSheetId="19" hidden="1">#REF!</definedName>
    <definedName name="BExU38S1U5IC1T5A3P2TZU5OV0LN" hidden="1">#REF!</definedName>
    <definedName name="BExU3B66MCKJFSKT3HL8B5EJGVX0" localSheetId="8" hidden="1">#REF!</definedName>
    <definedName name="BExU3B66MCKJFSKT3HL8B5EJGVX0" localSheetId="19" hidden="1">#REF!</definedName>
    <definedName name="BExU3B66MCKJFSKT3HL8B5EJGVX0" hidden="1">#REF!</definedName>
    <definedName name="BExU3FDFDB2NVPYUR5V7OA3HF474" localSheetId="8" hidden="1">#REF!</definedName>
    <definedName name="BExU3FDFDB2NVPYUR5V7OA3HF474" localSheetId="19" hidden="1">#REF!</definedName>
    <definedName name="BExU3FDFDB2NVPYUR5V7OA3HF474" hidden="1">#REF!</definedName>
    <definedName name="BExU3R7J076KUCCEUGKAYMANTUT5" localSheetId="8" hidden="1">#REF!</definedName>
    <definedName name="BExU3R7J076KUCCEUGKAYMANTUT5" localSheetId="19" hidden="1">#REF!</definedName>
    <definedName name="BExU3R7J076KUCCEUGKAYMANTUT5" hidden="1">#REF!</definedName>
    <definedName name="BExU3UNI9NR1RNZR07NSLSZMDOQQ" localSheetId="8" hidden="1">#REF!</definedName>
    <definedName name="BExU3UNI9NR1RNZR07NSLSZMDOQQ" localSheetId="19" hidden="1">#REF!</definedName>
    <definedName name="BExU3UNI9NR1RNZR07NSLSZMDOQQ" hidden="1">#REF!</definedName>
    <definedName name="BExU401R18N6XKZKL7CNFOZQCM14" localSheetId="8" hidden="1">#REF!</definedName>
    <definedName name="BExU401R18N6XKZKL7CNFOZQCM14" localSheetId="19" hidden="1">#REF!</definedName>
    <definedName name="BExU401R18N6XKZKL7CNFOZQCM14" hidden="1">#REF!</definedName>
    <definedName name="BExU42QVGY7TK39W1BIN6CDRG2OE" localSheetId="8" hidden="1">#REF!</definedName>
    <definedName name="BExU42QVGY7TK39W1BIN6CDRG2OE" localSheetId="19" hidden="1">#REF!</definedName>
    <definedName name="BExU42QVGY7TK39W1BIN6CDRG2OE" hidden="1">#REF!</definedName>
    <definedName name="BExU431LXP7LIUNGJB9OSXEANFGX" localSheetId="8" hidden="1">#REF!</definedName>
    <definedName name="BExU431LXP7LIUNGJB9OSXEANFGX" localSheetId="19" hidden="1">#REF!</definedName>
    <definedName name="BExU431LXP7LIUNGJB9OSXEANFGX" hidden="1">#REF!</definedName>
    <definedName name="BExU47OZMS6TCWMEHHF0UCSFLLPI" localSheetId="8" hidden="1">#REF!</definedName>
    <definedName name="BExU47OZMS6TCWMEHHF0UCSFLLPI" localSheetId="19" hidden="1">#REF!</definedName>
    <definedName name="BExU47OZMS6TCWMEHHF0UCSFLLPI" hidden="1">#REF!</definedName>
    <definedName name="BExU4D36E8TXN0M8KSNGEAFYP4DQ" localSheetId="8" hidden="1">#REF!</definedName>
    <definedName name="BExU4D36E8TXN0M8KSNGEAFYP4DQ" localSheetId="19" hidden="1">#REF!</definedName>
    <definedName name="BExU4D36E8TXN0M8KSNGEAFYP4DQ" hidden="1">#REF!</definedName>
    <definedName name="BExU4G31RRVLJ3AC6E1FNEFMXM3O" localSheetId="8" hidden="1">#REF!</definedName>
    <definedName name="BExU4G31RRVLJ3AC6E1FNEFMXM3O" localSheetId="19" hidden="1">#REF!</definedName>
    <definedName name="BExU4G31RRVLJ3AC6E1FNEFMXM3O" hidden="1">#REF!</definedName>
    <definedName name="BExU4GDVLPUEWBA4MRYRTQAUNO7B" localSheetId="8" hidden="1">#REF!</definedName>
    <definedName name="BExU4GDVLPUEWBA4MRYRTQAUNO7B" localSheetId="19" hidden="1">#REF!</definedName>
    <definedName name="BExU4GDVLPUEWBA4MRYRTQAUNO7B" hidden="1">#REF!</definedName>
    <definedName name="BExU4H4RAMAX0XVAWT5WFYQNPAL3" localSheetId="8" hidden="1">#REF!</definedName>
    <definedName name="BExU4H4RAMAX0XVAWT5WFYQNPAL3" localSheetId="19" hidden="1">#REF!</definedName>
    <definedName name="BExU4H4RAMAX0XVAWT5WFYQNPAL3" hidden="1">#REF!</definedName>
    <definedName name="BExU4I148DA7PRCCISLWQ6ABXFK6" localSheetId="8" hidden="1">#REF!</definedName>
    <definedName name="BExU4I148DA7PRCCISLWQ6ABXFK6" localSheetId="19" hidden="1">#REF!</definedName>
    <definedName name="BExU4I148DA7PRCCISLWQ6ABXFK6" hidden="1">#REF!</definedName>
    <definedName name="BExU4L101H2KQHVKCKQ4PBAWZV6K" localSheetId="8" hidden="1">#REF!</definedName>
    <definedName name="BExU4L101H2KQHVKCKQ4PBAWZV6K" localSheetId="19" hidden="1">#REF!</definedName>
    <definedName name="BExU4L101H2KQHVKCKQ4PBAWZV6K" hidden="1">#REF!</definedName>
    <definedName name="BExU4LML14Q7KDTYIKJWXF68W7X1" localSheetId="8" hidden="1">#REF!</definedName>
    <definedName name="BExU4LML14Q7KDTYIKJWXF68W7X1" localSheetId="19" hidden="1">#REF!</definedName>
    <definedName name="BExU4LML14Q7KDTYIKJWXF68W7X1" hidden="1">#REF!</definedName>
    <definedName name="BExU4NA00RRRBGRT6TOB0MXZRCRZ" localSheetId="8" hidden="1">#REF!</definedName>
    <definedName name="BExU4NA00RRRBGRT6TOB0MXZRCRZ" localSheetId="19" hidden="1">#REF!</definedName>
    <definedName name="BExU4NA00RRRBGRT6TOB0MXZRCRZ" hidden="1">#REF!</definedName>
    <definedName name="BExU529I6YHVOG83TJHWSILIQU1S" localSheetId="8" hidden="1">#REF!</definedName>
    <definedName name="BExU529I6YHVOG83TJHWSILIQU1S" localSheetId="19" hidden="1">#REF!</definedName>
    <definedName name="BExU529I6YHVOG83TJHWSILIQU1S" hidden="1">#REF!</definedName>
    <definedName name="BExU57YCIKPRD8QWL6EU0YR3NG3J" localSheetId="8" hidden="1">#REF!</definedName>
    <definedName name="BExU57YCIKPRD8QWL6EU0YR3NG3J" localSheetId="19" hidden="1">#REF!</definedName>
    <definedName name="BExU57YCIKPRD8QWL6EU0YR3NG3J" hidden="1">#REF!</definedName>
    <definedName name="BExU5DSTBWXLN6E59B757KRWRI6E" localSheetId="8" hidden="1">#REF!</definedName>
    <definedName name="BExU5DSTBWXLN6E59B757KRWRI6E" localSheetId="19" hidden="1">#REF!</definedName>
    <definedName name="BExU5DSTBWXLN6E59B757KRWRI6E" hidden="1">#REF!</definedName>
    <definedName name="BExU5JSMO03X9M4WIRPP8JPSMQKJ" localSheetId="8" hidden="1">#REF!</definedName>
    <definedName name="BExU5JSMO03X9M4WIRPP8JPSMQKJ" localSheetId="19" hidden="1">#REF!</definedName>
    <definedName name="BExU5JSMO03X9M4WIRPP8JPSMQKJ" hidden="1">#REF!</definedName>
    <definedName name="BExU5TDWM8NNDHYPQ7OQODTQ368A" localSheetId="8" hidden="1">#REF!</definedName>
    <definedName name="BExU5TDWM8NNDHYPQ7OQODTQ368A" localSheetId="19" hidden="1">#REF!</definedName>
    <definedName name="BExU5TDWM8NNDHYPQ7OQODTQ368A" hidden="1">#REF!</definedName>
    <definedName name="BExU5X4OX1V1XHS6WSSORVQPP6Z3" localSheetId="8" hidden="1">#REF!</definedName>
    <definedName name="BExU5X4OX1V1XHS6WSSORVQPP6Z3" localSheetId="19" hidden="1">#REF!</definedName>
    <definedName name="BExU5X4OX1V1XHS6WSSORVQPP6Z3" hidden="1">#REF!</definedName>
    <definedName name="BExU5XVPARTFMRYHNUTBKDIL4UJN" localSheetId="8" hidden="1">#REF!</definedName>
    <definedName name="BExU5XVPARTFMRYHNUTBKDIL4UJN" localSheetId="19" hidden="1">#REF!</definedName>
    <definedName name="BExU5XVPARTFMRYHNUTBKDIL4UJN" hidden="1">#REF!</definedName>
    <definedName name="BExU66KMFBAP8JCVG9VM1RD1TNFF" localSheetId="8" hidden="1">#REF!</definedName>
    <definedName name="BExU66KMFBAP8JCVG9VM1RD1TNFF" localSheetId="19" hidden="1">#REF!</definedName>
    <definedName name="BExU66KMFBAP8JCVG9VM1RD1TNFF" hidden="1">#REF!</definedName>
    <definedName name="BExU68IOM3CB3TACNAE9565TW7SH" localSheetId="8" hidden="1">#REF!</definedName>
    <definedName name="BExU68IOM3CB3TACNAE9565TW7SH" localSheetId="19" hidden="1">#REF!</definedName>
    <definedName name="BExU68IOM3CB3TACNAE9565TW7SH" hidden="1">#REF!</definedName>
    <definedName name="BExU6AM82KN21E82HMWVP3LWP9IL" localSheetId="8" hidden="1">#REF!</definedName>
    <definedName name="BExU6AM82KN21E82HMWVP3LWP9IL" localSheetId="19" hidden="1">#REF!</definedName>
    <definedName name="BExU6AM82KN21E82HMWVP3LWP9IL" hidden="1">#REF!</definedName>
    <definedName name="BExU6FEU1MRHU98R9YOJC5OKUJ6L" localSheetId="8" hidden="1">#REF!</definedName>
    <definedName name="BExU6FEU1MRHU98R9YOJC5OKUJ6L" localSheetId="19" hidden="1">#REF!</definedName>
    <definedName name="BExU6FEU1MRHU98R9YOJC5OKUJ6L" hidden="1">#REF!</definedName>
    <definedName name="BExU6KIAJ663Y8W8QMU4HCF183DF" localSheetId="8" hidden="1">#REF!</definedName>
    <definedName name="BExU6KIAJ663Y8W8QMU4HCF183DF" localSheetId="19" hidden="1">#REF!</definedName>
    <definedName name="BExU6KIAJ663Y8W8QMU4HCF183DF" hidden="1">#REF!</definedName>
    <definedName name="BExU6KT19B4PG6SHXFBGBPLM66KT" localSheetId="8" hidden="1">#REF!</definedName>
    <definedName name="BExU6KT19B4PG6SHXFBGBPLM66KT" localSheetId="19" hidden="1">#REF!</definedName>
    <definedName name="BExU6KT19B4PG6SHXFBGBPLM66KT" hidden="1">#REF!</definedName>
    <definedName name="BExU6PAVKIOAIMQ9XQIHHF1SUAGO" localSheetId="8" hidden="1">#REF!</definedName>
    <definedName name="BExU6PAVKIOAIMQ9XQIHHF1SUAGO" localSheetId="19" hidden="1">#REF!</definedName>
    <definedName name="BExU6PAVKIOAIMQ9XQIHHF1SUAGO" hidden="1">#REF!</definedName>
    <definedName name="BExU6SLKTWV0YINVLTI6BCG9ANZM" localSheetId="8" hidden="1">#REF!</definedName>
    <definedName name="BExU6SLKTWV0YINVLTI6BCG9ANZM" localSheetId="19" hidden="1">#REF!</definedName>
    <definedName name="BExU6SLKTWV0YINVLTI6BCG9ANZM" hidden="1">#REF!</definedName>
    <definedName name="BExU6WXXC7SSQDMHSLUN5C2V4IYX" localSheetId="8" hidden="1">#REF!</definedName>
    <definedName name="BExU6WXXC7SSQDMHSLUN5C2V4IYX" localSheetId="19" hidden="1">#REF!</definedName>
    <definedName name="BExU6WXXC7SSQDMHSLUN5C2V4IYX" hidden="1">#REF!</definedName>
    <definedName name="BExU73387E74XE8A9UKZLZNJYY65" localSheetId="8" hidden="1">#REF!</definedName>
    <definedName name="BExU73387E74XE8A9UKZLZNJYY65" localSheetId="19" hidden="1">#REF!</definedName>
    <definedName name="BExU73387E74XE8A9UKZLZNJYY65" hidden="1">#REF!</definedName>
    <definedName name="BExU76ZHCJM8I7VSICCMSTC33O6U" localSheetId="8" hidden="1">#REF!</definedName>
    <definedName name="BExU76ZHCJM8I7VSICCMSTC33O6U" localSheetId="19" hidden="1">#REF!</definedName>
    <definedName name="BExU76ZHCJM8I7VSICCMSTC33O6U" hidden="1">#REF!</definedName>
    <definedName name="BExU7BBTUF8BQ42DSGM94X5TG5GF" localSheetId="8" hidden="1">#REF!</definedName>
    <definedName name="BExU7BBTUF8BQ42DSGM94X5TG5GF" localSheetId="19" hidden="1">#REF!</definedName>
    <definedName name="BExU7BBTUF8BQ42DSGM94X5TG5GF" hidden="1">#REF!</definedName>
    <definedName name="BExU7HH4EAHFQHT4AXKGWAWZP3I0" localSheetId="8" hidden="1">#REF!</definedName>
    <definedName name="BExU7HH4EAHFQHT4AXKGWAWZP3I0" localSheetId="19" hidden="1">#REF!</definedName>
    <definedName name="BExU7HH4EAHFQHT4AXKGWAWZP3I0" hidden="1">#REF!</definedName>
    <definedName name="BExU7L7WPQSA0ELXZ0I86V33QCCJ" localSheetId="8" hidden="1">#REF!</definedName>
    <definedName name="BExU7L7WPQSA0ELXZ0I86V33QCCJ" localSheetId="19" hidden="1">#REF!</definedName>
    <definedName name="BExU7L7WPQSA0ELXZ0I86V33QCCJ" hidden="1">#REF!</definedName>
    <definedName name="BExU7MF1ZVPDHOSMCAXOSYICHZ4I" localSheetId="8" hidden="1">#REF!</definedName>
    <definedName name="BExU7MF1ZVPDHOSMCAXOSYICHZ4I" localSheetId="19" hidden="1">#REF!</definedName>
    <definedName name="BExU7MF1ZVPDHOSMCAXOSYICHZ4I" hidden="1">#REF!</definedName>
    <definedName name="BExU7O2BJ6D5YCKEL6FD2EFCWYRX" localSheetId="8" hidden="1">#REF!</definedName>
    <definedName name="BExU7O2BJ6D5YCKEL6FD2EFCWYRX" localSheetId="19" hidden="1">#REF!</definedName>
    <definedName name="BExU7O2BJ6D5YCKEL6FD2EFCWYRX" hidden="1">#REF!</definedName>
    <definedName name="BExU7Q0JS9YIUKUPNSSAIDK2KJAV" localSheetId="8" hidden="1">#REF!</definedName>
    <definedName name="BExU7Q0JS9YIUKUPNSSAIDK2KJAV" localSheetId="19" hidden="1">#REF!</definedName>
    <definedName name="BExU7Q0JS9YIUKUPNSSAIDK2KJAV" hidden="1">#REF!</definedName>
    <definedName name="BExU80I6AE5OU7P7F5V7HWIZBJ4P" localSheetId="8" hidden="1">#REF!</definedName>
    <definedName name="BExU80I6AE5OU7P7F5V7HWIZBJ4P" localSheetId="19" hidden="1">#REF!</definedName>
    <definedName name="BExU80I6AE5OU7P7F5V7HWIZBJ4P" hidden="1">#REF!</definedName>
    <definedName name="BExU86NB26MCPYIISZ36HADONGT2" localSheetId="8" hidden="1">#REF!</definedName>
    <definedName name="BExU86NB26MCPYIISZ36HADONGT2" localSheetId="19" hidden="1">#REF!</definedName>
    <definedName name="BExU86NB26MCPYIISZ36HADONGT2" hidden="1">#REF!</definedName>
    <definedName name="BExU885EZZNSZV3GP298UJ8LB7OL" localSheetId="8" hidden="1">#REF!</definedName>
    <definedName name="BExU885EZZNSZV3GP298UJ8LB7OL" localSheetId="19" hidden="1">#REF!</definedName>
    <definedName name="BExU885EZZNSZV3GP298UJ8LB7OL" hidden="1">#REF!</definedName>
    <definedName name="BExU8FSAUP9TUZ1NO9WXK80QPHWV" localSheetId="8" hidden="1">#REF!</definedName>
    <definedName name="BExU8FSAUP9TUZ1NO9WXK80QPHWV" localSheetId="19" hidden="1">#REF!</definedName>
    <definedName name="BExU8FSAUP9TUZ1NO9WXK80QPHWV" hidden="1">#REF!</definedName>
    <definedName name="BExU8KFLAN778MBN93NYZB0FV30G" localSheetId="8" hidden="1">#REF!</definedName>
    <definedName name="BExU8KFLAN778MBN93NYZB0FV30G" localSheetId="19" hidden="1">#REF!</definedName>
    <definedName name="BExU8KFLAN778MBN93NYZB0FV30G" hidden="1">#REF!</definedName>
    <definedName name="BExU8PZC6845UUDFG9M8FTC3P3DK" localSheetId="8" hidden="1">#REF!</definedName>
    <definedName name="BExU8PZC6845UUDFG9M8FTC3P3DK" localSheetId="19" hidden="1">#REF!</definedName>
    <definedName name="BExU8PZC6845UUDFG9M8FTC3P3DK" hidden="1">#REF!</definedName>
    <definedName name="BExU8UX9JX3XLB47YZ8GFXE0V7R2" localSheetId="8" hidden="1">#REF!</definedName>
    <definedName name="BExU8UX9JX3XLB47YZ8GFXE0V7R2" localSheetId="19" hidden="1">#REF!</definedName>
    <definedName name="BExU8UX9JX3XLB47YZ8GFXE0V7R2" hidden="1">#REF!</definedName>
    <definedName name="BExU8WVGMRSFNWCNHODQ9JQCMZB0" localSheetId="8" hidden="1">#REF!</definedName>
    <definedName name="BExU8WVGMRSFNWCNHODQ9JQCMZB0" localSheetId="19" hidden="1">#REF!</definedName>
    <definedName name="BExU8WVGMRSFNWCNHODQ9JQCMZB0" hidden="1">#REF!</definedName>
    <definedName name="BExU96M1J7P9DZQ3S9H0C12KGYTW" localSheetId="8" hidden="1">#REF!</definedName>
    <definedName name="BExU96M1J7P9DZQ3S9H0C12KGYTW" localSheetId="19" hidden="1">#REF!</definedName>
    <definedName name="BExU96M1J7P9DZQ3S9H0C12KGYTW" hidden="1">#REF!</definedName>
    <definedName name="BExU9F05OR1GZ3057R6UL3WPEIYI" localSheetId="8" hidden="1">#REF!</definedName>
    <definedName name="BExU9F05OR1GZ3057R6UL3WPEIYI" localSheetId="19" hidden="1">#REF!</definedName>
    <definedName name="BExU9F05OR1GZ3057R6UL3WPEIYI" hidden="1">#REF!</definedName>
    <definedName name="BExU9GCSO5YILIKG6VAHN13DL75K" localSheetId="8" hidden="1">#REF!</definedName>
    <definedName name="BExU9GCSO5YILIKG6VAHN13DL75K" localSheetId="19" hidden="1">#REF!</definedName>
    <definedName name="BExU9GCSO5YILIKG6VAHN13DL75K" hidden="1">#REF!</definedName>
    <definedName name="BExU9KJOZLO15N11MJVN782NFGJ0" localSheetId="8" hidden="1">#REF!</definedName>
    <definedName name="BExU9KJOZLO15N11MJVN782NFGJ0" localSheetId="19" hidden="1">#REF!</definedName>
    <definedName name="BExU9KJOZLO15N11MJVN782NFGJ0" hidden="1">#REF!</definedName>
    <definedName name="BExU9LG29XU2K1GNKRO4438JYQZE" localSheetId="8" hidden="1">#REF!</definedName>
    <definedName name="BExU9LG29XU2K1GNKRO4438JYQZE" localSheetId="19" hidden="1">#REF!</definedName>
    <definedName name="BExU9LG29XU2K1GNKRO4438JYQZE" hidden="1">#REF!</definedName>
    <definedName name="BExU9RW36I5Z6JIXUIUB3PJH86LT" localSheetId="8" hidden="1">#REF!</definedName>
    <definedName name="BExU9RW36I5Z6JIXUIUB3PJH86LT" localSheetId="19" hidden="1">#REF!</definedName>
    <definedName name="BExU9RW36I5Z6JIXUIUB3PJH86LT" hidden="1">#REF!</definedName>
    <definedName name="BExU9WU19DJ2VAGISPFEGDWWOO4V" localSheetId="8" hidden="1">#REF!</definedName>
    <definedName name="BExU9WU19DJ2VAGISPFEGDWWOO4V" localSheetId="19" hidden="1">#REF!</definedName>
    <definedName name="BExU9WU19DJ2VAGISPFEGDWWOO4V" hidden="1">#REF!</definedName>
    <definedName name="BExUA28AO7OWDG3H23Q0CL4B7BHW" localSheetId="8" hidden="1">#REF!</definedName>
    <definedName name="BExUA28AO7OWDG3H23Q0CL4B7BHW" localSheetId="19" hidden="1">#REF!</definedName>
    <definedName name="BExUA28AO7OWDG3H23Q0CL4B7BHW" hidden="1">#REF!</definedName>
    <definedName name="BExUA34N2C083NSTAHQGZZ3BCYGK" localSheetId="8" hidden="1">#REF!</definedName>
    <definedName name="BExUA34N2C083NSTAHQGZZ3BCYGK" localSheetId="19" hidden="1">#REF!</definedName>
    <definedName name="BExUA34N2C083NSTAHQGZZ3BCYGK" hidden="1">#REF!</definedName>
    <definedName name="BExUA5O923FFNEBY8BPO1TU3QGBM" localSheetId="8" hidden="1">#REF!</definedName>
    <definedName name="BExUA5O923FFNEBY8BPO1TU3QGBM" localSheetId="19" hidden="1">#REF!</definedName>
    <definedName name="BExUA5O923FFNEBY8BPO1TU3QGBM" hidden="1">#REF!</definedName>
    <definedName name="BExUA6Q4K25VH452AQ3ZIRBCMS61" localSheetId="8" hidden="1">#REF!</definedName>
    <definedName name="BExUA6Q4K25VH452AQ3ZIRBCMS61" localSheetId="19" hidden="1">#REF!</definedName>
    <definedName name="BExUA6Q4K25VH452AQ3ZIRBCMS61" hidden="1">#REF!</definedName>
    <definedName name="BExUAFV4JMBSM2SKBQL9NHL0NIBS" localSheetId="8" hidden="1">#REF!</definedName>
    <definedName name="BExUAFV4JMBSM2SKBQL9NHL0NIBS" localSheetId="19" hidden="1">#REF!</definedName>
    <definedName name="BExUAFV4JMBSM2SKBQL9NHL0NIBS" hidden="1">#REF!</definedName>
    <definedName name="BExUAMWQODKBXMRH1QCMJLJBF8M7" localSheetId="8" hidden="1">#REF!</definedName>
    <definedName name="BExUAMWQODKBXMRH1QCMJLJBF8M7" localSheetId="19" hidden="1">#REF!</definedName>
    <definedName name="BExUAMWQODKBXMRH1QCMJLJBF8M7" hidden="1">#REF!</definedName>
    <definedName name="BExUAPR6Y32097JKJCTGC4C6EGE9" localSheetId="8" hidden="1">#REF!</definedName>
    <definedName name="BExUAPR6Y32097JKJCTGC4C6EGE9" localSheetId="19" hidden="1">#REF!</definedName>
    <definedName name="BExUAPR6Y32097JKJCTGC4C6EGE9" hidden="1">#REF!</definedName>
    <definedName name="BExUARUP0MX710TNZSAA01HUEAVC" localSheetId="8" hidden="1">#REF!</definedName>
    <definedName name="BExUARUP0MX710TNZSAA01HUEAVC" localSheetId="19" hidden="1">#REF!</definedName>
    <definedName name="BExUARUP0MX710TNZSAA01HUEAVC" hidden="1">#REF!</definedName>
    <definedName name="BExUAX8WS5OPVLCDXRGKTU2QMTFO" localSheetId="8" hidden="1">#REF!</definedName>
    <definedName name="BExUAX8WS5OPVLCDXRGKTU2QMTFO" localSheetId="19" hidden="1">#REF!</definedName>
    <definedName name="BExUAX8WS5OPVLCDXRGKTU2QMTFO" hidden="1">#REF!</definedName>
    <definedName name="BExUB1FYAZ433NX9GD7WGACX5IZD" localSheetId="8" hidden="1">#REF!</definedName>
    <definedName name="BExUB1FYAZ433NX9GD7WGACX5IZD" localSheetId="19" hidden="1">#REF!</definedName>
    <definedName name="BExUB1FYAZ433NX9GD7WGACX5IZD" hidden="1">#REF!</definedName>
    <definedName name="BExUB8HLEXSBVPZ5AXNQEK96F1N4" localSheetId="8" hidden="1">#REF!</definedName>
    <definedName name="BExUB8HLEXSBVPZ5AXNQEK96F1N4" localSheetId="19" hidden="1">#REF!</definedName>
    <definedName name="BExUB8HLEXSBVPZ5AXNQEK96F1N4" hidden="1">#REF!</definedName>
    <definedName name="BExUBCDVZIEA7YT0LPSMHL5ZSERQ" localSheetId="8" hidden="1">#REF!</definedName>
    <definedName name="BExUBCDVZIEA7YT0LPSMHL5ZSERQ" localSheetId="19" hidden="1">#REF!</definedName>
    <definedName name="BExUBCDVZIEA7YT0LPSMHL5ZSERQ" hidden="1">#REF!</definedName>
    <definedName name="BExUBDA8WU087BUIMXC1U1CKA2RA" localSheetId="8" hidden="1">#REF!</definedName>
    <definedName name="BExUBDA8WU087BUIMXC1U1CKA2RA" localSheetId="19" hidden="1">#REF!</definedName>
    <definedName name="BExUBDA8WU087BUIMXC1U1CKA2RA" hidden="1">#REF!</definedName>
    <definedName name="BExUBKXBUCN760QYU7Q8GESBWOQH" localSheetId="8" hidden="1">#REF!</definedName>
    <definedName name="BExUBKXBUCN760QYU7Q8GESBWOQH" localSheetId="19" hidden="1">#REF!</definedName>
    <definedName name="BExUBKXBUCN760QYU7Q8GESBWOQH" hidden="1">#REF!</definedName>
    <definedName name="BExUBL83ED0P076RN9RJ8P1MZ299" localSheetId="8" hidden="1">#REF!</definedName>
    <definedName name="BExUBL83ED0P076RN9RJ8P1MZ299" localSheetId="19" hidden="1">#REF!</definedName>
    <definedName name="BExUBL83ED0P076RN9RJ8P1MZ299" hidden="1">#REF!</definedName>
    <definedName name="BExUC1EPS2CZ5CKFA0AQRIVRSHS8" localSheetId="8" hidden="1">#REF!</definedName>
    <definedName name="BExUC1EPS2CZ5CKFA0AQRIVRSHS8" localSheetId="19" hidden="1">#REF!</definedName>
    <definedName name="BExUC1EPS2CZ5CKFA0AQRIVRSHS8" hidden="1">#REF!</definedName>
    <definedName name="BExUC623BDYEODBN0N4DO6PJQ7NU" localSheetId="8" hidden="1">#REF!</definedName>
    <definedName name="BExUC623BDYEODBN0N4DO6PJQ7NU" localSheetId="19" hidden="1">#REF!</definedName>
    <definedName name="BExUC623BDYEODBN0N4DO6PJQ7NU" hidden="1">#REF!</definedName>
    <definedName name="BExUC8WH8TCKBB5313JGYYQ1WFLT" localSheetId="8" hidden="1">#REF!</definedName>
    <definedName name="BExUC8WH8TCKBB5313JGYYQ1WFLT" localSheetId="19" hidden="1">#REF!</definedName>
    <definedName name="BExUC8WH8TCKBB5313JGYYQ1WFLT" hidden="1">#REF!</definedName>
    <definedName name="BExUCAP7GOSYPHMQKK6719YLSDIQ" localSheetId="8" hidden="1">#REF!</definedName>
    <definedName name="BExUCAP7GOSYPHMQKK6719YLSDIQ" localSheetId="19" hidden="1">#REF!</definedName>
    <definedName name="BExUCAP7GOSYPHMQKK6719YLSDIQ" hidden="1">#REF!</definedName>
    <definedName name="BExUCFCDK6SPH86I6STXX8X3WMC4" localSheetId="8" hidden="1">#REF!</definedName>
    <definedName name="BExUCFCDK6SPH86I6STXX8X3WMC4" localSheetId="19" hidden="1">#REF!</definedName>
    <definedName name="BExUCFCDK6SPH86I6STXX8X3WMC4" hidden="1">#REF!</definedName>
    <definedName name="BExUCKL98JB87L3I6T6IFSWJNYAB" localSheetId="8" hidden="1">#REF!</definedName>
    <definedName name="BExUCKL98JB87L3I6T6IFSWJNYAB" localSheetId="19" hidden="1">#REF!</definedName>
    <definedName name="BExUCKL98JB87L3I6T6IFSWJNYAB" hidden="1">#REF!</definedName>
    <definedName name="BExUCLC6AQ5KR6LXSAXV4QQ8ASVG" localSheetId="8" hidden="1">#REF!</definedName>
    <definedName name="BExUCLC6AQ5KR6LXSAXV4QQ8ASVG" localSheetId="19" hidden="1">#REF!</definedName>
    <definedName name="BExUCLC6AQ5KR6LXSAXV4QQ8ASVG" hidden="1">#REF!</definedName>
    <definedName name="BExUD4IOJ12X3PJG5WXNNGDRCKAP" localSheetId="8" hidden="1">#REF!</definedName>
    <definedName name="BExUD4IOJ12X3PJG5WXNNGDRCKAP" localSheetId="19" hidden="1">#REF!</definedName>
    <definedName name="BExUD4IOJ12X3PJG5WXNNGDRCKAP" hidden="1">#REF!</definedName>
    <definedName name="BExUD9WX9BWK72UWVSLYZJLAY5VY" localSheetId="8" hidden="1">#REF!</definedName>
    <definedName name="BExUD9WX9BWK72UWVSLYZJLAY5VY" localSheetId="19" hidden="1">#REF!</definedName>
    <definedName name="BExUD9WX9BWK72UWVSLYZJLAY5VY" hidden="1">#REF!</definedName>
    <definedName name="BExUDEV0CYVO7Y5IQQBEJ6FUY9S6" localSheetId="8" hidden="1">#REF!</definedName>
    <definedName name="BExUDEV0CYVO7Y5IQQBEJ6FUY9S6" localSheetId="19" hidden="1">#REF!</definedName>
    <definedName name="BExUDEV0CYVO7Y5IQQBEJ6FUY9S6" hidden="1">#REF!</definedName>
    <definedName name="BExUDWOXQGIZW0EAIIYLQUPXF8YV" localSheetId="8" hidden="1">#REF!</definedName>
    <definedName name="BExUDWOXQGIZW0EAIIYLQUPXF8YV" localSheetId="19" hidden="1">#REF!</definedName>
    <definedName name="BExUDWOXQGIZW0EAIIYLQUPXF8YV" hidden="1">#REF!</definedName>
    <definedName name="BExUDXAIC17W1FUU8Z10XUAVB7CS" localSheetId="8" hidden="1">#REF!</definedName>
    <definedName name="BExUDXAIC17W1FUU8Z10XUAVB7CS" localSheetId="19" hidden="1">#REF!</definedName>
    <definedName name="BExUDXAIC17W1FUU8Z10XUAVB7CS" hidden="1">#REF!</definedName>
    <definedName name="BExUE5OMY7OAJQ9WR8C8HG311ORP" localSheetId="8" hidden="1">#REF!</definedName>
    <definedName name="BExUE5OMY7OAJQ9WR8C8HG311ORP" localSheetId="19" hidden="1">#REF!</definedName>
    <definedName name="BExUE5OMY7OAJQ9WR8C8HG311ORP" hidden="1">#REF!</definedName>
    <definedName name="BExUEFKOQWXXGRNLAOJV2BJ66UB8" localSheetId="8" hidden="1">#REF!</definedName>
    <definedName name="BExUEFKOQWXXGRNLAOJV2BJ66UB8" localSheetId="19" hidden="1">#REF!</definedName>
    <definedName name="BExUEFKOQWXXGRNLAOJV2BJ66UB8" hidden="1">#REF!</definedName>
    <definedName name="BExUEJGX3OQQP5KFRJSRCZ70EI9V" localSheetId="8" hidden="1">#REF!</definedName>
    <definedName name="BExUEJGX3OQQP5KFRJSRCZ70EI9V" localSheetId="19" hidden="1">#REF!</definedName>
    <definedName name="BExUEJGX3OQQP5KFRJSRCZ70EI9V" hidden="1">#REF!</definedName>
    <definedName name="BExUEKDB2RWXF3WMTZ6JSBCHNSDT" localSheetId="8" hidden="1">#REF!</definedName>
    <definedName name="BExUEKDB2RWXF3WMTZ6JSBCHNSDT" localSheetId="19" hidden="1">#REF!</definedName>
    <definedName name="BExUEKDB2RWXF3WMTZ6JSBCHNSDT" hidden="1">#REF!</definedName>
    <definedName name="BExUEYR71COFS2X8PDNU21IPMQEU" localSheetId="8" hidden="1">#REF!</definedName>
    <definedName name="BExUEYR71COFS2X8PDNU21IPMQEU" localSheetId="19" hidden="1">#REF!</definedName>
    <definedName name="BExUEYR71COFS2X8PDNU21IPMQEU" hidden="1">#REF!</definedName>
    <definedName name="BExVPRLJ9I6RX45EDVFSQGCPJSOK" localSheetId="8" hidden="1">#REF!</definedName>
    <definedName name="BExVPRLJ9I6RX45EDVFSQGCPJSOK" localSheetId="19" hidden="1">#REF!</definedName>
    <definedName name="BExVPRLJ9I6RX45EDVFSQGCPJSOK" hidden="1">#REF!</definedName>
    <definedName name="BExVRFU8RWFT8A80ZVAW185SG2G6" localSheetId="8" hidden="1">#REF!</definedName>
    <definedName name="BExVRFU8RWFT8A80ZVAW185SG2G6" localSheetId="19" hidden="1">#REF!</definedName>
    <definedName name="BExVRFU8RWFT8A80ZVAW185SG2G6" hidden="1">#REF!</definedName>
    <definedName name="BExVSJ3NHETBAIZTZQSM8LAVT76V" localSheetId="8" hidden="1">#REF!</definedName>
    <definedName name="BExVSJ3NHETBAIZTZQSM8LAVT76V" localSheetId="19" hidden="1">#REF!</definedName>
    <definedName name="BExVSJ3NHETBAIZTZQSM8LAVT76V" hidden="1">#REF!</definedName>
    <definedName name="BExVSL787C8E4HFQZ2NVLT35I2XV" localSheetId="8" hidden="1">#REF!</definedName>
    <definedName name="BExVSL787C8E4HFQZ2NVLT35I2XV" localSheetId="19" hidden="1">#REF!</definedName>
    <definedName name="BExVSL787C8E4HFQZ2NVLT35I2XV" hidden="1">#REF!</definedName>
    <definedName name="BExVSTFTVV14SFGHQUOJL5SQ5TX9" localSheetId="8" hidden="1">#REF!</definedName>
    <definedName name="BExVSTFTVV14SFGHQUOJL5SQ5TX9" localSheetId="19" hidden="1">#REF!</definedName>
    <definedName name="BExVSTFTVV14SFGHQUOJL5SQ5TX9" hidden="1">#REF!</definedName>
    <definedName name="BExVT017S14M5X928ARKQ2GNUFE0" localSheetId="8" hidden="1">#REF!</definedName>
    <definedName name="BExVT017S14M5X928ARKQ2GNUFE0" localSheetId="19" hidden="1">#REF!</definedName>
    <definedName name="BExVT017S14M5X928ARKQ2GNUFE0" hidden="1">#REF!</definedName>
    <definedName name="BExVT3MPE8LQ5JFN3HQIFKSQ80U4" localSheetId="8" hidden="1">#REF!</definedName>
    <definedName name="BExVT3MPE8LQ5JFN3HQIFKSQ80U4" localSheetId="19" hidden="1">#REF!</definedName>
    <definedName name="BExVT3MPE8LQ5JFN3HQIFKSQ80U4" hidden="1">#REF!</definedName>
    <definedName name="BExVT7TRK3NZHPME2TFBXOF1WBR9" localSheetId="8" hidden="1">#REF!</definedName>
    <definedName name="BExVT7TRK3NZHPME2TFBXOF1WBR9" localSheetId="19" hidden="1">#REF!</definedName>
    <definedName name="BExVT7TRK3NZHPME2TFBXOF1WBR9" hidden="1">#REF!</definedName>
    <definedName name="BExVT9H0R0T7WGQAAC0HABMG54YM" localSheetId="8" hidden="1">#REF!</definedName>
    <definedName name="BExVT9H0R0T7WGQAAC0HABMG54YM" localSheetId="19" hidden="1">#REF!</definedName>
    <definedName name="BExVT9H0R0T7WGQAAC0HABMG54YM" hidden="1">#REF!</definedName>
    <definedName name="BExVTAO57POUXSZQJQ6MABMZQA13" localSheetId="8" hidden="1">#REF!</definedName>
    <definedName name="BExVTAO57POUXSZQJQ6MABMZQA13" localSheetId="19" hidden="1">#REF!</definedName>
    <definedName name="BExVTAO57POUXSZQJQ6MABMZQA13" hidden="1">#REF!</definedName>
    <definedName name="BExVTCMDDEDGLUIMUU6BSFHEWTOP" localSheetId="8" hidden="1">#REF!</definedName>
    <definedName name="BExVTCMDDEDGLUIMUU6BSFHEWTOP" localSheetId="19" hidden="1">#REF!</definedName>
    <definedName name="BExVTCMDDEDGLUIMUU6BSFHEWTOP" hidden="1">#REF!</definedName>
    <definedName name="BExVTCMDQMLKRA2NQR72XU6Y54IK" localSheetId="8" hidden="1">#REF!</definedName>
    <definedName name="BExVTCMDQMLKRA2NQR72XU6Y54IK" localSheetId="19" hidden="1">#REF!</definedName>
    <definedName name="BExVTCMDQMLKRA2NQR72XU6Y54IK" hidden="1">#REF!</definedName>
    <definedName name="BExVTCRV8FQ5U9OYWWL44N6KFNHU" localSheetId="8" hidden="1">#REF!</definedName>
    <definedName name="BExVTCRV8FQ5U9OYWWL44N6KFNHU" localSheetId="19" hidden="1">#REF!</definedName>
    <definedName name="BExVTCRV8FQ5U9OYWWL44N6KFNHU" hidden="1">#REF!</definedName>
    <definedName name="BExVTNESHPVG0A0KZ7BRX26MS0PF" localSheetId="8" hidden="1">#REF!</definedName>
    <definedName name="BExVTNESHPVG0A0KZ7BRX26MS0PF" localSheetId="19" hidden="1">#REF!</definedName>
    <definedName name="BExVTNESHPVG0A0KZ7BRX26MS0PF" hidden="1">#REF!</definedName>
    <definedName name="BExVTTJVTNRSBHBTUZ78WG2JM5MK" localSheetId="8" hidden="1">#REF!</definedName>
    <definedName name="BExVTTJVTNRSBHBTUZ78WG2JM5MK" localSheetId="19" hidden="1">#REF!</definedName>
    <definedName name="BExVTTJVTNRSBHBTUZ78WG2JM5MK" hidden="1">#REF!</definedName>
    <definedName name="BExVTXLMYR87BC04D1ERALPUFVPG" localSheetId="8" hidden="1">#REF!</definedName>
    <definedName name="BExVTXLMYR87BC04D1ERALPUFVPG" localSheetId="19" hidden="1">#REF!</definedName>
    <definedName name="BExVTXLMYR87BC04D1ERALPUFVPG" hidden="1">#REF!</definedName>
    <definedName name="BExVUL9V3H8ZF6Y72LQBBN639YAA" localSheetId="8" hidden="1">#REF!</definedName>
    <definedName name="BExVUL9V3H8ZF6Y72LQBBN639YAA" localSheetId="19" hidden="1">#REF!</definedName>
    <definedName name="BExVUL9V3H8ZF6Y72LQBBN639YAA" hidden="1">#REF!</definedName>
    <definedName name="BExVUZT95UAU8XG5X9XSE25CHQGA" localSheetId="8" hidden="1">#REF!</definedName>
    <definedName name="BExVUZT95UAU8XG5X9XSE25CHQGA" localSheetId="19" hidden="1">#REF!</definedName>
    <definedName name="BExVUZT95UAU8XG5X9XSE25CHQGA" hidden="1">#REF!</definedName>
    <definedName name="BExVV5T14N2HZIK7HQ4P2KG09U0J" localSheetId="8" hidden="1">#REF!</definedName>
    <definedName name="BExVV5T14N2HZIK7HQ4P2KG09U0J" localSheetId="19" hidden="1">#REF!</definedName>
    <definedName name="BExVV5T14N2HZIK7HQ4P2KG09U0J" hidden="1">#REF!</definedName>
    <definedName name="BExVV7R410VYLADLX9LNG63ID6H1" localSheetId="8" hidden="1">#REF!</definedName>
    <definedName name="BExVV7R410VYLADLX9LNG63ID6H1" localSheetId="19" hidden="1">#REF!</definedName>
    <definedName name="BExVV7R410VYLADLX9LNG63ID6H1" hidden="1">#REF!</definedName>
    <definedName name="BExVVAAVDXGWAVI6J2W0BCU58MBM" localSheetId="8" hidden="1">#REF!</definedName>
    <definedName name="BExVVAAVDXGWAVI6J2W0BCU58MBM" localSheetId="19" hidden="1">#REF!</definedName>
    <definedName name="BExVVAAVDXGWAVI6J2W0BCU58MBM" hidden="1">#REF!</definedName>
    <definedName name="BExVVCEED4JEKF59OV0G3T4XFMFO" localSheetId="8" hidden="1">#REF!</definedName>
    <definedName name="BExVVCEED4JEKF59OV0G3T4XFMFO" localSheetId="19" hidden="1">#REF!</definedName>
    <definedName name="BExVVCEED4JEKF59OV0G3T4XFMFO" hidden="1">#REF!</definedName>
    <definedName name="BExVVPFO2J7FMSRPD36909HN4BZJ" localSheetId="8" hidden="1">#REF!</definedName>
    <definedName name="BExVVPFO2J7FMSRPD36909HN4BZJ" localSheetId="19" hidden="1">#REF!</definedName>
    <definedName name="BExVVPFO2J7FMSRPD36909HN4BZJ" hidden="1">#REF!</definedName>
    <definedName name="BExVVQ19AQ3VCARJOC38SF7OYE9Y" localSheetId="8" hidden="1">#REF!</definedName>
    <definedName name="BExVVQ19AQ3VCARJOC38SF7OYE9Y" localSheetId="19" hidden="1">#REF!</definedName>
    <definedName name="BExVVQ19AQ3VCARJOC38SF7OYE9Y" hidden="1">#REF!</definedName>
    <definedName name="BExVVQ19TAECID45CS4HXT1RD3AQ" localSheetId="8" hidden="1">#REF!</definedName>
    <definedName name="BExVVQ19TAECID45CS4HXT1RD3AQ" localSheetId="19" hidden="1">#REF!</definedName>
    <definedName name="BExVVQ19TAECID45CS4HXT1RD3AQ" hidden="1">#REF!</definedName>
    <definedName name="BExVVYKOYB7OX8Y0B4UIUF79PVDO" localSheetId="8" hidden="1">#REF!</definedName>
    <definedName name="BExVVYKOYB7OX8Y0B4UIUF79PVDO" localSheetId="19" hidden="1">#REF!</definedName>
    <definedName name="BExVVYKOYB7OX8Y0B4UIUF79PVDO" hidden="1">#REF!</definedName>
    <definedName name="BExVW3YV5XGIVJ97UUPDJGJ2P15B" localSheetId="8" hidden="1">#REF!</definedName>
    <definedName name="BExVW3YV5XGIVJ97UUPDJGJ2P15B" localSheetId="19" hidden="1">#REF!</definedName>
    <definedName name="BExVW3YV5XGIVJ97UUPDJGJ2P15B" hidden="1">#REF!</definedName>
    <definedName name="BExVW5X571GEYR5SCU1Z2DHKWM79" localSheetId="8" hidden="1">#REF!</definedName>
    <definedName name="BExVW5X571GEYR5SCU1Z2DHKWM79" localSheetId="19" hidden="1">#REF!</definedName>
    <definedName name="BExVW5X571GEYR5SCU1Z2DHKWM79" hidden="1">#REF!</definedName>
    <definedName name="BExVW6YTKA098AF57M4PHNQ54XMH" localSheetId="8" hidden="1">#REF!</definedName>
    <definedName name="BExVW6YTKA098AF57M4PHNQ54XMH" localSheetId="19" hidden="1">#REF!</definedName>
    <definedName name="BExVW6YTKA098AF57M4PHNQ54XMH" hidden="1">#REF!</definedName>
    <definedName name="BExVWHRDIJBRFANMKJFY05BHP7RS" localSheetId="8" hidden="1">#REF!</definedName>
    <definedName name="BExVWHRDIJBRFANMKJFY05BHP7RS" localSheetId="19" hidden="1">#REF!</definedName>
    <definedName name="BExVWHRDIJBRFANMKJFY05BHP7RS" hidden="1">#REF!</definedName>
    <definedName name="BExVWINKCH0V0NUWH363SMXAZE62" localSheetId="8" hidden="1">#REF!</definedName>
    <definedName name="BExVWINKCH0V0NUWH363SMXAZE62" localSheetId="19" hidden="1">#REF!</definedName>
    <definedName name="BExVWINKCH0V0NUWH363SMXAZE62" hidden="1">#REF!</definedName>
    <definedName name="BExVWYU8EK669NP172GEIGCTVPPA" localSheetId="8" hidden="1">#REF!</definedName>
    <definedName name="BExVWYU8EK669NP172GEIGCTVPPA" localSheetId="19" hidden="1">#REF!</definedName>
    <definedName name="BExVWYU8EK669NP172GEIGCTVPPA" hidden="1">#REF!</definedName>
    <definedName name="BExVX3XN2DRJKL8EDBIG58RYQ36R" localSheetId="8" hidden="1">#REF!</definedName>
    <definedName name="BExVX3XN2DRJKL8EDBIG58RYQ36R" localSheetId="19" hidden="1">#REF!</definedName>
    <definedName name="BExVX3XN2DRJKL8EDBIG58RYQ36R" hidden="1">#REF!</definedName>
    <definedName name="BExVXBA38Z5WNQUH39HHZ2SAMC1T" localSheetId="8" hidden="1">#REF!</definedName>
    <definedName name="BExVXBA38Z5WNQUH39HHZ2SAMC1T" localSheetId="19" hidden="1">#REF!</definedName>
    <definedName name="BExVXBA38Z5WNQUH39HHZ2SAMC1T" hidden="1">#REF!</definedName>
    <definedName name="BExVXDZ63PUART77BBR5SI63TPC6" localSheetId="8" hidden="1">#REF!</definedName>
    <definedName name="BExVXDZ63PUART77BBR5SI63TPC6" localSheetId="19" hidden="1">#REF!</definedName>
    <definedName name="BExVXDZ63PUART77BBR5SI63TPC6" hidden="1">#REF!</definedName>
    <definedName name="BExVXHKI6LFYMGWISMPACMO247HL" localSheetId="8" hidden="1">#REF!</definedName>
    <definedName name="BExVXHKI6LFYMGWISMPACMO247HL" localSheetId="19" hidden="1">#REF!</definedName>
    <definedName name="BExVXHKI6LFYMGWISMPACMO247HL" hidden="1">#REF!</definedName>
    <definedName name="BExVXK9SK580O7MYHVNJ3V911ALP" localSheetId="8" hidden="1">#REF!</definedName>
    <definedName name="BExVXK9SK580O7MYHVNJ3V911ALP" localSheetId="19" hidden="1">#REF!</definedName>
    <definedName name="BExVXK9SK580O7MYHVNJ3V911ALP" hidden="1">#REF!</definedName>
    <definedName name="BExVXLX2BZ5EF2X6R41BTKRJR1NM" localSheetId="8" hidden="1">#REF!</definedName>
    <definedName name="BExVXLX2BZ5EF2X6R41BTKRJR1NM" localSheetId="19" hidden="1">#REF!</definedName>
    <definedName name="BExVXLX2BZ5EF2X6R41BTKRJR1NM" hidden="1">#REF!</definedName>
    <definedName name="BExVXYT01U5IPYA7E44FWS6KCEFC" localSheetId="8" hidden="1">#REF!</definedName>
    <definedName name="BExVXYT01U5IPYA7E44FWS6KCEFC" localSheetId="19" hidden="1">#REF!</definedName>
    <definedName name="BExVXYT01U5IPYA7E44FWS6KCEFC" hidden="1">#REF!</definedName>
    <definedName name="BExVY11V7U1SAY4QKYE0PBSPD7LW" localSheetId="8" hidden="1">#REF!</definedName>
    <definedName name="BExVY11V7U1SAY4QKYE0PBSPD7LW" localSheetId="19" hidden="1">#REF!</definedName>
    <definedName name="BExVY11V7U1SAY4QKYE0PBSPD7LW" hidden="1">#REF!</definedName>
    <definedName name="BExVY1SV37DL5YU59HS4IG3VBCP4" localSheetId="8" hidden="1">#REF!</definedName>
    <definedName name="BExVY1SV37DL5YU59HS4IG3VBCP4" localSheetId="19" hidden="1">#REF!</definedName>
    <definedName name="BExVY1SV37DL5YU59HS4IG3VBCP4" hidden="1">#REF!</definedName>
    <definedName name="BExVY3WFGJKSQA08UF9NCMST928Y" localSheetId="8" hidden="1">#REF!</definedName>
    <definedName name="BExVY3WFGJKSQA08UF9NCMST928Y" localSheetId="19" hidden="1">#REF!</definedName>
    <definedName name="BExVY3WFGJKSQA08UF9NCMST928Y" hidden="1">#REF!</definedName>
    <definedName name="BExVY954UOEVQEIC5OFO4NEWVKAQ" localSheetId="8" hidden="1">#REF!</definedName>
    <definedName name="BExVY954UOEVQEIC5OFO4NEWVKAQ" localSheetId="19" hidden="1">#REF!</definedName>
    <definedName name="BExVY954UOEVQEIC5OFO4NEWVKAQ" hidden="1">#REF!</definedName>
    <definedName name="BExVYHDYIV5397LC02V4FEP8VD6W" localSheetId="8" hidden="1">#REF!</definedName>
    <definedName name="BExVYHDYIV5397LC02V4FEP8VD6W" localSheetId="19" hidden="1">#REF!</definedName>
    <definedName name="BExVYHDYIV5397LC02V4FEP8VD6W" hidden="1">#REF!</definedName>
    <definedName name="BExVYO4NFDGC4ZOGHANQWX5CH4BT" localSheetId="8" hidden="1">#REF!</definedName>
    <definedName name="BExVYO4NFDGC4ZOGHANQWX5CH4BT" localSheetId="19" hidden="1">#REF!</definedName>
    <definedName name="BExVYO4NFDGC4ZOGHANQWX5CH4BT" hidden="1">#REF!</definedName>
    <definedName name="BExVYOVIZDA18YIQ0A30Q052PCAK" localSheetId="8" hidden="1">#REF!</definedName>
    <definedName name="BExVYOVIZDA18YIQ0A30Q052PCAK" localSheetId="19" hidden="1">#REF!</definedName>
    <definedName name="BExVYOVIZDA18YIQ0A30Q052PCAK" hidden="1">#REF!</definedName>
    <definedName name="BExVYPS2R6B75R1EFIUJ6G5TE4Q4" localSheetId="8" hidden="1">#REF!</definedName>
    <definedName name="BExVYPS2R6B75R1EFIUJ6G5TE4Q4" localSheetId="19" hidden="1">#REF!</definedName>
    <definedName name="BExVYPS2R6B75R1EFIUJ6G5TE4Q4" hidden="1">#REF!</definedName>
    <definedName name="BExVYQIXPEM6J4JVP78BRHIC05PV" localSheetId="8" hidden="1">#REF!</definedName>
    <definedName name="BExVYQIXPEM6J4JVP78BRHIC05PV" localSheetId="19" hidden="1">#REF!</definedName>
    <definedName name="BExVYQIXPEM6J4JVP78BRHIC05PV" hidden="1">#REF!</definedName>
    <definedName name="BExVYVGWN7SONLVDH9WJ2F1JS264" localSheetId="8" hidden="1">#REF!</definedName>
    <definedName name="BExVYVGWN7SONLVDH9WJ2F1JS264" localSheetId="19" hidden="1">#REF!</definedName>
    <definedName name="BExVYVGWN7SONLVDH9WJ2F1JS264" hidden="1">#REF!</definedName>
    <definedName name="BExVZ40HNAZRM8JHYYNQ7F6A4GU0" localSheetId="8" hidden="1">#REF!</definedName>
    <definedName name="BExVZ40HNAZRM8JHYYNQ7F6A4GU0" localSheetId="19" hidden="1">#REF!</definedName>
    <definedName name="BExVZ40HNAZRM8JHYYNQ7F6A4GU0" hidden="1">#REF!</definedName>
    <definedName name="BExVZ7WRO17PYILJEJGPQCO5IL66" localSheetId="8" hidden="1">#REF!</definedName>
    <definedName name="BExVZ7WRO17PYILJEJGPQCO5IL66" localSheetId="19" hidden="1">#REF!</definedName>
    <definedName name="BExVZ7WRO17PYILJEJGPQCO5IL66" hidden="1">#REF!</definedName>
    <definedName name="BExVZ9EO732IK6MNMG17Y1EFTJQC" localSheetId="8" hidden="1">#REF!</definedName>
    <definedName name="BExVZ9EO732IK6MNMG17Y1EFTJQC" localSheetId="19" hidden="1">#REF!</definedName>
    <definedName name="BExVZ9EO732IK6MNMG17Y1EFTJQC" hidden="1">#REF!</definedName>
    <definedName name="BExVZB1Y5J4UL2LKK0363EU7GIJ1" localSheetId="8" hidden="1">#REF!</definedName>
    <definedName name="BExVZB1Y5J4UL2LKK0363EU7GIJ1" localSheetId="19" hidden="1">#REF!</definedName>
    <definedName name="BExVZB1Y5J4UL2LKK0363EU7GIJ1" hidden="1">#REF!</definedName>
    <definedName name="BExVZGQXYK2ICC9JSNFPRHBD5KNU" localSheetId="8" hidden="1">#REF!</definedName>
    <definedName name="BExVZGQXYK2ICC9JSNFPRHBD5KNU" localSheetId="19" hidden="1">#REF!</definedName>
    <definedName name="BExVZGQXYK2ICC9JSNFPRHBD5KNU" hidden="1">#REF!</definedName>
    <definedName name="BExVZJQVO5LQ0BJH5JEN5NOBIAF6" localSheetId="8" hidden="1">#REF!</definedName>
    <definedName name="BExVZJQVO5LQ0BJH5JEN5NOBIAF6" localSheetId="19" hidden="1">#REF!</definedName>
    <definedName name="BExVZJQVO5LQ0BJH5JEN5NOBIAF6" hidden="1">#REF!</definedName>
    <definedName name="BExVZNXWS91RD7NXV5NE2R3C8WW7" localSheetId="8" hidden="1">#REF!</definedName>
    <definedName name="BExVZNXWS91RD7NXV5NE2R3C8WW7" localSheetId="19" hidden="1">#REF!</definedName>
    <definedName name="BExVZNXWS91RD7NXV5NE2R3C8WW7" hidden="1">#REF!</definedName>
    <definedName name="BExW008AGT1ZRN5DFG4YOH5F7G47" localSheetId="8" hidden="1">#REF!</definedName>
    <definedName name="BExW008AGT1ZRN5DFG4YOH5F7G47" localSheetId="19" hidden="1">#REF!</definedName>
    <definedName name="BExW008AGT1ZRN5DFG4YOH5F7G47" hidden="1">#REF!</definedName>
    <definedName name="BExW0386REQRCQCVT9BCX80UPTRY" localSheetId="8" hidden="1">#REF!</definedName>
    <definedName name="BExW0386REQRCQCVT9BCX80UPTRY" localSheetId="19" hidden="1">#REF!</definedName>
    <definedName name="BExW0386REQRCQCVT9BCX80UPTRY" hidden="1">#REF!</definedName>
    <definedName name="BExW0FYP4WXY71CYUG40SUBG9UWU" localSheetId="8" hidden="1">#REF!</definedName>
    <definedName name="BExW0FYP4WXY71CYUG40SUBG9UWU" localSheetId="19" hidden="1">#REF!</definedName>
    <definedName name="BExW0FYP4WXY71CYUG40SUBG9UWU" hidden="1">#REF!</definedName>
    <definedName name="BExW0MPJNQOJ7D6U780WU5XBL97X" localSheetId="8" hidden="1">#REF!</definedName>
    <definedName name="BExW0MPJNQOJ7D6U780WU5XBL97X" localSheetId="19" hidden="1">#REF!</definedName>
    <definedName name="BExW0MPJNQOJ7D6U780WU5XBL97X" hidden="1">#REF!</definedName>
    <definedName name="BExW0RI61B4VV0ARXTFVBAWRA1C5" localSheetId="8" hidden="1">#REF!</definedName>
    <definedName name="BExW0RI61B4VV0ARXTFVBAWRA1C5" localSheetId="19" hidden="1">#REF!</definedName>
    <definedName name="BExW0RI61B4VV0ARXTFVBAWRA1C5" hidden="1">#REF!</definedName>
    <definedName name="BExW0Y8T85LBE0WS6FPX6ILTX9ON" localSheetId="8" hidden="1">#REF!</definedName>
    <definedName name="BExW0Y8T85LBE0WS6FPX6ILTX9ON" localSheetId="19" hidden="1">#REF!</definedName>
    <definedName name="BExW0Y8T85LBE0WS6FPX6ILTX9ON" hidden="1">#REF!</definedName>
    <definedName name="BExW1BVUYQTKMOR56MW7RVRX4L1L" localSheetId="8" hidden="1">#REF!</definedName>
    <definedName name="BExW1BVUYQTKMOR56MW7RVRX4L1L" localSheetId="19" hidden="1">#REF!</definedName>
    <definedName name="BExW1BVUYQTKMOR56MW7RVRX4L1L" hidden="1">#REF!</definedName>
    <definedName name="BExW1F1220628FOMTW5UAATHRJHK" localSheetId="8" hidden="1">#REF!</definedName>
    <definedName name="BExW1F1220628FOMTW5UAATHRJHK" localSheetId="19" hidden="1">#REF!</definedName>
    <definedName name="BExW1F1220628FOMTW5UAATHRJHK" hidden="1">#REF!</definedName>
    <definedName name="BExW1PTHB0NZUF0GTD2J1UUL693E" localSheetId="8" hidden="1">#REF!</definedName>
    <definedName name="BExW1PTHB0NZUF0GTD2J1UUL693E" localSheetId="19" hidden="1">#REF!</definedName>
    <definedName name="BExW1PTHB0NZUF0GTD2J1UUL693E" hidden="1">#REF!</definedName>
    <definedName name="BExW1TKA0Z9OP2DTG50GZR5EG8C7" localSheetId="8" hidden="1">#REF!</definedName>
    <definedName name="BExW1TKA0Z9OP2DTG50GZR5EG8C7" localSheetId="19" hidden="1">#REF!</definedName>
    <definedName name="BExW1TKA0Z9OP2DTG50GZR5EG8C7" hidden="1">#REF!</definedName>
    <definedName name="BExW1U0JLKQ094DW5MMOI8UHO09V" localSheetId="8" hidden="1">#REF!</definedName>
    <definedName name="BExW1U0JLKQ094DW5MMOI8UHO09V" localSheetId="19" hidden="1">#REF!</definedName>
    <definedName name="BExW1U0JLKQ094DW5MMOI8UHO09V" hidden="1">#REF!</definedName>
    <definedName name="BExW1VNZHNB5P9V6232N0DQCE0WE" localSheetId="8" hidden="1">#REF!</definedName>
    <definedName name="BExW1VNZHNB5P9V6232N0DQCE0WE" localSheetId="19" hidden="1">#REF!</definedName>
    <definedName name="BExW1VNZHNB5P9V6232N0DQCE0WE" hidden="1">#REF!</definedName>
    <definedName name="BExW1WK6J1TDP29S3QDPTYZJBLIW" localSheetId="8" hidden="1">#REF!</definedName>
    <definedName name="BExW1WK6J1TDP29S3QDPTYZJBLIW" localSheetId="19" hidden="1">#REF!</definedName>
    <definedName name="BExW1WK6J1TDP29S3QDPTYZJBLIW" hidden="1">#REF!</definedName>
    <definedName name="BExW283NP9D366XFPXLGSCI5UB0L" localSheetId="8" hidden="1">#REF!</definedName>
    <definedName name="BExW283NP9D366XFPXLGSCI5UB0L" localSheetId="19" hidden="1">#REF!</definedName>
    <definedName name="BExW283NP9D366XFPXLGSCI5UB0L" hidden="1">#REF!</definedName>
    <definedName name="BExW2H3C8WJSBW5FGTFKVDVJC4CL" localSheetId="8" hidden="1">#REF!</definedName>
    <definedName name="BExW2H3C8WJSBW5FGTFKVDVJC4CL" localSheetId="19" hidden="1">#REF!</definedName>
    <definedName name="BExW2H3C8WJSBW5FGTFKVDVJC4CL" hidden="1">#REF!</definedName>
    <definedName name="BExW2MSCKPGF5K3I7TL4KF5ISUOL" localSheetId="8" hidden="1">#REF!</definedName>
    <definedName name="BExW2MSCKPGF5K3I7TL4KF5ISUOL" localSheetId="19" hidden="1">#REF!</definedName>
    <definedName name="BExW2MSCKPGF5K3I7TL4KF5ISUOL" hidden="1">#REF!</definedName>
    <definedName name="BExW2SMO90FU9W8DVVES6Q4E6BZR" localSheetId="8" hidden="1">#REF!</definedName>
    <definedName name="BExW2SMO90FU9W8DVVES6Q4E6BZR" localSheetId="19" hidden="1">#REF!</definedName>
    <definedName name="BExW2SMO90FU9W8DVVES6Q4E6BZR" hidden="1">#REF!</definedName>
    <definedName name="BExW36V9N91OHCUMGWJQL3I5P4JK" localSheetId="8" hidden="1">#REF!</definedName>
    <definedName name="BExW36V9N91OHCUMGWJQL3I5P4JK" localSheetId="19" hidden="1">#REF!</definedName>
    <definedName name="BExW36V9N91OHCUMGWJQL3I5P4JK" hidden="1">#REF!</definedName>
    <definedName name="BExW39V04HTFFQE7DAW9MAJT0NNF" localSheetId="8" hidden="1">#REF!</definedName>
    <definedName name="BExW39V04HTFFQE7DAW9MAJT0NNF" localSheetId="19" hidden="1">#REF!</definedName>
    <definedName name="BExW39V04HTFFQE7DAW9MAJT0NNF" hidden="1">#REF!</definedName>
    <definedName name="BExW3ECU6QPMV99AITCPHAG0CGYK" localSheetId="8" hidden="1">#REF!</definedName>
    <definedName name="BExW3ECU6QPMV99AITCPHAG0CGYK" localSheetId="19" hidden="1">#REF!</definedName>
    <definedName name="BExW3ECU6QPMV99AITCPHAG0CGYK" hidden="1">#REF!</definedName>
    <definedName name="BExW3EIBA1J9Q9NA9VCGZGRS8WV7" localSheetId="8" hidden="1">#REF!</definedName>
    <definedName name="BExW3EIBA1J9Q9NA9VCGZGRS8WV7" localSheetId="19" hidden="1">#REF!</definedName>
    <definedName name="BExW3EIBA1J9Q9NA9VCGZGRS8WV7" hidden="1">#REF!</definedName>
    <definedName name="BExW3FEO8FI8N6AGQKYEG4SQVJWB" localSheetId="8" hidden="1">#REF!</definedName>
    <definedName name="BExW3FEO8FI8N6AGQKYEG4SQVJWB" localSheetId="19" hidden="1">#REF!</definedName>
    <definedName name="BExW3FEO8FI8N6AGQKYEG4SQVJWB" hidden="1">#REF!</definedName>
    <definedName name="BExW3GB28STOMJUSZEIA7YKYNS4Y" localSheetId="8" hidden="1">#REF!</definedName>
    <definedName name="BExW3GB28STOMJUSZEIA7YKYNS4Y" localSheetId="19" hidden="1">#REF!</definedName>
    <definedName name="BExW3GB28STOMJUSZEIA7YKYNS4Y" hidden="1">#REF!</definedName>
    <definedName name="BExW3T1K638HT5E0Y8MMK108P5JT" localSheetId="8" hidden="1">#REF!</definedName>
    <definedName name="BExW3T1K638HT5E0Y8MMK108P5JT" localSheetId="19" hidden="1">#REF!</definedName>
    <definedName name="BExW3T1K638HT5E0Y8MMK108P5JT" hidden="1">#REF!</definedName>
    <definedName name="BExW3U3D6FTAFTK3Q7DSA9FY454Q" localSheetId="8" hidden="1">#REF!</definedName>
    <definedName name="BExW3U3D6FTAFTK3Q7DSA9FY454Q" localSheetId="19" hidden="1">#REF!</definedName>
    <definedName name="BExW3U3D6FTAFTK3Q7DSA9FY454Q" hidden="1">#REF!</definedName>
    <definedName name="BExW4217ZHL9VO39POSTJOD090WU" localSheetId="8" hidden="1">#REF!</definedName>
    <definedName name="BExW4217ZHL9VO39POSTJOD090WU" localSheetId="19" hidden="1">#REF!</definedName>
    <definedName name="BExW4217ZHL9VO39POSTJOD090WU" hidden="1">#REF!</definedName>
    <definedName name="BExW4GPW71EBF8XPS2QGVQHBCDX3" localSheetId="8" hidden="1">#REF!</definedName>
    <definedName name="BExW4GPW71EBF8XPS2QGVQHBCDX3" localSheetId="19" hidden="1">#REF!</definedName>
    <definedName name="BExW4GPW71EBF8XPS2QGVQHBCDX3" hidden="1">#REF!</definedName>
    <definedName name="BExW4JKC5837JBPCOJV337ZVYYY3" localSheetId="8" hidden="1">#REF!</definedName>
    <definedName name="BExW4JKC5837JBPCOJV337ZVYYY3" localSheetId="19" hidden="1">#REF!</definedName>
    <definedName name="BExW4JKC5837JBPCOJV337ZVYYY3" hidden="1">#REF!</definedName>
    <definedName name="BExW4O2DBZGV8KGBO9EB4BAXIH4Y" localSheetId="8" hidden="1">#REF!</definedName>
    <definedName name="BExW4O2DBZGV8KGBO9EB4BAXIH4Y" localSheetId="19" hidden="1">#REF!</definedName>
    <definedName name="BExW4O2DBZGV8KGBO9EB4BAXIH4Y" hidden="1">#REF!</definedName>
    <definedName name="BExW4QR9FV9MP5K610THBSM51RYO" localSheetId="8" hidden="1">#REF!</definedName>
    <definedName name="BExW4QR9FV9MP5K610THBSM51RYO" localSheetId="19" hidden="1">#REF!</definedName>
    <definedName name="BExW4QR9FV9MP5K610THBSM51RYO" hidden="1">#REF!</definedName>
    <definedName name="BExW4Z029R9E19ZENN3WEA3VDAD1" localSheetId="8" hidden="1">#REF!</definedName>
    <definedName name="BExW4Z029R9E19ZENN3WEA3VDAD1" localSheetId="19" hidden="1">#REF!</definedName>
    <definedName name="BExW4Z029R9E19ZENN3WEA3VDAD1" hidden="1">#REF!</definedName>
    <definedName name="BExW53SPLW3K0Y0ZVTM4NYF1B2YH" localSheetId="8" hidden="1">#REF!</definedName>
    <definedName name="BExW53SPLW3K0Y0ZVTM4NYF1B2YH" localSheetId="19" hidden="1">#REF!</definedName>
    <definedName name="BExW53SPLW3K0Y0ZVTM4NYF1B2YH" hidden="1">#REF!</definedName>
    <definedName name="BExW591F7X34FVKJ2OUT09PFUW1B" localSheetId="8" hidden="1">#REF!</definedName>
    <definedName name="BExW591F7X34FVKJ2OUT09PFUW1B" localSheetId="19" hidden="1">#REF!</definedName>
    <definedName name="BExW591F7X34FVKJ2OUT09PFUW1B" hidden="1">#REF!</definedName>
    <definedName name="BExW5AZNT6IAZGNF2C879ODHY1B8" localSheetId="8" hidden="1">#REF!</definedName>
    <definedName name="BExW5AZNT6IAZGNF2C879ODHY1B8" localSheetId="19" hidden="1">#REF!</definedName>
    <definedName name="BExW5AZNT6IAZGNF2C879ODHY1B8" hidden="1">#REF!</definedName>
    <definedName name="BExW5F6OUXHEWQU5VYE7W7P8DD78" localSheetId="8" hidden="1">#REF!</definedName>
    <definedName name="BExW5F6OUXHEWQU5VYE7W7P8DD78" localSheetId="19" hidden="1">#REF!</definedName>
    <definedName name="BExW5F6OUXHEWQU5VYE7W7P8DD78" hidden="1">#REF!</definedName>
    <definedName name="BExW5WPU27WD4NWZOT0ZEJIDLX5J" localSheetId="8" hidden="1">#REF!</definedName>
    <definedName name="BExW5WPU27WD4NWZOT0ZEJIDLX5J" localSheetId="19" hidden="1">#REF!</definedName>
    <definedName name="BExW5WPU27WD4NWZOT0ZEJIDLX5J" hidden="1">#REF!</definedName>
    <definedName name="BExW5YD97EMSUYC4KDEFH1FB4FY3" localSheetId="8" hidden="1">#REF!</definedName>
    <definedName name="BExW5YD97EMSUYC4KDEFH1FB4FY3" localSheetId="19" hidden="1">#REF!</definedName>
    <definedName name="BExW5YD97EMSUYC4KDEFH1FB4FY3" hidden="1">#REF!</definedName>
    <definedName name="BExW5Z469DSRWTA6T0KVLA7SMIPL" localSheetId="8" hidden="1">#REF!</definedName>
    <definedName name="BExW5Z469DSRWTA6T0KVLA7SMIPL" localSheetId="19" hidden="1">#REF!</definedName>
    <definedName name="BExW5Z469DSRWTA6T0KVLA7SMIPL" hidden="1">#REF!</definedName>
    <definedName name="BExW62ETJAPBX5X53FTGUCHZXI2K" localSheetId="8" hidden="1">#REF!</definedName>
    <definedName name="BExW62ETJAPBX5X53FTGUCHZXI2K" localSheetId="19" hidden="1">#REF!</definedName>
    <definedName name="BExW62ETJAPBX5X53FTGUCHZXI2K" hidden="1">#REF!</definedName>
    <definedName name="BExW660AV1TUV2XNUPD65RZR3QOO" localSheetId="8" hidden="1">#REF!</definedName>
    <definedName name="BExW660AV1TUV2XNUPD65RZR3QOO" localSheetId="19" hidden="1">#REF!</definedName>
    <definedName name="BExW660AV1TUV2XNUPD65RZR3QOO" hidden="1">#REF!</definedName>
    <definedName name="BExW66LVVZK656PQY1257QMHP2AY" localSheetId="8" hidden="1">#REF!</definedName>
    <definedName name="BExW66LVVZK656PQY1257QMHP2AY" localSheetId="19" hidden="1">#REF!</definedName>
    <definedName name="BExW66LVVZK656PQY1257QMHP2AY" hidden="1">#REF!</definedName>
    <definedName name="BExW6EJPHAP1TWT380AZLXNHR22P" localSheetId="8" hidden="1">#REF!</definedName>
    <definedName name="BExW6EJPHAP1TWT380AZLXNHR22P" localSheetId="19" hidden="1">#REF!</definedName>
    <definedName name="BExW6EJPHAP1TWT380AZLXNHR22P" hidden="1">#REF!</definedName>
    <definedName name="BExW6G1PJ38H10DVLL8WPQ736OEB" localSheetId="8" hidden="1">#REF!</definedName>
    <definedName name="BExW6G1PJ38H10DVLL8WPQ736OEB" localSheetId="19" hidden="1">#REF!</definedName>
    <definedName name="BExW6G1PJ38H10DVLL8WPQ736OEB" hidden="1">#REF!</definedName>
    <definedName name="BExW794A74Z5F2K8LVQLD6VSKXUE" localSheetId="8" hidden="1">#REF!</definedName>
    <definedName name="BExW794A74Z5F2K8LVQLD6VSKXUE" localSheetId="19" hidden="1">#REF!</definedName>
    <definedName name="BExW794A74Z5F2K8LVQLD6VSKXUE" hidden="1">#REF!</definedName>
    <definedName name="BExW7Q1TQ8E6G4WYYNSOMV43S95R" localSheetId="8" hidden="1">#REF!</definedName>
    <definedName name="BExW7Q1TQ8E6G4WYYNSOMV43S95R" localSheetId="19" hidden="1">#REF!</definedName>
    <definedName name="BExW7Q1TQ8E6G4WYYNSOMV43S95R" hidden="1">#REF!</definedName>
    <definedName name="BExW7XZTFZV0N9YM9S4PM74A5X2O" localSheetId="8" hidden="1">#REF!</definedName>
    <definedName name="BExW7XZTFZV0N9YM9S4PM74A5X2O" localSheetId="19" hidden="1">#REF!</definedName>
    <definedName name="BExW7XZTFZV0N9YM9S4PM74A5X2O" hidden="1">#REF!</definedName>
    <definedName name="BExW8K0SSIPSKBVP06IJ71600HJZ" localSheetId="8" hidden="1">#REF!</definedName>
    <definedName name="BExW8K0SSIPSKBVP06IJ71600HJZ" localSheetId="19" hidden="1">#REF!</definedName>
    <definedName name="BExW8K0SSIPSKBVP06IJ71600HJZ" hidden="1">#REF!</definedName>
    <definedName name="BExW8T0GVY3ZYO4ACSBLHS8SH895" localSheetId="8" hidden="1">#REF!</definedName>
    <definedName name="BExW8T0GVY3ZYO4ACSBLHS8SH895" localSheetId="19" hidden="1">#REF!</definedName>
    <definedName name="BExW8T0GVY3ZYO4ACSBLHS8SH895" hidden="1">#REF!</definedName>
    <definedName name="BExW8YEP73JMMU9HZ08PM4WHJQZ4" localSheetId="8" hidden="1">#REF!</definedName>
    <definedName name="BExW8YEP73JMMU9HZ08PM4WHJQZ4" localSheetId="19" hidden="1">#REF!</definedName>
    <definedName name="BExW8YEP73JMMU9HZ08PM4WHJQZ4" hidden="1">#REF!</definedName>
    <definedName name="BExW937AT53OZQRHNWQZ5BVH24IE" localSheetId="8" hidden="1">#REF!</definedName>
    <definedName name="BExW937AT53OZQRHNWQZ5BVH24IE" localSheetId="19" hidden="1">#REF!</definedName>
    <definedName name="BExW937AT53OZQRHNWQZ5BVH24IE" hidden="1">#REF!</definedName>
    <definedName name="BExW95LN5N0LYFFVP7GJEGDVDLF0" localSheetId="8" hidden="1">#REF!</definedName>
    <definedName name="BExW95LN5N0LYFFVP7GJEGDVDLF0" localSheetId="19" hidden="1">#REF!</definedName>
    <definedName name="BExW95LN5N0LYFFVP7GJEGDVDLF0" hidden="1">#REF!</definedName>
    <definedName name="BExW967733Q8RAJOHR2GJ3HO8JIW" localSheetId="8" hidden="1">#REF!</definedName>
    <definedName name="BExW967733Q8RAJOHR2GJ3HO8JIW" localSheetId="19" hidden="1">#REF!</definedName>
    <definedName name="BExW967733Q8RAJOHR2GJ3HO8JIW" hidden="1">#REF!</definedName>
    <definedName name="BExW9POK1KIOI0ALS5MZIKTDIYMA" localSheetId="8" hidden="1">#REF!</definedName>
    <definedName name="BExW9POK1KIOI0ALS5MZIKTDIYMA" localSheetId="19" hidden="1">#REF!</definedName>
    <definedName name="BExW9POK1KIOI0ALS5MZIKTDIYMA" hidden="1">#REF!</definedName>
    <definedName name="BExXLDE6PN4ESWT3LXJNQCY94NE4" localSheetId="8" hidden="1">#REF!</definedName>
    <definedName name="BExXLDE6PN4ESWT3LXJNQCY94NE4" localSheetId="19" hidden="1">#REF!</definedName>
    <definedName name="BExXLDE6PN4ESWT3LXJNQCY94NE4" hidden="1">#REF!</definedName>
    <definedName name="BExXLQVPK2H3IF0NDDA5CT612EUK" localSheetId="8" hidden="1">#REF!</definedName>
    <definedName name="BExXLQVPK2H3IF0NDDA5CT612EUK" localSheetId="19" hidden="1">#REF!</definedName>
    <definedName name="BExXLQVPK2H3IF0NDDA5CT612EUK" hidden="1">#REF!</definedName>
    <definedName name="BExXLR6IO70TYTACKQH9M5PGV24J" localSheetId="8" hidden="1">#REF!</definedName>
    <definedName name="BExXLR6IO70TYTACKQH9M5PGV24J" localSheetId="19" hidden="1">#REF!</definedName>
    <definedName name="BExXLR6IO70TYTACKQH9M5PGV24J" hidden="1">#REF!</definedName>
    <definedName name="BExXM065WOLYRYHGHOJE0OOFXA4M" localSheetId="8" hidden="1">#REF!</definedName>
    <definedName name="BExXM065WOLYRYHGHOJE0OOFXA4M" localSheetId="19" hidden="1">#REF!</definedName>
    <definedName name="BExXM065WOLYRYHGHOJE0OOFXA4M" hidden="1">#REF!</definedName>
    <definedName name="BExXM3GUNXVDM82KUR17NNUMQCNI" localSheetId="8" hidden="1">#REF!</definedName>
    <definedName name="BExXM3GUNXVDM82KUR17NNUMQCNI" localSheetId="19" hidden="1">#REF!</definedName>
    <definedName name="BExXM3GUNXVDM82KUR17NNUMQCNI" hidden="1">#REF!</definedName>
    <definedName name="BExXMA28M8SH7MKIGETSDA72WUIZ" localSheetId="8" hidden="1">#REF!</definedName>
    <definedName name="BExXMA28M8SH7MKIGETSDA72WUIZ" localSheetId="19" hidden="1">#REF!</definedName>
    <definedName name="BExXMA28M8SH7MKIGETSDA72WUIZ" hidden="1">#REF!</definedName>
    <definedName name="BExXMOLHIAHDLFSA31PUB36SC3I9" localSheetId="8" hidden="1">#REF!</definedName>
    <definedName name="BExXMOLHIAHDLFSA31PUB36SC3I9" localSheetId="19" hidden="1">#REF!</definedName>
    <definedName name="BExXMOLHIAHDLFSA31PUB36SC3I9" hidden="1">#REF!</definedName>
    <definedName name="BExXMT8T5Z3M2JBQN65X2LKH0YQI" localSheetId="8" hidden="1">#REF!</definedName>
    <definedName name="BExXMT8T5Z3M2JBQN65X2LKH0YQI" localSheetId="19" hidden="1">#REF!</definedName>
    <definedName name="BExXMT8T5Z3M2JBQN65X2LKH0YQI" hidden="1">#REF!</definedName>
    <definedName name="BExXN1XNO7H60M9X1E7EVWFJDM5N" localSheetId="8" hidden="1">#REF!</definedName>
    <definedName name="BExXN1XNO7H60M9X1E7EVWFJDM5N" localSheetId="19" hidden="1">#REF!</definedName>
    <definedName name="BExXN1XNO7H60M9X1E7EVWFJDM5N" hidden="1">#REF!</definedName>
    <definedName name="BExXN1XOOOY51EZQ6II0LWEU2OYT" localSheetId="8" hidden="1">#REF!</definedName>
    <definedName name="BExXN1XOOOY51EZQ6II0LWEU2OYT" localSheetId="19" hidden="1">#REF!</definedName>
    <definedName name="BExXN1XOOOY51EZQ6II0LWEU2OYT" hidden="1">#REF!</definedName>
    <definedName name="BExXN22ZOTIW49GPLWFYKVM90FNZ" localSheetId="8" hidden="1">#REF!</definedName>
    <definedName name="BExXN22ZOTIW49GPLWFYKVM90FNZ" localSheetId="19" hidden="1">#REF!</definedName>
    <definedName name="BExXN22ZOTIW49GPLWFYKVM90FNZ" hidden="1">#REF!</definedName>
    <definedName name="BExXN6QAP8UJQVN4R4BQKPP4QK35" localSheetId="8" hidden="1">#REF!</definedName>
    <definedName name="BExXN6QAP8UJQVN4R4BQKPP4QK35" localSheetId="19" hidden="1">#REF!</definedName>
    <definedName name="BExXN6QAP8UJQVN4R4BQKPP4QK35" hidden="1">#REF!</definedName>
    <definedName name="BExXNBOA39T2X6Y5Y5GZ5DDNA1AX" localSheetId="8" hidden="1">#REF!</definedName>
    <definedName name="BExXNBOA39T2X6Y5Y5GZ5DDNA1AX" localSheetId="19" hidden="1">#REF!</definedName>
    <definedName name="BExXNBOA39T2X6Y5Y5GZ5DDNA1AX" hidden="1">#REF!</definedName>
    <definedName name="BExXNBZ1BRDK73S9XPRR1645KLVB" localSheetId="8" hidden="1">#REF!</definedName>
    <definedName name="BExXNBZ1BRDK73S9XPRR1645KLVB" localSheetId="19" hidden="1">#REF!</definedName>
    <definedName name="BExXNBZ1BRDK73S9XPRR1645KLVB" hidden="1">#REF!</definedName>
    <definedName name="BExXND6872VJ3M2PGT056WQMWBHD" localSheetId="8" hidden="1">#REF!</definedName>
    <definedName name="BExXND6872VJ3M2PGT056WQMWBHD" localSheetId="19" hidden="1">#REF!</definedName>
    <definedName name="BExXND6872VJ3M2PGT056WQMWBHD" hidden="1">#REF!</definedName>
    <definedName name="BExXNPM24UN2PGVL9D1TUBFRIKR4" localSheetId="8" hidden="1">#REF!</definedName>
    <definedName name="BExXNPM24UN2PGVL9D1TUBFRIKR4" localSheetId="19" hidden="1">#REF!</definedName>
    <definedName name="BExXNPM24UN2PGVL9D1TUBFRIKR4" hidden="1">#REF!</definedName>
    <definedName name="BExXNWCR6WOY5G3VTC96QCIFQE0E" localSheetId="8" hidden="1">#REF!</definedName>
    <definedName name="BExXNWCR6WOY5G3VTC96QCIFQE0E" localSheetId="19" hidden="1">#REF!</definedName>
    <definedName name="BExXNWCR6WOY5G3VTC96QCIFQE0E" hidden="1">#REF!</definedName>
    <definedName name="BExXNWYB165VO9MHARCL5WLCHWS0" localSheetId="8" hidden="1">#REF!</definedName>
    <definedName name="BExXNWYB165VO9MHARCL5WLCHWS0" localSheetId="19" hidden="1">#REF!</definedName>
    <definedName name="BExXNWYB165VO9MHARCL5WLCHWS0" hidden="1">#REF!</definedName>
    <definedName name="BExXO278QHQN8JDK5425EJ615ECC" localSheetId="8" hidden="1">#REF!</definedName>
    <definedName name="BExXO278QHQN8JDK5425EJ615ECC" localSheetId="19" hidden="1">#REF!</definedName>
    <definedName name="BExXO278QHQN8JDK5425EJ615ECC" hidden="1">#REF!</definedName>
    <definedName name="BExXO4QVV7YZ6L5A7WZEMIA5AZOV" localSheetId="8" hidden="1">#REF!</definedName>
    <definedName name="BExXO4QVV7YZ6L5A7WZEMIA5AZOV" localSheetId="19" hidden="1">#REF!</definedName>
    <definedName name="BExXO4QVV7YZ6L5A7WZEMIA5AZOV" hidden="1">#REF!</definedName>
    <definedName name="BExXOBHOP0WGFHI2Y9AO4L440UVQ" localSheetId="8" hidden="1">#REF!</definedName>
    <definedName name="BExXOBHOP0WGFHI2Y9AO4L440UVQ" localSheetId="19" hidden="1">#REF!</definedName>
    <definedName name="BExXOBHOP0WGFHI2Y9AO4L440UVQ" hidden="1">#REF!</definedName>
    <definedName name="BExXOHHHX25B8F97636QMXFUDZQK" localSheetId="8" hidden="1">#REF!</definedName>
    <definedName name="BExXOHHHX25B8F97636QMXFUDZQK" localSheetId="19" hidden="1">#REF!</definedName>
    <definedName name="BExXOHHHX25B8F97636QMXFUDZQK" hidden="1">#REF!</definedName>
    <definedName name="BExXOHSAD2NSHOLLMZ2JWA4I3I1R" localSheetId="8" hidden="1">#REF!</definedName>
    <definedName name="BExXOHSAD2NSHOLLMZ2JWA4I3I1R" localSheetId="19" hidden="1">#REF!</definedName>
    <definedName name="BExXOHSAD2NSHOLLMZ2JWA4I3I1R" hidden="1">#REF!</definedName>
    <definedName name="BExXOJKWIJ6IFTV1RHIWHR91EZMW" localSheetId="8" hidden="1">#REF!</definedName>
    <definedName name="BExXOJKWIJ6IFTV1RHIWHR91EZMW" localSheetId="19" hidden="1">#REF!</definedName>
    <definedName name="BExXOJKWIJ6IFTV1RHIWHR91EZMW" hidden="1">#REF!</definedName>
    <definedName name="BExXP80B5FGA00JCM7UXKPI3PB7Y" localSheetId="8" hidden="1">#REF!</definedName>
    <definedName name="BExXP80B5FGA00JCM7UXKPI3PB7Y" localSheetId="19" hidden="1">#REF!</definedName>
    <definedName name="BExXP80B5FGA00JCM7UXKPI3PB7Y" hidden="1">#REF!</definedName>
    <definedName name="BExXP85M4WXYVN1UVHUTOEKEG5XS" localSheetId="8" hidden="1">#REF!</definedName>
    <definedName name="BExXP85M4WXYVN1UVHUTOEKEG5XS" localSheetId="19" hidden="1">#REF!</definedName>
    <definedName name="BExXP85M4WXYVN1UVHUTOEKEG5XS" hidden="1">#REF!</definedName>
    <definedName name="BExXPELOTHOAG0OWILLAH94OZV5J" localSheetId="8" hidden="1">#REF!</definedName>
    <definedName name="BExXPELOTHOAG0OWILLAH94OZV5J" localSheetId="19" hidden="1">#REF!</definedName>
    <definedName name="BExXPELOTHOAG0OWILLAH94OZV5J" hidden="1">#REF!</definedName>
    <definedName name="BExXPOSJRLJNYPU01QNNQ5URXP2U" localSheetId="8" hidden="1">#REF!</definedName>
    <definedName name="BExXPOSJRLJNYPU01QNNQ5URXP2U" localSheetId="19" hidden="1">#REF!</definedName>
    <definedName name="BExXPOSJRLJNYPU01QNNQ5URXP2U" hidden="1">#REF!</definedName>
    <definedName name="BExXPS31W1VD2NMIE4E37LHVDF0L" localSheetId="8" hidden="1">#REF!</definedName>
    <definedName name="BExXPS31W1VD2NMIE4E37LHVDF0L" localSheetId="19" hidden="1">#REF!</definedName>
    <definedName name="BExXPS31W1VD2NMIE4E37LHVDF0L" hidden="1">#REF!</definedName>
    <definedName name="BExXPZKYEMVF5JOC14HYOOYQK6JK" localSheetId="8" hidden="1">#REF!</definedName>
    <definedName name="BExXPZKYEMVF5JOC14HYOOYQK6JK" localSheetId="19" hidden="1">#REF!</definedName>
    <definedName name="BExXPZKYEMVF5JOC14HYOOYQK6JK" hidden="1">#REF!</definedName>
    <definedName name="BExXQ89PA10X79WBWOEP1AJX1OQM" localSheetId="8" hidden="1">#REF!</definedName>
    <definedName name="BExXQ89PA10X79WBWOEP1AJX1OQM" localSheetId="19" hidden="1">#REF!</definedName>
    <definedName name="BExXQ89PA10X79WBWOEP1AJX1OQM" hidden="1">#REF!</definedName>
    <definedName name="BExXQCGQGGYSI0LTRVR73MUO50AW" localSheetId="8" hidden="1">#REF!</definedName>
    <definedName name="BExXQCGQGGYSI0LTRVR73MUO50AW" localSheetId="19" hidden="1">#REF!</definedName>
    <definedName name="BExXQCGQGGYSI0LTRVR73MUO50AW" hidden="1">#REF!</definedName>
    <definedName name="BExXQEEXFHDQ8DSRAJSB5ET6J004" localSheetId="8" hidden="1">#REF!</definedName>
    <definedName name="BExXQEEXFHDQ8DSRAJSB5ET6J004" localSheetId="19" hidden="1">#REF!</definedName>
    <definedName name="BExXQEEXFHDQ8DSRAJSB5ET6J004" hidden="1">#REF!</definedName>
    <definedName name="BExXQH41O5HZAH8BO6HCFY8YC3TU" localSheetId="8" hidden="1">#REF!</definedName>
    <definedName name="BExXQH41O5HZAH8BO6HCFY8YC3TU" localSheetId="19" hidden="1">#REF!</definedName>
    <definedName name="BExXQH41O5HZAH8BO6HCFY8YC3TU" hidden="1">#REF!</definedName>
    <definedName name="BExXQJIEF5R3QQ6D8HO3NGPU0IQC" localSheetId="8" hidden="1">#REF!</definedName>
    <definedName name="BExXQJIEF5R3QQ6D8HO3NGPU0IQC" localSheetId="19" hidden="1">#REF!</definedName>
    <definedName name="BExXQJIEF5R3QQ6D8HO3NGPU0IQC" hidden="1">#REF!</definedName>
    <definedName name="BExXQRAVW0KPQXIJ59NG6UGTZB59" localSheetId="8" hidden="1">#REF!</definedName>
    <definedName name="BExXQRAVW0KPQXIJ59NG6UGTZB59" localSheetId="19" hidden="1">#REF!</definedName>
    <definedName name="BExXQRAVW0KPQXIJ59NG6UGTZB59" hidden="1">#REF!</definedName>
    <definedName name="BExXQU00K9ER4I1WM7T9J0W1E7ZC" localSheetId="8" hidden="1">#REF!</definedName>
    <definedName name="BExXQU00K9ER4I1WM7T9J0W1E7ZC" localSheetId="19" hidden="1">#REF!</definedName>
    <definedName name="BExXQU00K9ER4I1WM7T9J0W1E7ZC" hidden="1">#REF!</definedName>
    <definedName name="BExXQU00KOR7XLM8B13DGJ1MIQDY" localSheetId="8" hidden="1">#REF!</definedName>
    <definedName name="BExXQU00KOR7XLM8B13DGJ1MIQDY" localSheetId="19" hidden="1">#REF!</definedName>
    <definedName name="BExXQU00KOR7XLM8B13DGJ1MIQDY" hidden="1">#REF!</definedName>
    <definedName name="BExXQUG48Q1ISN53FE4MRROM0HSJ" localSheetId="8" hidden="1">#REF!</definedName>
    <definedName name="BExXQUG48Q1ISN53FE4MRROM0HSJ" localSheetId="19" hidden="1">#REF!</definedName>
    <definedName name="BExXQUG48Q1ISN53FE4MRROM0HSJ" hidden="1">#REF!</definedName>
    <definedName name="BExXQXG18PS8HGBOS03OSTQ0KEYC" localSheetId="8" hidden="1">#REF!</definedName>
    <definedName name="BExXQXG18PS8HGBOS03OSTQ0KEYC" localSheetId="19" hidden="1">#REF!</definedName>
    <definedName name="BExXQXG18PS8HGBOS03OSTQ0KEYC" hidden="1">#REF!</definedName>
    <definedName name="BExXQXQT4OAFQT5B0YB3USDJOJOB" localSheetId="8" hidden="1">#REF!</definedName>
    <definedName name="BExXQXQT4OAFQT5B0YB3USDJOJOB" localSheetId="19" hidden="1">#REF!</definedName>
    <definedName name="BExXQXQT4OAFQT5B0YB3USDJOJOB" hidden="1">#REF!</definedName>
    <definedName name="BExXR3FSEXAHSXEQNJORWFCPX86N" localSheetId="8" hidden="1">#REF!</definedName>
    <definedName name="BExXR3FSEXAHSXEQNJORWFCPX86N" localSheetId="19" hidden="1">#REF!</definedName>
    <definedName name="BExXR3FSEXAHSXEQNJORWFCPX86N" hidden="1">#REF!</definedName>
    <definedName name="BExXR3W3FKYQBLR299HO9RZ70C43" localSheetId="8" hidden="1">#REF!</definedName>
    <definedName name="BExXR3W3FKYQBLR299HO9RZ70C43" localSheetId="19" hidden="1">#REF!</definedName>
    <definedName name="BExXR3W3FKYQBLR299HO9RZ70C43" hidden="1">#REF!</definedName>
    <definedName name="BExXR46U23CRRBV6IZT982MAEQKI" localSheetId="8" hidden="1">#REF!</definedName>
    <definedName name="BExXR46U23CRRBV6IZT982MAEQKI" localSheetId="19" hidden="1">#REF!</definedName>
    <definedName name="BExXR46U23CRRBV6IZT982MAEQKI" hidden="1">#REF!</definedName>
    <definedName name="BExXR6A8W3ND3XDZXBMQZ1VCAXHG" localSheetId="8" hidden="1">#REF!</definedName>
    <definedName name="BExXR6A8W3ND3XDZXBMQZ1VCAXHG" localSheetId="19" hidden="1">#REF!</definedName>
    <definedName name="BExXR6A8W3ND3XDZXBMQZ1VCAXHG" hidden="1">#REF!</definedName>
    <definedName name="BExXR7HKNHT37B4OOA9K9191PP22" localSheetId="8" hidden="1">#REF!</definedName>
    <definedName name="BExXR7HKNHT37B4OOA9K9191PP22" localSheetId="19" hidden="1">#REF!</definedName>
    <definedName name="BExXR7HKNHT37B4OOA9K9191PP22" hidden="1">#REF!</definedName>
    <definedName name="BExXR8OKAVX7O70V5IYG2PRKXSTI" localSheetId="8" hidden="1">#REF!</definedName>
    <definedName name="BExXR8OKAVX7O70V5IYG2PRKXSTI" localSheetId="19" hidden="1">#REF!</definedName>
    <definedName name="BExXR8OKAVX7O70V5IYG2PRKXSTI" hidden="1">#REF!</definedName>
    <definedName name="BExXRA6N6XCLQM6XDV724ZIH6G93" localSheetId="8" hidden="1">#REF!</definedName>
    <definedName name="BExXRA6N6XCLQM6XDV724ZIH6G93" localSheetId="19" hidden="1">#REF!</definedName>
    <definedName name="BExXRA6N6XCLQM6XDV724ZIH6G93" hidden="1">#REF!</definedName>
    <definedName name="BExXRABZ1CNKCG6K1MR6OUFHF7J9" localSheetId="8" hidden="1">#REF!</definedName>
    <definedName name="BExXRABZ1CNKCG6K1MR6OUFHF7J9" localSheetId="19" hidden="1">#REF!</definedName>
    <definedName name="BExXRABZ1CNKCG6K1MR6OUFHF7J9" hidden="1">#REF!</definedName>
    <definedName name="BExXRBOFETC0OTJ6WY3VPMFH03VB" localSheetId="8" hidden="1">#REF!</definedName>
    <definedName name="BExXRBOFETC0OTJ6WY3VPMFH03VB" localSheetId="19" hidden="1">#REF!</definedName>
    <definedName name="BExXRBOFETC0OTJ6WY3VPMFH03VB" hidden="1">#REF!</definedName>
    <definedName name="BExXRD13K1S9Y3JGR7CXSONT7RJZ" localSheetId="8" hidden="1">#REF!</definedName>
    <definedName name="BExXRD13K1S9Y3JGR7CXSONT7RJZ" localSheetId="19" hidden="1">#REF!</definedName>
    <definedName name="BExXRD13K1S9Y3JGR7CXSONT7RJZ" hidden="1">#REF!</definedName>
    <definedName name="BExXRIFB4QQ87QIGA9AG0NXP577K" localSheetId="8" hidden="1">#REF!</definedName>
    <definedName name="BExXRIFB4QQ87QIGA9AG0NXP577K" localSheetId="19" hidden="1">#REF!</definedName>
    <definedName name="BExXRIFB4QQ87QIGA9AG0NXP577K" hidden="1">#REF!</definedName>
    <definedName name="BExXRIQ2JF2CVTRDQX2D9SPH7FTN" localSheetId="8" hidden="1">#REF!</definedName>
    <definedName name="BExXRIQ2JF2CVTRDQX2D9SPH7FTN" localSheetId="19" hidden="1">#REF!</definedName>
    <definedName name="BExXRIQ2JF2CVTRDQX2D9SPH7FTN" hidden="1">#REF!</definedName>
    <definedName name="BExXRO4A6VUH1F4XV8N1BRJ4896W" localSheetId="8" hidden="1">#REF!</definedName>
    <definedName name="BExXRO4A6VUH1F4XV8N1BRJ4896W" localSheetId="19" hidden="1">#REF!</definedName>
    <definedName name="BExXRO4A6VUH1F4XV8N1BRJ4896W" hidden="1">#REF!</definedName>
    <definedName name="BExXRO9N1SNJZGKD90P4K7FU1J0P" localSheetId="8" hidden="1">#REF!</definedName>
    <definedName name="BExXRO9N1SNJZGKD90P4K7FU1J0P" localSheetId="19" hidden="1">#REF!</definedName>
    <definedName name="BExXRO9N1SNJZGKD90P4K7FU1J0P" hidden="1">#REF!</definedName>
    <definedName name="BExXROF2MWDZ7IFXX27XOJ79Q86E" localSheetId="8" hidden="1">#REF!</definedName>
    <definedName name="BExXROF2MWDZ7IFXX27XOJ79Q86E" localSheetId="19" hidden="1">#REF!</definedName>
    <definedName name="BExXROF2MWDZ7IFXX27XOJ79Q86E" hidden="1">#REF!</definedName>
    <definedName name="BExXRV5QP3Z0KAQ1EQT9JYT2FV0L" localSheetId="8" hidden="1">#REF!</definedName>
    <definedName name="BExXRV5QP3Z0KAQ1EQT9JYT2FV0L" localSheetId="19" hidden="1">#REF!</definedName>
    <definedName name="BExXRV5QP3Z0KAQ1EQT9JYT2FV0L" hidden="1">#REF!</definedName>
    <definedName name="BExXRZ20LZZCW8LVGDK0XETOTSAI" localSheetId="8" hidden="1">#REF!</definedName>
    <definedName name="BExXRZ20LZZCW8LVGDK0XETOTSAI" localSheetId="19" hidden="1">#REF!</definedName>
    <definedName name="BExXRZ20LZZCW8LVGDK0XETOTSAI" hidden="1">#REF!</definedName>
    <definedName name="BExXS4R1GKUJQX6MHUIUN4S3SCAS" localSheetId="8" hidden="1">#REF!</definedName>
    <definedName name="BExXS4R1GKUJQX6MHUIUN4S3SCAS" localSheetId="19" hidden="1">#REF!</definedName>
    <definedName name="BExXS4R1GKUJQX6MHUIUN4S3SCAS" hidden="1">#REF!</definedName>
    <definedName name="BExXS63O4OMWMNXXAODZQFSDG33N" localSheetId="8" hidden="1">#REF!</definedName>
    <definedName name="BExXS63O4OMWMNXXAODZQFSDG33N" localSheetId="19" hidden="1">#REF!</definedName>
    <definedName name="BExXS63O4OMWMNXXAODZQFSDG33N" hidden="1">#REF!</definedName>
    <definedName name="BExXSBSP1TOY051HSPEPM0AEIO2M" localSheetId="8" hidden="1">#REF!</definedName>
    <definedName name="BExXSBSP1TOY051HSPEPM0AEIO2M" localSheetId="19" hidden="1">#REF!</definedName>
    <definedName name="BExXSBSP1TOY051HSPEPM0AEIO2M" hidden="1">#REF!</definedName>
    <definedName name="BExXSC8RFK5D68FJD2HI4K66SA6I" localSheetId="8" hidden="1">#REF!</definedName>
    <definedName name="BExXSC8RFK5D68FJD2HI4K66SA6I" localSheetId="19" hidden="1">#REF!</definedName>
    <definedName name="BExXSC8RFK5D68FJD2HI4K66SA6I" hidden="1">#REF!</definedName>
    <definedName name="BExXSCP0AZ5MYCC2UFG2GLBCV1CC" localSheetId="8" hidden="1">#REF!</definedName>
    <definedName name="BExXSCP0AZ5MYCC2UFG2GLBCV1CC" localSheetId="19" hidden="1">#REF!</definedName>
    <definedName name="BExXSCP0AZ5MYCC2UFG2GLBCV1CC" hidden="1">#REF!</definedName>
    <definedName name="BExXSNHC88W4UMXEOIOOATJAIKZO" localSheetId="8" hidden="1">#REF!</definedName>
    <definedName name="BExXSNHC88W4UMXEOIOOATJAIKZO" localSheetId="19" hidden="1">#REF!</definedName>
    <definedName name="BExXSNHC88W4UMXEOIOOATJAIKZO" hidden="1">#REF!</definedName>
    <definedName name="BExXSTBS08WIA9TLALV3UQ2Z3MRG" localSheetId="8" hidden="1">#REF!</definedName>
    <definedName name="BExXSTBS08WIA9TLALV3UQ2Z3MRG" localSheetId="19" hidden="1">#REF!</definedName>
    <definedName name="BExXSTBS08WIA9TLALV3UQ2Z3MRG" hidden="1">#REF!</definedName>
    <definedName name="BExXSVQ2WOJJ73YEO8Q2FK60V4G8" localSheetId="8" hidden="1">#REF!</definedName>
    <definedName name="BExXSVQ2WOJJ73YEO8Q2FK60V4G8" localSheetId="19" hidden="1">#REF!</definedName>
    <definedName name="BExXSVQ2WOJJ73YEO8Q2FK60V4G8" hidden="1">#REF!</definedName>
    <definedName name="BExXTER5A2EQ14KN6J0MVATIHVKN" localSheetId="8" hidden="1">#REF!</definedName>
    <definedName name="BExXTER5A2EQ14KN6J0MVATIHVKN" localSheetId="19" hidden="1">#REF!</definedName>
    <definedName name="BExXTER5A2EQ14KN6J0MVATIHVKN" hidden="1">#REF!</definedName>
    <definedName name="BExXTHLRNL82GN7KZY3TOLO508N7" localSheetId="8" hidden="1">#REF!</definedName>
    <definedName name="BExXTHLRNL82GN7KZY3TOLO508N7" localSheetId="19" hidden="1">#REF!</definedName>
    <definedName name="BExXTHLRNL82GN7KZY3TOLO508N7" hidden="1">#REF!</definedName>
    <definedName name="BExXTL72MKEQSQH9L2OTFLU8DM2B" localSheetId="8" hidden="1">#REF!</definedName>
    <definedName name="BExXTL72MKEQSQH9L2OTFLU8DM2B" localSheetId="19" hidden="1">#REF!</definedName>
    <definedName name="BExXTL72MKEQSQH9L2OTFLU8DM2B" hidden="1">#REF!</definedName>
    <definedName name="BExXTM3M4RTCRSX7VGAXGQNPP668" localSheetId="8" hidden="1">#REF!</definedName>
    <definedName name="BExXTM3M4RTCRSX7VGAXGQNPP668" localSheetId="19" hidden="1">#REF!</definedName>
    <definedName name="BExXTM3M4RTCRSX7VGAXGQNPP668" hidden="1">#REF!</definedName>
    <definedName name="BExXTOCF78J7WY6FOVBRY1N2RBBR" localSheetId="8" hidden="1">#REF!</definedName>
    <definedName name="BExXTOCF78J7WY6FOVBRY1N2RBBR" localSheetId="19" hidden="1">#REF!</definedName>
    <definedName name="BExXTOCF78J7WY6FOVBRY1N2RBBR" hidden="1">#REF!</definedName>
    <definedName name="BExXTP3GYO6Z9RTKKT10XA0UTV3T" localSheetId="8" hidden="1">#REF!</definedName>
    <definedName name="BExXTP3GYO6Z9RTKKT10XA0UTV3T" localSheetId="19" hidden="1">#REF!</definedName>
    <definedName name="BExXTP3GYO6Z9RTKKT10XA0UTV3T" hidden="1">#REF!</definedName>
    <definedName name="BExXTRN4AFX9QW6YC4HNGBBD5R08" localSheetId="8" hidden="1">#REF!</definedName>
    <definedName name="BExXTRN4AFX9QW6YC4HNGBBD5R08" localSheetId="19" hidden="1">#REF!</definedName>
    <definedName name="BExXTRN4AFX9QW6YC4HNGBBD5R08" hidden="1">#REF!</definedName>
    <definedName name="BExXTV8M7YIG5C64O046DN613ZRO" localSheetId="8" hidden="1">#REF!</definedName>
    <definedName name="BExXTV8M7YIG5C64O046DN613ZRO" localSheetId="19" hidden="1">#REF!</definedName>
    <definedName name="BExXTV8M7YIG5C64O046DN613ZRO" hidden="1">#REF!</definedName>
    <definedName name="BExXTVDXQ7ZX3THNLFJXFAONW0AI" localSheetId="8" hidden="1">#REF!</definedName>
    <definedName name="BExXTVDXQ7ZX3THNLFJXFAONW0AI" localSheetId="19" hidden="1">#REF!</definedName>
    <definedName name="BExXTVDXQ7ZX3THNLFJXFAONW0AI" hidden="1">#REF!</definedName>
    <definedName name="BExXTZKZ4CG92ZQLIRKEXXH9BFIR" localSheetId="8" hidden="1">#REF!</definedName>
    <definedName name="BExXTZKZ4CG92ZQLIRKEXXH9BFIR" localSheetId="19" hidden="1">#REF!</definedName>
    <definedName name="BExXTZKZ4CG92ZQLIRKEXXH9BFIR" hidden="1">#REF!</definedName>
    <definedName name="BExXU4J2BM2964GD5UZHM752Q4NS" localSheetId="8" hidden="1">#REF!</definedName>
    <definedName name="BExXU4J2BM2964GD5UZHM752Q4NS" localSheetId="19" hidden="1">#REF!</definedName>
    <definedName name="BExXU4J2BM2964GD5UZHM752Q4NS" hidden="1">#REF!</definedName>
    <definedName name="BExXU6XDTT7RM93KILIDEYPA9XKF" localSheetId="8" hidden="1">#REF!</definedName>
    <definedName name="BExXU6XDTT7RM93KILIDEYPA9XKF" localSheetId="19" hidden="1">#REF!</definedName>
    <definedName name="BExXU6XDTT7RM93KILIDEYPA9XKF" hidden="1">#REF!</definedName>
    <definedName name="BExXU8VLZA7WLPZ3RAQZGNERUD26" localSheetId="8" hidden="1">#REF!</definedName>
    <definedName name="BExXU8VLZA7WLPZ3RAQZGNERUD26" localSheetId="19" hidden="1">#REF!</definedName>
    <definedName name="BExXU8VLZA7WLPZ3RAQZGNERUD26" hidden="1">#REF!</definedName>
    <definedName name="BExXUB9RSLSCNN5ETLXY72DAPZZM" localSheetId="8" hidden="1">#REF!</definedName>
    <definedName name="BExXUB9RSLSCNN5ETLXY72DAPZZM" localSheetId="19" hidden="1">#REF!</definedName>
    <definedName name="BExXUB9RSLSCNN5ETLXY72DAPZZM" hidden="1">#REF!</definedName>
    <definedName name="BExXUFRM82XQIN2T8KGLDQL1IBQW" localSheetId="8" hidden="1">#REF!</definedName>
    <definedName name="BExXUFRM82XQIN2T8KGLDQL1IBQW" localSheetId="19" hidden="1">#REF!</definedName>
    <definedName name="BExXUFRM82XQIN2T8KGLDQL1IBQW" hidden="1">#REF!</definedName>
    <definedName name="BExXUQEQBF6FI240ZGIF9YXZSRAU" localSheetId="8" hidden="1">#REF!</definedName>
    <definedName name="BExXUQEQBF6FI240ZGIF9YXZSRAU" localSheetId="19" hidden="1">#REF!</definedName>
    <definedName name="BExXUQEQBF6FI240ZGIF9YXZSRAU" hidden="1">#REF!</definedName>
    <definedName name="BExXUX02UQ8LJPBZ4YBORILFR0W0" localSheetId="8" hidden="1">#REF!</definedName>
    <definedName name="BExXUX02UQ8LJPBZ4YBORILFR0W0" localSheetId="19" hidden="1">#REF!</definedName>
    <definedName name="BExXUX02UQ8LJPBZ4YBORILFR0W0" hidden="1">#REF!</definedName>
    <definedName name="BExXUYND6EJO7CJ5KRICV4O1JNWK" localSheetId="8" hidden="1">#REF!</definedName>
    <definedName name="BExXUYND6EJO7CJ5KRICV4O1JNWK" localSheetId="19" hidden="1">#REF!</definedName>
    <definedName name="BExXUYND6EJO7CJ5KRICV4O1JNWK" hidden="1">#REF!</definedName>
    <definedName name="BExXV6FWG4H3S2QEUJZYIXILNGJ7" localSheetId="8" hidden="1">#REF!</definedName>
    <definedName name="BExXV6FWG4H3S2QEUJZYIXILNGJ7" localSheetId="19" hidden="1">#REF!</definedName>
    <definedName name="BExXV6FWG4H3S2QEUJZYIXILNGJ7" hidden="1">#REF!</definedName>
    <definedName name="BExXVK87BMMO6LHKV0CFDNIQVIBS" localSheetId="8" hidden="1">#REF!</definedName>
    <definedName name="BExXVK87BMMO6LHKV0CFDNIQVIBS" localSheetId="19" hidden="1">#REF!</definedName>
    <definedName name="BExXVK87BMMO6LHKV0CFDNIQVIBS" hidden="1">#REF!</definedName>
    <definedName name="BExXVKZ9WXPGL6IVY6T61IDD771I" localSheetId="8" hidden="1">#REF!</definedName>
    <definedName name="BExXVKZ9WXPGL6IVY6T61IDD771I" localSheetId="19" hidden="1">#REF!</definedName>
    <definedName name="BExXVKZ9WXPGL6IVY6T61IDD771I" hidden="1">#REF!</definedName>
    <definedName name="BExXVLA319WCSEOVHB05KDUSU054" localSheetId="8" hidden="1">#REF!</definedName>
    <definedName name="BExXVLA319WCSEOVHB05KDUSU054" localSheetId="19" hidden="1">#REF!</definedName>
    <definedName name="BExXVLA319WCSEOVHB05KDUSU054" hidden="1">#REF!</definedName>
    <definedName name="BExXVTTG5YRCSTI0UL141BKR36SU" localSheetId="8" hidden="1">#REF!</definedName>
    <definedName name="BExXVTTG5YRCSTI0UL141BKR36SU" localSheetId="19" hidden="1">#REF!</definedName>
    <definedName name="BExXVTTG5YRCSTI0UL141BKR36SU" hidden="1">#REF!</definedName>
    <definedName name="BExXVYWX74VKI8BDDSX9U85460MB" localSheetId="8" hidden="1">#REF!</definedName>
    <definedName name="BExXVYWX74VKI8BDDSX9U85460MB" localSheetId="19" hidden="1">#REF!</definedName>
    <definedName name="BExXVYWX74VKI8BDDSX9U85460MB" hidden="1">#REF!</definedName>
    <definedName name="BExXW27MMXHXUXX78SDTBE1JYTHT" localSheetId="8" hidden="1">#REF!</definedName>
    <definedName name="BExXW27MMXHXUXX78SDTBE1JYTHT" localSheetId="19" hidden="1">#REF!</definedName>
    <definedName name="BExXW27MMXHXUXX78SDTBE1JYTHT" hidden="1">#REF!</definedName>
    <definedName name="BExXW2YIM2MYBSHRIX0RP9D4PRMN" localSheetId="8" hidden="1">#REF!</definedName>
    <definedName name="BExXW2YIM2MYBSHRIX0RP9D4PRMN" localSheetId="19" hidden="1">#REF!</definedName>
    <definedName name="BExXW2YIM2MYBSHRIX0RP9D4PRMN" hidden="1">#REF!</definedName>
    <definedName name="BExXWBNE4KTFSXKVSRF6WX039WPB" localSheetId="8" hidden="1">#REF!</definedName>
    <definedName name="BExXWBNE4KTFSXKVSRF6WX039WPB" localSheetId="19" hidden="1">#REF!</definedName>
    <definedName name="BExXWBNE4KTFSXKVSRF6WX039WPB" hidden="1">#REF!</definedName>
    <definedName name="BExXWFP5AYE7EHYTJWBZSQ8PQ0YX" localSheetId="8" hidden="1">#REF!</definedName>
    <definedName name="BExXWFP5AYE7EHYTJWBZSQ8PQ0YX" localSheetId="19" hidden="1">#REF!</definedName>
    <definedName name="BExXWFP5AYE7EHYTJWBZSQ8PQ0YX" hidden="1">#REF!</definedName>
    <definedName name="BExXWIUCR0LXM58OVKZT2APLVTIA" localSheetId="8" hidden="1">#REF!</definedName>
    <definedName name="BExXWIUCR0LXM58OVKZT2APLVTIA" localSheetId="19" hidden="1">#REF!</definedName>
    <definedName name="BExXWIUCR0LXM58OVKZT2APLVTIA" hidden="1">#REF!</definedName>
    <definedName name="BExXWTXJEA32DLC6QKN10QB955JT" localSheetId="8" hidden="1">#REF!</definedName>
    <definedName name="BExXWTXJEA32DLC6QKN10QB955JT" localSheetId="19" hidden="1">#REF!</definedName>
    <definedName name="BExXWTXJEA32DLC6QKN10QB955JT" hidden="1">#REF!</definedName>
    <definedName name="BExXWVFIBQT8OY1O41FRFPFGXQHK" localSheetId="8" hidden="1">#REF!</definedName>
    <definedName name="BExXWVFIBQT8OY1O41FRFPFGXQHK" localSheetId="19" hidden="1">#REF!</definedName>
    <definedName name="BExXWVFIBQT8OY1O41FRFPFGXQHK" hidden="1">#REF!</definedName>
    <definedName name="BExXWWXHBZHA9J3N8K47F84X0M0L" localSheetId="8" hidden="1">#REF!</definedName>
    <definedName name="BExXWWXHBZHA9J3N8K47F84X0M0L" localSheetId="19" hidden="1">#REF!</definedName>
    <definedName name="BExXWWXHBZHA9J3N8K47F84X0M0L" hidden="1">#REF!</definedName>
    <definedName name="BExXXBM521DL8R4ZX7NZ3DBCUOR5" localSheetId="8" hidden="1">#REF!</definedName>
    <definedName name="BExXXBM521DL8R4ZX7NZ3DBCUOR5" localSheetId="19" hidden="1">#REF!</definedName>
    <definedName name="BExXXBM521DL8R4ZX7NZ3DBCUOR5" hidden="1">#REF!</definedName>
    <definedName name="BExXXC7OZI33XZ03NRMEP7VRLQK4" localSheetId="8" hidden="1">#REF!</definedName>
    <definedName name="BExXXC7OZI33XZ03NRMEP7VRLQK4" localSheetId="19" hidden="1">#REF!</definedName>
    <definedName name="BExXXC7OZI33XZ03NRMEP7VRLQK4" hidden="1">#REF!</definedName>
    <definedName name="BExXXH5N3NKBQ7BCJPJTBF8CYM2Q" localSheetId="8" hidden="1">#REF!</definedName>
    <definedName name="BExXXH5N3NKBQ7BCJPJTBF8CYM2Q" localSheetId="19" hidden="1">#REF!</definedName>
    <definedName name="BExXXH5N3NKBQ7BCJPJTBF8CYM2Q" hidden="1">#REF!</definedName>
    <definedName name="BExXXI7HHXLBLUEW7EQ73TALJF48" localSheetId="8" hidden="1">#REF!</definedName>
    <definedName name="BExXXI7HHXLBLUEW7EQ73TALJF48" localSheetId="19" hidden="1">#REF!</definedName>
    <definedName name="BExXXI7HHXLBLUEW7EQ73TALJF48" hidden="1">#REF!</definedName>
    <definedName name="BExXXKWLM4D541BH6O8GOJMHFHMW" localSheetId="8" hidden="1">#REF!</definedName>
    <definedName name="BExXXKWLM4D541BH6O8GOJMHFHMW" localSheetId="19" hidden="1">#REF!</definedName>
    <definedName name="BExXXKWLM4D541BH6O8GOJMHFHMW" hidden="1">#REF!</definedName>
    <definedName name="BExXXNR17I6P4FQZPQF2ZXDFYB6C" localSheetId="8" hidden="1">#REF!</definedName>
    <definedName name="BExXXNR17I6P4FQZPQF2ZXDFYB6C" localSheetId="19" hidden="1">#REF!</definedName>
    <definedName name="BExXXNR17I6P4FQZPQF2ZXDFYB6C" hidden="1">#REF!</definedName>
    <definedName name="BExXXPPA1Q87XPI97X0OXCPBPDON" localSheetId="8" hidden="1">#REF!</definedName>
    <definedName name="BExXXPPA1Q87XPI97X0OXCPBPDON" localSheetId="19" hidden="1">#REF!</definedName>
    <definedName name="BExXXPPA1Q87XPI97X0OXCPBPDON" hidden="1">#REF!</definedName>
    <definedName name="BExXXVUDA98IZTQ6MANKU4MTTDVR" localSheetId="8" hidden="1">#REF!</definedName>
    <definedName name="BExXXVUDA98IZTQ6MANKU4MTTDVR" localSheetId="19" hidden="1">#REF!</definedName>
    <definedName name="BExXXVUDA98IZTQ6MANKU4MTTDVR" hidden="1">#REF!</definedName>
    <definedName name="BExXXZQNZY6IZI45DJXJK0MQZWA7" localSheetId="8" hidden="1">#REF!</definedName>
    <definedName name="BExXXZQNZY6IZI45DJXJK0MQZWA7" localSheetId="19" hidden="1">#REF!</definedName>
    <definedName name="BExXXZQNZY6IZI45DJXJK0MQZWA7" hidden="1">#REF!</definedName>
    <definedName name="BExXY5QFG6QP94SFT3935OBM8Y4K" localSheetId="8" hidden="1">#REF!</definedName>
    <definedName name="BExXY5QFG6QP94SFT3935OBM8Y4K" localSheetId="19" hidden="1">#REF!</definedName>
    <definedName name="BExXY5QFG6QP94SFT3935OBM8Y4K" hidden="1">#REF!</definedName>
    <definedName name="BExXY7TYEBFXRYUYIFHTN65RJ8EW" localSheetId="8" hidden="1">#REF!</definedName>
    <definedName name="BExXY7TYEBFXRYUYIFHTN65RJ8EW" localSheetId="19" hidden="1">#REF!</definedName>
    <definedName name="BExXY7TYEBFXRYUYIFHTN65RJ8EW" hidden="1">#REF!</definedName>
    <definedName name="BExXYLBHANUXC5FCTDDTGOVD3GQS" localSheetId="8" hidden="1">#REF!</definedName>
    <definedName name="BExXYLBHANUXC5FCTDDTGOVD3GQS" localSheetId="19" hidden="1">#REF!</definedName>
    <definedName name="BExXYLBHANUXC5FCTDDTGOVD3GQS" hidden="1">#REF!</definedName>
    <definedName name="BExXYMNYAYH3WA2ZCFAYKZID9ZCI" localSheetId="8" hidden="1">#REF!</definedName>
    <definedName name="BExXYMNYAYH3WA2ZCFAYKZID9ZCI" localSheetId="19" hidden="1">#REF!</definedName>
    <definedName name="BExXYMNYAYH3WA2ZCFAYKZID9ZCI" hidden="1">#REF!</definedName>
    <definedName name="BExXYYT12SVN2VDMLVNV4P3ISD8T" localSheetId="8" hidden="1">#REF!</definedName>
    <definedName name="BExXYYT12SVN2VDMLVNV4P3ISD8T" localSheetId="19" hidden="1">#REF!</definedName>
    <definedName name="BExXYYT12SVN2VDMLVNV4P3ISD8T" hidden="1">#REF!</definedName>
    <definedName name="BExXYZ3SPSRCWM4YHTPZDCOLZPHR" localSheetId="8" hidden="1">#REF!</definedName>
    <definedName name="BExXYZ3SPSRCWM4YHTPZDCOLZPHR" localSheetId="19" hidden="1">#REF!</definedName>
    <definedName name="BExXYZ3SPSRCWM4YHTPZDCOLZPHR" hidden="1">#REF!</definedName>
    <definedName name="BExXZFVV4YB42AZ3H1I40YG3JAPU" localSheetId="8" hidden="1">#REF!</definedName>
    <definedName name="BExXZFVV4YB42AZ3H1I40YG3JAPU" localSheetId="19" hidden="1">#REF!</definedName>
    <definedName name="BExXZFVV4YB42AZ3H1I40YG3JAPU" hidden="1">#REF!</definedName>
    <definedName name="BExXZG1CQE1M9TDJ99253H6JVGIH" localSheetId="8" hidden="1">#REF!</definedName>
    <definedName name="BExXZG1CQE1M9TDJ99253H6JVGIH" localSheetId="19" hidden="1">#REF!</definedName>
    <definedName name="BExXZG1CQE1M9TDJ99253H6JVGIH" hidden="1">#REF!</definedName>
    <definedName name="BExXZHJ9T2JELF12CHHGD54J1B0C" localSheetId="8" hidden="1">#REF!</definedName>
    <definedName name="BExXZHJ9T2JELF12CHHGD54J1B0C" localSheetId="19" hidden="1">#REF!</definedName>
    <definedName name="BExXZHJ9T2JELF12CHHGD54J1B0C" hidden="1">#REF!</definedName>
    <definedName name="BExXZNJ2X1TK2LRK5ZY3MX49H5T7" localSheetId="8" hidden="1">#REF!</definedName>
    <definedName name="BExXZNJ2X1TK2LRK5ZY3MX49H5T7" localSheetId="19" hidden="1">#REF!</definedName>
    <definedName name="BExXZNJ2X1TK2LRK5ZY3MX49H5T7" hidden="1">#REF!</definedName>
    <definedName name="BExXZOVPCEP495TQSON6PSRQ8XCY" localSheetId="8" hidden="1">#REF!</definedName>
    <definedName name="BExXZOVPCEP495TQSON6PSRQ8XCY" localSheetId="19" hidden="1">#REF!</definedName>
    <definedName name="BExXZOVPCEP495TQSON6PSRQ8XCY" hidden="1">#REF!</definedName>
    <definedName name="BExXZXKH7NBARQQAZM69Z57IH1MM" localSheetId="8" hidden="1">#REF!</definedName>
    <definedName name="BExXZXKH7NBARQQAZM69Z57IH1MM" localSheetId="19" hidden="1">#REF!</definedName>
    <definedName name="BExXZXKH7NBARQQAZM69Z57IH1MM" hidden="1">#REF!</definedName>
    <definedName name="BExY07WSDH5QEVM7BJXJK2ZRAI1O" localSheetId="8" hidden="1">#REF!</definedName>
    <definedName name="BExY07WSDH5QEVM7BJXJK2ZRAI1O" localSheetId="19" hidden="1">#REF!</definedName>
    <definedName name="BExY07WSDH5QEVM7BJXJK2ZRAI1O" hidden="1">#REF!</definedName>
    <definedName name="BExY09PJJWYWGWWLX3YT8EVK0YV4" localSheetId="8" hidden="1">#REF!</definedName>
    <definedName name="BExY09PJJWYWGWWLX3YT8EVK0YV4" localSheetId="19" hidden="1">#REF!</definedName>
    <definedName name="BExY09PJJWYWGWWLX3YT8EVK0YV4" hidden="1">#REF!</definedName>
    <definedName name="BExY0C3UBVC4M59JIRXVQ8OWAJC1" localSheetId="8" hidden="1">#REF!</definedName>
    <definedName name="BExY0C3UBVC4M59JIRXVQ8OWAJC1" localSheetId="19" hidden="1">#REF!</definedName>
    <definedName name="BExY0C3UBVC4M59JIRXVQ8OWAJC1" hidden="1">#REF!</definedName>
    <definedName name="BExY0ENH6ZXHW155XIGS0F46T43M" localSheetId="8" hidden="1">#REF!</definedName>
    <definedName name="BExY0ENH6ZXHW155XIGS0F46T43M" localSheetId="19" hidden="1">#REF!</definedName>
    <definedName name="BExY0ENH6ZXHW155XIGS0F46T43M" hidden="1">#REF!</definedName>
    <definedName name="BExY0IEEUB9SRGD9I14IDCPO5GV4" localSheetId="8" hidden="1">#REF!</definedName>
    <definedName name="BExY0IEEUB9SRGD9I14IDCPO5GV4" localSheetId="19" hidden="1">#REF!</definedName>
    <definedName name="BExY0IEEUB9SRGD9I14IDCPO5GV4" hidden="1">#REF!</definedName>
    <definedName name="BExY0LEAAM7MUGBRLXD6KXBOHZ6S" localSheetId="8" hidden="1">#REF!</definedName>
    <definedName name="BExY0LEAAM7MUGBRLXD6KXBOHZ6S" localSheetId="19" hidden="1">#REF!</definedName>
    <definedName name="BExY0LEAAM7MUGBRLXD6KXBOHZ6S" hidden="1">#REF!</definedName>
    <definedName name="BExY0OE8GFHMLLTEAFIOQTOPEVPB" localSheetId="8" hidden="1">#REF!</definedName>
    <definedName name="BExY0OE8GFHMLLTEAFIOQTOPEVPB" localSheetId="19" hidden="1">#REF!</definedName>
    <definedName name="BExY0OE8GFHMLLTEAFIOQTOPEVPB" hidden="1">#REF!</definedName>
    <definedName name="BExY0OJHW85S0VKBA8T4HTYPYBOS" localSheetId="8" hidden="1">#REF!</definedName>
    <definedName name="BExY0OJHW85S0VKBA8T4HTYPYBOS" localSheetId="19" hidden="1">#REF!</definedName>
    <definedName name="BExY0OJHW85S0VKBA8T4HTYPYBOS" hidden="1">#REF!</definedName>
    <definedName name="BExY0T1E034D7XAXNC6F7540LLIE" localSheetId="8" hidden="1">#REF!</definedName>
    <definedName name="BExY0T1E034D7XAXNC6F7540LLIE" localSheetId="19" hidden="1">#REF!</definedName>
    <definedName name="BExY0T1E034D7XAXNC6F7540LLIE" hidden="1">#REF!</definedName>
    <definedName name="BExY0XTZLHN49J2JH94BYTKBJLT3" localSheetId="8" hidden="1">#REF!</definedName>
    <definedName name="BExY0XTZLHN49J2JH94BYTKBJLT3" localSheetId="19" hidden="1">#REF!</definedName>
    <definedName name="BExY0XTZLHN49J2JH94BYTKBJLT3" hidden="1">#REF!</definedName>
    <definedName name="BExY11FH9TXHERUYGG8FE50U7H7J" localSheetId="8" hidden="1">#REF!</definedName>
    <definedName name="BExY11FH9TXHERUYGG8FE50U7H7J" localSheetId="19" hidden="1">#REF!</definedName>
    <definedName name="BExY11FH9TXHERUYGG8FE50U7H7J" hidden="1">#REF!</definedName>
    <definedName name="BExY180UKNW5NIAWD6ZUYTFEH8QS" localSheetId="8" hidden="1">#REF!</definedName>
    <definedName name="BExY180UKNW5NIAWD6ZUYTFEH8QS" localSheetId="19" hidden="1">#REF!</definedName>
    <definedName name="BExY180UKNW5NIAWD6ZUYTFEH8QS" hidden="1">#REF!</definedName>
    <definedName name="BExY1DPTV4LSY9MEOUGXF8X052NA" localSheetId="8" hidden="1">#REF!</definedName>
    <definedName name="BExY1DPTV4LSY9MEOUGXF8X052NA" localSheetId="19" hidden="1">#REF!</definedName>
    <definedName name="BExY1DPTV4LSY9MEOUGXF8X052NA" hidden="1">#REF!</definedName>
    <definedName name="BExY1GK9ELBEKDD7O6HR6DUO8YGO" localSheetId="8" hidden="1">#REF!</definedName>
    <definedName name="BExY1GK9ELBEKDD7O6HR6DUO8YGO" localSheetId="19" hidden="1">#REF!</definedName>
    <definedName name="BExY1GK9ELBEKDD7O6HR6DUO8YGO" hidden="1">#REF!</definedName>
    <definedName name="BExY1NWOXXFV9GGZ3PX444LZ8TVX" localSheetId="8" hidden="1">#REF!</definedName>
    <definedName name="BExY1NWOXXFV9GGZ3PX444LZ8TVX" localSheetId="19" hidden="1">#REF!</definedName>
    <definedName name="BExY1NWOXXFV9GGZ3PX444LZ8TVX" hidden="1">#REF!</definedName>
    <definedName name="BExY1UCL0RND63LLSM9X5SFRG117" localSheetId="8" hidden="1">#REF!</definedName>
    <definedName name="BExY1UCL0RND63LLSM9X5SFRG117" localSheetId="19" hidden="1">#REF!</definedName>
    <definedName name="BExY1UCL0RND63LLSM9X5SFRG117" hidden="1">#REF!</definedName>
    <definedName name="BExY1WAT3937L08HLHIRQHMP2A3H" localSheetId="8" hidden="1">#REF!</definedName>
    <definedName name="BExY1WAT3937L08HLHIRQHMP2A3H" localSheetId="19" hidden="1">#REF!</definedName>
    <definedName name="BExY1WAT3937L08HLHIRQHMP2A3H" hidden="1">#REF!</definedName>
    <definedName name="BExY1YEBOSLMID7LURP8QB46AI91" localSheetId="8" hidden="1">#REF!</definedName>
    <definedName name="BExY1YEBOSLMID7LURP8QB46AI91" localSheetId="19" hidden="1">#REF!</definedName>
    <definedName name="BExY1YEBOSLMID7LURP8QB46AI91" hidden="1">#REF!</definedName>
    <definedName name="BExY236UB98PA9PNCHMCSZYCHJBD" localSheetId="8" hidden="1">#REF!</definedName>
    <definedName name="BExY236UB98PA9PNCHMCSZYCHJBD" localSheetId="19" hidden="1">#REF!</definedName>
    <definedName name="BExY236UB98PA9PNCHMCSZYCHJBD" hidden="1">#REF!</definedName>
    <definedName name="BExY2FS4LFX9OHOTQT7SJ2PXAC25" localSheetId="8" hidden="1">#REF!</definedName>
    <definedName name="BExY2FS4LFX9OHOTQT7SJ2PXAC25" localSheetId="19" hidden="1">#REF!</definedName>
    <definedName name="BExY2FS4LFX9OHOTQT7SJ2PXAC25" hidden="1">#REF!</definedName>
    <definedName name="BExY2GDPCZPVU0IQ6IJIB1YQQRQ6" localSheetId="8" hidden="1">#REF!</definedName>
    <definedName name="BExY2GDPCZPVU0IQ6IJIB1YQQRQ6" localSheetId="19" hidden="1">#REF!</definedName>
    <definedName name="BExY2GDPCZPVU0IQ6IJIB1YQQRQ6" hidden="1">#REF!</definedName>
    <definedName name="BExY2GTSZ3VA9TXLY7KW1LIAKJ61" localSheetId="8" hidden="1">#REF!</definedName>
    <definedName name="BExY2GTSZ3VA9TXLY7KW1LIAKJ61" localSheetId="19" hidden="1">#REF!</definedName>
    <definedName name="BExY2GTSZ3VA9TXLY7KW1LIAKJ61" hidden="1">#REF!</definedName>
    <definedName name="BExY2IXBR1SGYZH08T7QHKEFS8HA" localSheetId="8" hidden="1">#REF!</definedName>
    <definedName name="BExY2IXBR1SGYZH08T7QHKEFS8HA" localSheetId="19" hidden="1">#REF!</definedName>
    <definedName name="BExY2IXBR1SGYZH08T7QHKEFS8HA" hidden="1">#REF!</definedName>
    <definedName name="BExY2Q4B5FUDA5VU4VRUHX327QN0" localSheetId="8" hidden="1">#REF!</definedName>
    <definedName name="BExY2Q4B5FUDA5VU4VRUHX327QN0" localSheetId="19" hidden="1">#REF!</definedName>
    <definedName name="BExY2Q4B5FUDA5VU4VRUHX327QN0" hidden="1">#REF!</definedName>
    <definedName name="BExY2S7TM2NG7A1NFYPWIFAIKUCO" localSheetId="8" hidden="1">#REF!</definedName>
    <definedName name="BExY2S7TM2NG7A1NFYPWIFAIKUCO" localSheetId="19" hidden="1">#REF!</definedName>
    <definedName name="BExY2S7TM2NG7A1NFYPWIFAIKUCO" hidden="1">#REF!</definedName>
    <definedName name="BExY2Z3ZGRGD12RWANJZ8DFQO776" localSheetId="8" hidden="1">#REF!</definedName>
    <definedName name="BExY2Z3ZGRGD12RWANJZ8DFQO776" localSheetId="19" hidden="1">#REF!</definedName>
    <definedName name="BExY2Z3ZGRGD12RWANJZ8DFQO776" hidden="1">#REF!</definedName>
    <definedName name="BExY30WPXLJ01P42XKBSUF8KNOOK" localSheetId="8" hidden="1">#REF!</definedName>
    <definedName name="BExY30WPXLJ01P42XKBSUF8KNOOK" localSheetId="19" hidden="1">#REF!</definedName>
    <definedName name="BExY30WPXLJ01P42XKBSUF8KNOOK" hidden="1">#REF!</definedName>
    <definedName name="BExY3297KIB0C8Z1G99OS1MCEGTO" localSheetId="8" hidden="1">#REF!</definedName>
    <definedName name="BExY3297KIB0C8Z1G99OS1MCEGTO" localSheetId="19" hidden="1">#REF!</definedName>
    <definedName name="BExY3297KIB0C8Z1G99OS1MCEGTO" hidden="1">#REF!</definedName>
    <definedName name="BExY3HOSK7YI364K15OX70AVR6F1" localSheetId="8" hidden="1">#REF!</definedName>
    <definedName name="BExY3HOSK7YI364K15OX70AVR6F1" localSheetId="19" hidden="1">#REF!</definedName>
    <definedName name="BExY3HOSK7YI364K15OX70AVR6F1" hidden="1">#REF!</definedName>
    <definedName name="BExY3I526B4VA8JBTKXWE3FGVT0D" localSheetId="8" hidden="1">#REF!</definedName>
    <definedName name="BExY3I526B4VA8JBTKXWE3FGVT0D" localSheetId="19" hidden="1">#REF!</definedName>
    <definedName name="BExY3I526B4VA8JBTKXWE3FGVT0D" hidden="1">#REF!</definedName>
    <definedName name="BExY3I52TZR3GXQ9HDVDNIYLIGEH" localSheetId="8" hidden="1">#REF!</definedName>
    <definedName name="BExY3I52TZR3GXQ9HDVDNIYLIGEH" localSheetId="19" hidden="1">#REF!</definedName>
    <definedName name="BExY3I52TZR3GXQ9HDVDNIYLIGEH" hidden="1">#REF!</definedName>
    <definedName name="BExY3T89AUR83SOAZZ3OMDEJDQ39" localSheetId="8" hidden="1">#REF!</definedName>
    <definedName name="BExY3T89AUR83SOAZZ3OMDEJDQ39" localSheetId="19" hidden="1">#REF!</definedName>
    <definedName name="BExY3T89AUR83SOAZZ3OMDEJDQ39" hidden="1">#REF!</definedName>
    <definedName name="BExY3WZ7VO2K6TYCHDY754FY24AA" localSheetId="8" hidden="1">#REF!</definedName>
    <definedName name="BExY3WZ7VO2K6TYCHDY754FY24AA" localSheetId="19" hidden="1">#REF!</definedName>
    <definedName name="BExY3WZ7VO2K6TYCHDY754FY24AA" hidden="1">#REF!</definedName>
    <definedName name="BExY4BIG95HDDO6MY6WBUSWJIOLR" localSheetId="8" hidden="1">#REF!</definedName>
    <definedName name="BExY4BIG95HDDO6MY6WBUSWJIOLR" localSheetId="19" hidden="1">#REF!</definedName>
    <definedName name="BExY4BIG95HDDO6MY6WBUSWJIOLR" hidden="1">#REF!</definedName>
    <definedName name="BExY4MG771JQ84EMIVB6HQGGHZY7" localSheetId="8" hidden="1">#REF!</definedName>
    <definedName name="BExY4MG771JQ84EMIVB6HQGGHZY7" localSheetId="19" hidden="1">#REF!</definedName>
    <definedName name="BExY4MG771JQ84EMIVB6HQGGHZY7" hidden="1">#REF!</definedName>
    <definedName name="BExY4PWCSFB8P3J3TBQB2MD67263" localSheetId="8" hidden="1">#REF!</definedName>
    <definedName name="BExY4PWCSFB8P3J3TBQB2MD67263" localSheetId="19" hidden="1">#REF!</definedName>
    <definedName name="BExY4PWCSFB8P3J3TBQB2MD67263" hidden="1">#REF!</definedName>
    <definedName name="BExY4RP3BE6KYZDIKQZO4U4DIT33" localSheetId="8" hidden="1">#REF!</definedName>
    <definedName name="BExY4RP3BE6KYZDIKQZO4U4DIT33" localSheetId="19" hidden="1">#REF!</definedName>
    <definedName name="BExY4RP3BE6KYZDIKQZO4U4DIT33" hidden="1">#REF!</definedName>
    <definedName name="BExY4RZW3KK11JLYBA4DWZ92M6LQ" localSheetId="8" hidden="1">#REF!</definedName>
    <definedName name="BExY4RZW3KK11JLYBA4DWZ92M6LQ" localSheetId="19" hidden="1">#REF!</definedName>
    <definedName name="BExY4RZW3KK11JLYBA4DWZ92M6LQ" hidden="1">#REF!</definedName>
    <definedName name="BExY4XOVTTNVZ577RLIEC7NZQFIX" localSheetId="8" hidden="1">#REF!</definedName>
    <definedName name="BExY4XOVTTNVZ577RLIEC7NZQFIX" localSheetId="19" hidden="1">#REF!</definedName>
    <definedName name="BExY4XOVTTNVZ577RLIEC7NZQFIX" hidden="1">#REF!</definedName>
    <definedName name="BExY50JAF5CG01GTHAUS7I4ZLUDC" localSheetId="8" hidden="1">#REF!</definedName>
    <definedName name="BExY50JAF5CG01GTHAUS7I4ZLUDC" localSheetId="19" hidden="1">#REF!</definedName>
    <definedName name="BExY50JAF5CG01GTHAUS7I4ZLUDC" hidden="1">#REF!</definedName>
    <definedName name="BExY53J7EXFEOFTRNAHLK7IH3ACB" localSheetId="8" hidden="1">#REF!</definedName>
    <definedName name="BExY53J7EXFEOFTRNAHLK7IH3ACB" localSheetId="19" hidden="1">#REF!</definedName>
    <definedName name="BExY53J7EXFEOFTRNAHLK7IH3ACB" hidden="1">#REF!</definedName>
    <definedName name="BExY5515SJTJS3VM80M3YYR0WF37" localSheetId="8" hidden="1">#REF!</definedName>
    <definedName name="BExY5515SJTJS3VM80M3YYR0WF37" localSheetId="19" hidden="1">#REF!</definedName>
    <definedName name="BExY5515SJTJS3VM80M3YYR0WF37" hidden="1">#REF!</definedName>
    <definedName name="BExY5515WE39FQ3EG5QHG67V9C0O" localSheetId="8" hidden="1">#REF!</definedName>
    <definedName name="BExY5515WE39FQ3EG5QHG67V9C0O" localSheetId="19" hidden="1">#REF!</definedName>
    <definedName name="BExY5515WE39FQ3EG5QHG67V9C0O" hidden="1">#REF!</definedName>
    <definedName name="BExY5986WNAD8NFCPXC9TVLBU4FG" localSheetId="8" hidden="1">#REF!</definedName>
    <definedName name="BExY5986WNAD8NFCPXC9TVLBU4FG" localSheetId="19" hidden="1">#REF!</definedName>
    <definedName name="BExY5986WNAD8NFCPXC9TVLBU4FG" hidden="1">#REF!</definedName>
    <definedName name="BExY5DF9MS25IFNWGJ1YAS5MDN8R" localSheetId="8" hidden="1">#REF!</definedName>
    <definedName name="BExY5DF9MS25IFNWGJ1YAS5MDN8R" localSheetId="19" hidden="1">#REF!</definedName>
    <definedName name="BExY5DF9MS25IFNWGJ1YAS5MDN8R" hidden="1">#REF!</definedName>
    <definedName name="BExY5ERVGL3UM2MGT8LJ0XPKTZEK" localSheetId="8" hidden="1">#REF!</definedName>
    <definedName name="BExY5ERVGL3UM2MGT8LJ0XPKTZEK" localSheetId="19" hidden="1">#REF!</definedName>
    <definedName name="BExY5ERVGL3UM2MGT8LJ0XPKTZEK" hidden="1">#REF!</definedName>
    <definedName name="BExY5EX6NJFK8W754ZVZDN5DS04K" localSheetId="8" hidden="1">#REF!</definedName>
    <definedName name="BExY5EX6NJFK8W754ZVZDN5DS04K" localSheetId="19" hidden="1">#REF!</definedName>
    <definedName name="BExY5EX6NJFK8W754ZVZDN5DS04K" hidden="1">#REF!</definedName>
    <definedName name="BExY5S3XD1NJT109CV54IFOHVLQ6" localSheetId="8" hidden="1">#REF!</definedName>
    <definedName name="BExY5S3XD1NJT109CV54IFOHVLQ6" localSheetId="19" hidden="1">#REF!</definedName>
    <definedName name="BExY5S3XD1NJT109CV54IFOHVLQ6" hidden="1">#REF!</definedName>
    <definedName name="BExY5W088PPAPLSMR2P7FV2CRDCT" localSheetId="8" hidden="1">#REF!</definedName>
    <definedName name="BExY5W088PPAPLSMR2P7FV2CRDCT" localSheetId="19" hidden="1">#REF!</definedName>
    <definedName name="BExY5W088PPAPLSMR2P7FV2CRDCT" hidden="1">#REF!</definedName>
    <definedName name="BExY6KA6BQ6H4SH5EMJBVF8UR4ZY" localSheetId="8" hidden="1">#REF!</definedName>
    <definedName name="BExY6KA6BQ6H4SH5EMJBVF8UR4ZY" localSheetId="19" hidden="1">#REF!</definedName>
    <definedName name="BExY6KA6BQ6H4SH5EMJBVF8UR4ZY" hidden="1">#REF!</definedName>
    <definedName name="BExY6KVS1MMZ2R34PGEFR2BMTU9W" localSheetId="8" hidden="1">#REF!</definedName>
    <definedName name="BExY6KVS1MMZ2R34PGEFR2BMTU9W" localSheetId="19" hidden="1">#REF!</definedName>
    <definedName name="BExY6KVS1MMZ2R34PGEFR2BMTU9W" hidden="1">#REF!</definedName>
    <definedName name="BExY6Q9YY7LW745GP7CYOGGSPHGE" localSheetId="8" hidden="1">#REF!</definedName>
    <definedName name="BExY6Q9YY7LW745GP7CYOGGSPHGE" localSheetId="19" hidden="1">#REF!</definedName>
    <definedName name="BExY6Q9YY7LW745GP7CYOGGSPHGE" hidden="1">#REF!</definedName>
    <definedName name="BExY6R6BYIQZ4OR1E7YI0OVOC08W" localSheetId="8" hidden="1">#REF!</definedName>
    <definedName name="BExY6R6BYIQZ4OR1E7YI0OVOC08W" localSheetId="19" hidden="1">#REF!</definedName>
    <definedName name="BExY6R6BYIQZ4OR1E7YI0OVOC08W" hidden="1">#REF!</definedName>
    <definedName name="BExZIA3C8LKJTEH3MKQ57KJH5TA2" localSheetId="8" hidden="1">#REF!</definedName>
    <definedName name="BExZIA3C8LKJTEH3MKQ57KJH5TA2" localSheetId="19" hidden="1">#REF!</definedName>
    <definedName name="BExZIA3C8LKJTEH3MKQ57KJH5TA2" hidden="1">#REF!</definedName>
    <definedName name="BExZIGDWFIOPMMVCRWX45OIJ5AP3" localSheetId="8" hidden="1">#REF!</definedName>
    <definedName name="BExZIGDWFIOPMMVCRWX45OIJ5AP3" localSheetId="19" hidden="1">#REF!</definedName>
    <definedName name="BExZIGDWFIOPMMVCRWX45OIJ5AP3" hidden="1">#REF!</definedName>
    <definedName name="BExZIIHH3QNQE3GFMHEE4UMHY6WQ" localSheetId="8" hidden="1">#REF!</definedName>
    <definedName name="BExZIIHH3QNQE3GFMHEE4UMHY6WQ" localSheetId="19" hidden="1">#REF!</definedName>
    <definedName name="BExZIIHH3QNQE3GFMHEE4UMHY6WQ" hidden="1">#REF!</definedName>
    <definedName name="BExZIYO22G5UXOB42GDLYGVRJ6U7" localSheetId="8" hidden="1">#REF!</definedName>
    <definedName name="BExZIYO22G5UXOB42GDLYGVRJ6U7" localSheetId="19" hidden="1">#REF!</definedName>
    <definedName name="BExZIYO22G5UXOB42GDLYGVRJ6U7" hidden="1">#REF!</definedName>
    <definedName name="BExZJ7I9T8XU4MZRKJ1VVU76V2LZ" localSheetId="8" hidden="1">#REF!</definedName>
    <definedName name="BExZJ7I9T8XU4MZRKJ1VVU76V2LZ" localSheetId="19" hidden="1">#REF!</definedName>
    <definedName name="BExZJ7I9T8XU4MZRKJ1VVU76V2LZ" hidden="1">#REF!</definedName>
    <definedName name="BExZJMY170JCUU1RWASNZ1HJPRTA" localSheetId="8" hidden="1">#REF!</definedName>
    <definedName name="BExZJMY170JCUU1RWASNZ1HJPRTA" localSheetId="19" hidden="1">#REF!</definedName>
    <definedName name="BExZJMY170JCUU1RWASNZ1HJPRTA" hidden="1">#REF!</definedName>
    <definedName name="BExZJOQR77H0P4SUKVYACDCFBBXO" localSheetId="8" hidden="1">#REF!</definedName>
    <definedName name="BExZJOQR77H0P4SUKVYACDCFBBXO" localSheetId="19" hidden="1">#REF!</definedName>
    <definedName name="BExZJOQR77H0P4SUKVYACDCFBBXO" hidden="1">#REF!</definedName>
    <definedName name="BExZJS6RG34ODDY9HMZ0O34MEMSB" localSheetId="8" hidden="1">#REF!</definedName>
    <definedName name="BExZJS6RG34ODDY9HMZ0O34MEMSB" localSheetId="19" hidden="1">#REF!</definedName>
    <definedName name="BExZJS6RG34ODDY9HMZ0O34MEMSB" hidden="1">#REF!</definedName>
    <definedName name="BExZK34NR4BAD7HJAP7SQ926UQP3" localSheetId="8" hidden="1">#REF!</definedName>
    <definedName name="BExZK34NR4BAD7HJAP7SQ926UQP3" localSheetId="19" hidden="1">#REF!</definedName>
    <definedName name="BExZK34NR4BAD7HJAP7SQ926UQP3" hidden="1">#REF!</definedName>
    <definedName name="BExZK3FGPHH5H771U7D5XY7XBS6E" localSheetId="8" hidden="1">#REF!</definedName>
    <definedName name="BExZK3FGPHH5H771U7D5XY7XBS6E" localSheetId="19" hidden="1">#REF!</definedName>
    <definedName name="BExZK3FGPHH5H771U7D5XY7XBS6E" hidden="1">#REF!</definedName>
    <definedName name="BExZK46CVVS9X1BZ6LLL71016ENT" localSheetId="8" hidden="1">#REF!</definedName>
    <definedName name="BExZK46CVVS9X1BZ6LLL71016ENT" localSheetId="19" hidden="1">#REF!</definedName>
    <definedName name="BExZK46CVVS9X1BZ6LLL71016ENT" hidden="1">#REF!</definedName>
    <definedName name="BExZK52PZLTP1F04T09MP30BVT7H" localSheetId="8" hidden="1">#REF!</definedName>
    <definedName name="BExZK52PZLTP1F04T09MP30BVT7H" localSheetId="19" hidden="1">#REF!</definedName>
    <definedName name="BExZK52PZLTP1F04T09MP30BVT7H" hidden="1">#REF!</definedName>
    <definedName name="BExZKHYORG3O8C772XPFHM1N8T80" localSheetId="8" hidden="1">#REF!</definedName>
    <definedName name="BExZKHYORG3O8C772XPFHM1N8T80" localSheetId="19" hidden="1">#REF!</definedName>
    <definedName name="BExZKHYORG3O8C772XPFHM1N8T80" hidden="1">#REF!</definedName>
    <definedName name="BExZKJRF2IRR57DG9CLC7MSHWNNN" localSheetId="8" hidden="1">#REF!</definedName>
    <definedName name="BExZKJRF2IRR57DG9CLC7MSHWNNN" localSheetId="19" hidden="1">#REF!</definedName>
    <definedName name="BExZKJRF2IRR57DG9CLC7MSHWNNN" hidden="1">#REF!</definedName>
    <definedName name="BExZKV5GYXO0X760SBD9TWTIQHGI" localSheetId="8" hidden="1">#REF!</definedName>
    <definedName name="BExZKV5GYXO0X760SBD9TWTIQHGI" localSheetId="19" hidden="1">#REF!</definedName>
    <definedName name="BExZKV5GYXO0X760SBD9TWTIQHGI" hidden="1">#REF!</definedName>
    <definedName name="BExZKZCGNEA9IPON37A91L4H4H17" localSheetId="8" hidden="1">#REF!</definedName>
    <definedName name="BExZKZCGNEA9IPON37A91L4H4H17" localSheetId="19" hidden="1">#REF!</definedName>
    <definedName name="BExZKZCGNEA9IPON37A91L4H4H17" hidden="1">#REF!</definedName>
    <definedName name="BExZL6E4YVXRUN7ZGF2BIGIXFR8K" localSheetId="8" hidden="1">#REF!</definedName>
    <definedName name="BExZL6E4YVXRUN7ZGF2BIGIXFR8K" localSheetId="19" hidden="1">#REF!</definedName>
    <definedName name="BExZL6E4YVXRUN7ZGF2BIGIXFR8K" hidden="1">#REF!</definedName>
    <definedName name="BExZLF2ZTA4EPN0GHO7C5O8DZ1SN" localSheetId="8" hidden="1">#REF!</definedName>
    <definedName name="BExZLF2ZTA4EPN0GHO7C5O8DZ1SN" localSheetId="19" hidden="1">#REF!</definedName>
    <definedName name="BExZLF2ZTA4EPN0GHO7C5O8DZ1SN" hidden="1">#REF!</definedName>
    <definedName name="BExZLGVLMKTPFXG42QYT0PO81G7F" localSheetId="8" hidden="1">#REF!</definedName>
    <definedName name="BExZLGVLMKTPFXG42QYT0PO81G7F" localSheetId="19" hidden="1">#REF!</definedName>
    <definedName name="BExZLGVLMKTPFXG42QYT0PO81G7F" hidden="1">#REF!</definedName>
    <definedName name="BExZLHRYQQ7BYD3VQWHVTZGYGRCT" localSheetId="8" hidden="1">#REF!</definedName>
    <definedName name="BExZLHRYQQ7BYD3VQWHVTZGYGRCT" localSheetId="19" hidden="1">#REF!</definedName>
    <definedName name="BExZLHRYQQ7BYD3VQWHVTZGYGRCT" hidden="1">#REF!</definedName>
    <definedName name="BExZLKMK7LRK14S09WLMH7MXSQXM" localSheetId="8" hidden="1">#REF!</definedName>
    <definedName name="BExZLKMK7LRK14S09WLMH7MXSQXM" localSheetId="19" hidden="1">#REF!</definedName>
    <definedName name="BExZLKMK7LRK14S09WLMH7MXSQXM" hidden="1">#REF!</definedName>
    <definedName name="BExZM503X0NZBS0FF22LK2RGG6GP" localSheetId="8" hidden="1">#REF!</definedName>
    <definedName name="BExZM503X0NZBS0FF22LK2RGG6GP" localSheetId="19" hidden="1">#REF!</definedName>
    <definedName name="BExZM503X0NZBS0FF22LK2RGG6GP" hidden="1">#REF!</definedName>
    <definedName name="BExZM7JVLG0W8EG5RBU915U3SKBY" localSheetId="8" hidden="1">#REF!</definedName>
    <definedName name="BExZM7JVLG0W8EG5RBU915U3SKBY" localSheetId="19" hidden="1">#REF!</definedName>
    <definedName name="BExZM7JVLG0W8EG5RBU915U3SKBY" hidden="1">#REF!</definedName>
    <definedName name="BExZM85FOVUFF110XMQ9O2ODSJUK" localSheetId="8" hidden="1">#REF!</definedName>
    <definedName name="BExZM85FOVUFF110XMQ9O2ODSJUK" localSheetId="19" hidden="1">#REF!</definedName>
    <definedName name="BExZM85FOVUFF110XMQ9O2ODSJUK" hidden="1">#REF!</definedName>
    <definedName name="BExZMF1MMTZ1TA14PZ8ASSU2CBSP" localSheetId="8" hidden="1">#REF!</definedName>
    <definedName name="BExZMF1MMTZ1TA14PZ8ASSU2CBSP" localSheetId="19" hidden="1">#REF!</definedName>
    <definedName name="BExZMF1MMTZ1TA14PZ8ASSU2CBSP" hidden="1">#REF!</definedName>
    <definedName name="BExZMH54ZU6X4KM0375X9K5VJDZN" localSheetId="8" hidden="1">#REF!</definedName>
    <definedName name="BExZMH54ZU6X4KM0375X9K5VJDZN" localSheetId="19" hidden="1">#REF!</definedName>
    <definedName name="BExZMH54ZU6X4KM0375X9K5VJDZN" hidden="1">#REF!</definedName>
    <definedName name="BExZMKL5YQZD7F0FUCSVFGLPFK52" localSheetId="8" hidden="1">#REF!</definedName>
    <definedName name="BExZMKL5YQZD7F0FUCSVFGLPFK52" localSheetId="19" hidden="1">#REF!</definedName>
    <definedName name="BExZMKL5YQZD7F0FUCSVFGLPFK52" hidden="1">#REF!</definedName>
    <definedName name="BExZMOC3VNZALJM71X2T6FV91GTB" localSheetId="8" hidden="1">#REF!</definedName>
    <definedName name="BExZMOC3VNZALJM71X2T6FV91GTB" localSheetId="19" hidden="1">#REF!</definedName>
    <definedName name="BExZMOC3VNZALJM71X2T6FV91GTB" hidden="1">#REF!</definedName>
    <definedName name="BExZMRHA7TTR9QKJOMONHRVY3YOF" localSheetId="8" hidden="1">#REF!</definedName>
    <definedName name="BExZMRHA7TTR9QKJOMONHRVY3YOF" localSheetId="19" hidden="1">#REF!</definedName>
    <definedName name="BExZMRHA7TTR9QKJOMONHRVY3YOF" hidden="1">#REF!</definedName>
    <definedName name="BExZMXH39OB0I43XEL3K11U3G9PM" localSheetId="8" hidden="1">#REF!</definedName>
    <definedName name="BExZMXH39OB0I43XEL3K11U3G9PM" localSheetId="19" hidden="1">#REF!</definedName>
    <definedName name="BExZMXH39OB0I43XEL3K11U3G9PM" hidden="1">#REF!</definedName>
    <definedName name="BExZMZQ3RBKDHT5GLFNLS52OSJA0" localSheetId="8" hidden="1">#REF!</definedName>
    <definedName name="BExZMZQ3RBKDHT5GLFNLS52OSJA0" localSheetId="19" hidden="1">#REF!</definedName>
    <definedName name="BExZMZQ3RBKDHT5GLFNLS52OSJA0" hidden="1">#REF!</definedName>
    <definedName name="BExZN2F7Y2J2L2LN5WZRG949MS4A" localSheetId="8" hidden="1">#REF!</definedName>
    <definedName name="BExZN2F7Y2J2L2LN5WZRG949MS4A" localSheetId="19" hidden="1">#REF!</definedName>
    <definedName name="BExZN2F7Y2J2L2LN5WZRG949MS4A" hidden="1">#REF!</definedName>
    <definedName name="BExZN847WUWKRYTZWG9TCQZJS3OL" localSheetId="8" hidden="1">#REF!</definedName>
    <definedName name="BExZN847WUWKRYTZWG9TCQZJS3OL" localSheetId="19" hidden="1">#REF!</definedName>
    <definedName name="BExZN847WUWKRYTZWG9TCQZJS3OL" hidden="1">#REF!</definedName>
    <definedName name="BExZNA2ALK6RDWFAXZQCL9TWRDCF" localSheetId="8" hidden="1">#REF!</definedName>
    <definedName name="BExZNA2ALK6RDWFAXZQCL9TWRDCF" localSheetId="19" hidden="1">#REF!</definedName>
    <definedName name="BExZNA2ALK6RDWFAXZQCL9TWRDCF" hidden="1">#REF!</definedName>
    <definedName name="BExZNH3VISFF4NQI11BZDP5IQ7VG" localSheetId="8" hidden="1">#REF!</definedName>
    <definedName name="BExZNH3VISFF4NQI11BZDP5IQ7VG" localSheetId="19" hidden="1">#REF!</definedName>
    <definedName name="BExZNH3VISFF4NQI11BZDP5IQ7VG" hidden="1">#REF!</definedName>
    <definedName name="BExZNJYCFYVMAOI62GB2BABK1ELE" localSheetId="8" hidden="1">#REF!</definedName>
    <definedName name="BExZNJYCFYVMAOI62GB2BABK1ELE" localSheetId="19" hidden="1">#REF!</definedName>
    <definedName name="BExZNJYCFYVMAOI62GB2BABK1ELE" hidden="1">#REF!</definedName>
    <definedName name="BExZNLGAA6ATMJW0Y28J4OI5W27I" localSheetId="8" hidden="1">#REF!</definedName>
    <definedName name="BExZNLGAA6ATMJW0Y28J4OI5W27I" localSheetId="19" hidden="1">#REF!</definedName>
    <definedName name="BExZNLGAA6ATMJW0Y28J4OI5W27I" hidden="1">#REF!</definedName>
    <definedName name="BExZNP7916CH3QP4VCZEULUIKKS5" localSheetId="8" hidden="1">#REF!</definedName>
    <definedName name="BExZNP7916CH3QP4VCZEULUIKKS5" localSheetId="19" hidden="1">#REF!</definedName>
    <definedName name="BExZNP7916CH3QP4VCZEULUIKKS5" hidden="1">#REF!</definedName>
    <definedName name="BExZNV707LIU6Z5H6QI6H67LHTI1" localSheetId="8" hidden="1">#REF!</definedName>
    <definedName name="BExZNV707LIU6Z5H6QI6H67LHTI1" localSheetId="19" hidden="1">#REF!</definedName>
    <definedName name="BExZNV707LIU6Z5H6QI6H67LHTI1" hidden="1">#REF!</definedName>
    <definedName name="BExZNVCBKB930QQ9QW7KSGOZ0V1M" localSheetId="8" hidden="1">#REF!</definedName>
    <definedName name="BExZNVCBKB930QQ9QW7KSGOZ0V1M" localSheetId="19" hidden="1">#REF!</definedName>
    <definedName name="BExZNVCBKB930QQ9QW7KSGOZ0V1M" hidden="1">#REF!</definedName>
    <definedName name="BExZNW8QJ18X0RSGFDWAE9ZSDX39" localSheetId="8" hidden="1">#REF!</definedName>
    <definedName name="BExZNW8QJ18X0RSGFDWAE9ZSDX39" localSheetId="19" hidden="1">#REF!</definedName>
    <definedName name="BExZNW8QJ18X0RSGFDWAE9ZSDX39" hidden="1">#REF!</definedName>
    <definedName name="BExZNZDWRS6Q40L8OCWFEIVI0A1O" localSheetId="8" hidden="1">#REF!</definedName>
    <definedName name="BExZNZDWRS6Q40L8OCWFEIVI0A1O" localSheetId="19" hidden="1">#REF!</definedName>
    <definedName name="BExZNZDWRS6Q40L8OCWFEIVI0A1O" hidden="1">#REF!</definedName>
    <definedName name="BExZOBO9NYLGVJQ31LVQ9XS2ZT4N" localSheetId="8" hidden="1">#REF!</definedName>
    <definedName name="BExZOBO9NYLGVJQ31LVQ9XS2ZT4N" localSheetId="19" hidden="1">#REF!</definedName>
    <definedName name="BExZOBO9NYLGVJQ31LVQ9XS2ZT4N" hidden="1">#REF!</definedName>
    <definedName name="BExZOETNB1CJ3Y2RKLI1ZK0S8Z6H" localSheetId="8" hidden="1">#REF!</definedName>
    <definedName name="BExZOETNB1CJ3Y2RKLI1ZK0S8Z6H" localSheetId="19" hidden="1">#REF!</definedName>
    <definedName name="BExZOETNB1CJ3Y2RKLI1ZK0S8Z6H" hidden="1">#REF!</definedName>
    <definedName name="BExZOREMVSK4E5VSWM838KHUB8AI" localSheetId="8" hidden="1">#REF!</definedName>
    <definedName name="BExZOREMVSK4E5VSWM838KHUB8AI" localSheetId="19" hidden="1">#REF!</definedName>
    <definedName name="BExZOREMVSK4E5VSWM838KHUB8AI" hidden="1">#REF!</definedName>
    <definedName name="BExZOVR745T5P1KS9NV2PXZPZVRG" localSheetId="8" hidden="1">#REF!</definedName>
    <definedName name="BExZOVR745T5P1KS9NV2PXZPZVRG" localSheetId="19" hidden="1">#REF!</definedName>
    <definedName name="BExZOVR745T5P1KS9NV2PXZPZVRG" hidden="1">#REF!</definedName>
    <definedName name="BExZOZSWGLSY2XYVRIS6VSNJDSGD" localSheetId="8" hidden="1">#REF!</definedName>
    <definedName name="BExZOZSWGLSY2XYVRIS6VSNJDSGD" localSheetId="19" hidden="1">#REF!</definedName>
    <definedName name="BExZOZSWGLSY2XYVRIS6VSNJDSGD" hidden="1">#REF!</definedName>
    <definedName name="BExZP7AIJKLM6C6CSUIIFAHFBNX2" localSheetId="8" hidden="1">#REF!</definedName>
    <definedName name="BExZP7AIJKLM6C6CSUIIFAHFBNX2" localSheetId="19" hidden="1">#REF!</definedName>
    <definedName name="BExZP7AIJKLM6C6CSUIIFAHFBNX2" hidden="1">#REF!</definedName>
    <definedName name="BExZPALCPOH27L4MUPX2RFT3F8OM" localSheetId="8" hidden="1">#REF!</definedName>
    <definedName name="BExZPALCPOH27L4MUPX2RFT3F8OM" localSheetId="19" hidden="1">#REF!</definedName>
    <definedName name="BExZPALCPOH27L4MUPX2RFT3F8OM" hidden="1">#REF!</definedName>
    <definedName name="BExZPQ0XY507N8FJMVPKCTK8HC9H" localSheetId="8" hidden="1">#REF!</definedName>
    <definedName name="BExZPQ0XY507N8FJMVPKCTK8HC9H" localSheetId="19" hidden="1">#REF!</definedName>
    <definedName name="BExZPQ0XY507N8FJMVPKCTK8HC9H" hidden="1">#REF!</definedName>
    <definedName name="BExZPXTHEWEN48J9E5ARSA8IGRBI" localSheetId="8" hidden="1">#REF!</definedName>
    <definedName name="BExZPXTHEWEN48J9E5ARSA8IGRBI" localSheetId="19" hidden="1">#REF!</definedName>
    <definedName name="BExZPXTHEWEN48J9E5ARSA8IGRBI" hidden="1">#REF!</definedName>
    <definedName name="BExZQ37OVBR25U32CO2YYVPZOMR5" localSheetId="8" hidden="1">#REF!</definedName>
    <definedName name="BExZQ37OVBR25U32CO2YYVPZOMR5" localSheetId="19" hidden="1">#REF!</definedName>
    <definedName name="BExZQ37OVBR25U32CO2YYVPZOMR5" hidden="1">#REF!</definedName>
    <definedName name="BExZQ3NT7H06VO0AR48WHZULZB93" localSheetId="8" hidden="1">#REF!</definedName>
    <definedName name="BExZQ3NT7H06VO0AR48WHZULZB93" localSheetId="19" hidden="1">#REF!</definedName>
    <definedName name="BExZQ3NT7H06VO0AR48WHZULZB93" hidden="1">#REF!</definedName>
    <definedName name="BExZQ5RCYU1R0DUT1MFN99S1C408" localSheetId="8" hidden="1">#REF!</definedName>
    <definedName name="BExZQ5RCYU1R0DUT1MFN99S1C408" localSheetId="19" hidden="1">#REF!</definedName>
    <definedName name="BExZQ5RCYU1R0DUT1MFN99S1C408" hidden="1">#REF!</definedName>
    <definedName name="BExZQ7PJU07SEJMDX18U9YVDC2GU" localSheetId="8" hidden="1">#REF!</definedName>
    <definedName name="BExZQ7PJU07SEJMDX18U9YVDC2GU" localSheetId="19" hidden="1">#REF!</definedName>
    <definedName name="BExZQ7PJU07SEJMDX18U9YVDC2GU" hidden="1">#REF!</definedName>
    <definedName name="BExZQAJXQ5IJ5RB71EDSPGTRO5HC" localSheetId="8" hidden="1">#REF!</definedName>
    <definedName name="BExZQAJXQ5IJ5RB71EDSPGTRO5HC" localSheetId="19" hidden="1">#REF!</definedName>
    <definedName name="BExZQAJXQ5IJ5RB71EDSPGTRO5HC" hidden="1">#REF!</definedName>
    <definedName name="BExZQBLTKPF3O4MCH6L4LE544FQB" localSheetId="8" hidden="1">#REF!</definedName>
    <definedName name="BExZQBLTKPF3O4MCH6L4LE544FQB" localSheetId="19" hidden="1">#REF!</definedName>
    <definedName name="BExZQBLTKPF3O4MCH6L4LE544FQB" hidden="1">#REF!</definedName>
    <definedName name="BExZQIHTGHK7OOI2Y2PN3JYBY82I" localSheetId="8" hidden="1">#REF!</definedName>
    <definedName name="BExZQIHTGHK7OOI2Y2PN3JYBY82I" localSheetId="19" hidden="1">#REF!</definedName>
    <definedName name="BExZQIHTGHK7OOI2Y2PN3JYBY82I" hidden="1">#REF!</definedName>
    <definedName name="BExZQJJMGU5MHQOILGXGJPAQI5XI" localSheetId="8" hidden="1">#REF!</definedName>
    <definedName name="BExZQJJMGU5MHQOILGXGJPAQI5XI" localSheetId="19" hidden="1">#REF!</definedName>
    <definedName name="BExZQJJMGU5MHQOILGXGJPAQI5XI" hidden="1">#REF!</definedName>
    <definedName name="BExZQL1M2EX5YEQBMNQKVD747N3I" localSheetId="8" hidden="1">#REF!</definedName>
    <definedName name="BExZQL1M2EX5YEQBMNQKVD747N3I" localSheetId="19" hidden="1">#REF!</definedName>
    <definedName name="BExZQL1M2EX5YEQBMNQKVD747N3I" hidden="1">#REF!</definedName>
    <definedName name="BExZQPDYUBJL0C1OME996KHU23N5" localSheetId="8" hidden="1">#REF!</definedName>
    <definedName name="BExZQPDYUBJL0C1OME996KHU23N5" localSheetId="19" hidden="1">#REF!</definedName>
    <definedName name="BExZQPDYUBJL0C1OME996KHU23N5" hidden="1">#REF!</definedName>
    <definedName name="BExZQXBYEBN28QUH1KOVW6KKA5UM" localSheetId="8" hidden="1">#REF!</definedName>
    <definedName name="BExZQXBYEBN28QUH1KOVW6KKA5UM" localSheetId="19" hidden="1">#REF!</definedName>
    <definedName name="BExZQXBYEBN28QUH1KOVW6KKA5UM" hidden="1">#REF!</definedName>
    <definedName name="BExZQZKT146WEN8FTVZ7Y5TSB8L5" localSheetId="8" hidden="1">#REF!</definedName>
    <definedName name="BExZQZKT146WEN8FTVZ7Y5TSB8L5" localSheetId="19" hidden="1">#REF!</definedName>
    <definedName name="BExZQZKT146WEN8FTVZ7Y5TSB8L5" hidden="1">#REF!</definedName>
    <definedName name="BExZR485AKBH93YZ08CMUC3WROED" localSheetId="8" hidden="1">#REF!</definedName>
    <definedName name="BExZR485AKBH93YZ08CMUC3WROED" localSheetId="19" hidden="1">#REF!</definedName>
    <definedName name="BExZR485AKBH93YZ08CMUC3WROED" hidden="1">#REF!</definedName>
    <definedName name="BExZR7TL98P2PPUVGIZYR5873DWW" localSheetId="8" hidden="1">#REF!</definedName>
    <definedName name="BExZR7TL98P2PPUVGIZYR5873DWW" localSheetId="19" hidden="1">#REF!</definedName>
    <definedName name="BExZR7TL98P2PPUVGIZYR5873DWW" hidden="1">#REF!</definedName>
    <definedName name="BExZRAYSYOXAM1PBW1EF6YAZ9RU3" localSheetId="8" hidden="1">#REF!</definedName>
    <definedName name="BExZRAYSYOXAM1PBW1EF6YAZ9RU3" localSheetId="19" hidden="1">#REF!</definedName>
    <definedName name="BExZRAYSYOXAM1PBW1EF6YAZ9RU3" hidden="1">#REF!</definedName>
    <definedName name="BExZRGD1603X5ACFALUUDKCD7X48" localSheetId="8" hidden="1">#REF!</definedName>
    <definedName name="BExZRGD1603X5ACFALUUDKCD7X48" localSheetId="19" hidden="1">#REF!</definedName>
    <definedName name="BExZRGD1603X5ACFALUUDKCD7X48" hidden="1">#REF!</definedName>
    <definedName name="BExZRMSYHFOP8FFWKKUSBHU85J81" localSheetId="8" hidden="1">#REF!</definedName>
    <definedName name="BExZRMSYHFOP8FFWKKUSBHU85J81" localSheetId="19" hidden="1">#REF!</definedName>
    <definedName name="BExZRMSYHFOP8FFWKKUSBHU85J81" hidden="1">#REF!</definedName>
    <definedName name="BExZRP1X6UVLN1UOLHH5VF4STP1O" localSheetId="8" hidden="1">#REF!</definedName>
    <definedName name="BExZRP1X6UVLN1UOLHH5VF4STP1O" localSheetId="19" hidden="1">#REF!</definedName>
    <definedName name="BExZRP1X6UVLN1UOLHH5VF4STP1O" hidden="1">#REF!</definedName>
    <definedName name="BExZRQ930U6OCYNV00CH5I0Q4LPE" localSheetId="8" hidden="1">#REF!</definedName>
    <definedName name="BExZRQ930U6OCYNV00CH5I0Q4LPE" localSheetId="19" hidden="1">#REF!</definedName>
    <definedName name="BExZRQ930U6OCYNV00CH5I0Q4LPE" hidden="1">#REF!</definedName>
    <definedName name="BExZRQP7JLKS45QOGATXS7MK5GUZ" localSheetId="8" hidden="1">#REF!</definedName>
    <definedName name="BExZRQP7JLKS45QOGATXS7MK5GUZ" localSheetId="19" hidden="1">#REF!</definedName>
    <definedName name="BExZRQP7JLKS45QOGATXS7MK5GUZ" hidden="1">#REF!</definedName>
    <definedName name="BExZRW8W514W8OZ72YBONYJ64GXF" localSheetId="8" hidden="1">#REF!</definedName>
    <definedName name="BExZRW8W514W8OZ72YBONYJ64GXF" localSheetId="19" hidden="1">#REF!</definedName>
    <definedName name="BExZRW8W514W8OZ72YBONYJ64GXF" hidden="1">#REF!</definedName>
    <definedName name="BExZRWJP2BUVFJPO8U8ATQEP0LZU" localSheetId="8" hidden="1">#REF!</definedName>
    <definedName name="BExZRWJP2BUVFJPO8U8ATQEP0LZU" localSheetId="19" hidden="1">#REF!</definedName>
    <definedName name="BExZRWJP2BUVFJPO8U8ATQEP0LZU" hidden="1">#REF!</definedName>
    <definedName name="BExZSI9USDLZAN8LI8M4YYQL24GZ" localSheetId="8" hidden="1">#REF!</definedName>
    <definedName name="BExZSI9USDLZAN8LI8M4YYQL24GZ" localSheetId="19" hidden="1">#REF!</definedName>
    <definedName name="BExZSI9USDLZAN8LI8M4YYQL24GZ" hidden="1">#REF!</definedName>
    <definedName name="BExZSLKO175YAM0RMMZH1FPXL4V2" localSheetId="8" hidden="1">#REF!</definedName>
    <definedName name="BExZSLKO175YAM0RMMZH1FPXL4V2" localSheetId="19" hidden="1">#REF!</definedName>
    <definedName name="BExZSLKO175YAM0RMMZH1FPXL4V2" hidden="1">#REF!</definedName>
    <definedName name="BExZSS0LA2JY4ZLJ1Z5YCMLJJZCH" localSheetId="8" hidden="1">#REF!</definedName>
    <definedName name="BExZSS0LA2JY4ZLJ1Z5YCMLJJZCH" localSheetId="19" hidden="1">#REF!</definedName>
    <definedName name="BExZSS0LA2JY4ZLJ1Z5YCMLJJZCH" hidden="1">#REF!</definedName>
    <definedName name="BExZSTNUWCRNCL22SMKXKFSLCJ0O" localSheetId="8" hidden="1">#REF!</definedName>
    <definedName name="BExZSTNUWCRNCL22SMKXKFSLCJ0O" localSheetId="19" hidden="1">#REF!</definedName>
    <definedName name="BExZSTNUWCRNCL22SMKXKFSLCJ0O" hidden="1">#REF!</definedName>
    <definedName name="BExZSYRA4NR7K6RLC3I81QSG5SQR" localSheetId="8" hidden="1">#REF!</definedName>
    <definedName name="BExZSYRA4NR7K6RLC3I81QSG5SQR" localSheetId="19" hidden="1">#REF!</definedName>
    <definedName name="BExZSYRA4NR7K6RLC3I81QSG5SQR" hidden="1">#REF!</definedName>
    <definedName name="BExZT6JSZ8CBS0SB3T07N3LMAX7M" localSheetId="8" hidden="1">#REF!</definedName>
    <definedName name="BExZT6JSZ8CBS0SB3T07N3LMAX7M" localSheetId="19" hidden="1">#REF!</definedName>
    <definedName name="BExZT6JSZ8CBS0SB3T07N3LMAX7M" hidden="1">#REF!</definedName>
    <definedName name="BExZTAQV2QVSZY5Y3VCCWUBSBW9P" localSheetId="8" hidden="1">#REF!</definedName>
    <definedName name="BExZTAQV2QVSZY5Y3VCCWUBSBW9P" localSheetId="19" hidden="1">#REF!</definedName>
    <definedName name="BExZTAQV2QVSZY5Y3VCCWUBSBW9P" hidden="1">#REF!</definedName>
    <definedName name="BExZTHSI2FX56PWRSNX9H5EWTZFO" localSheetId="8" hidden="1">#REF!</definedName>
    <definedName name="BExZTHSI2FX56PWRSNX9H5EWTZFO" localSheetId="19" hidden="1">#REF!</definedName>
    <definedName name="BExZTHSI2FX56PWRSNX9H5EWTZFO" hidden="1">#REF!</definedName>
    <definedName name="BExZTJL3HVBFY139H6CJHEQCT1EL" localSheetId="8" hidden="1">#REF!</definedName>
    <definedName name="BExZTJL3HVBFY139H6CJHEQCT1EL" localSheetId="19" hidden="1">#REF!</definedName>
    <definedName name="BExZTJL3HVBFY139H6CJHEQCT1EL" hidden="1">#REF!</definedName>
    <definedName name="BExZTLOL8OPABZI453E0KVNA1GJS" localSheetId="8" hidden="1">#REF!</definedName>
    <definedName name="BExZTLOL8OPABZI453E0KVNA1GJS" localSheetId="19" hidden="1">#REF!</definedName>
    <definedName name="BExZTLOL8OPABZI453E0KVNA1GJS" hidden="1">#REF!</definedName>
    <definedName name="BExZTOTZ9F2ZI18DZM8GW39VDF1N" localSheetId="8" hidden="1">#REF!</definedName>
    <definedName name="BExZTOTZ9F2ZI18DZM8GW39VDF1N" localSheetId="19" hidden="1">#REF!</definedName>
    <definedName name="BExZTOTZ9F2ZI18DZM8GW39VDF1N" hidden="1">#REF!</definedName>
    <definedName name="BExZTT6J3X0TOX0ZY6YPLUVMCW9X" localSheetId="8" hidden="1">#REF!</definedName>
    <definedName name="BExZTT6J3X0TOX0ZY6YPLUVMCW9X" localSheetId="19" hidden="1">#REF!</definedName>
    <definedName name="BExZTT6J3X0TOX0ZY6YPLUVMCW9X" hidden="1">#REF!</definedName>
    <definedName name="BExZTW6ECBRA0BBITWBQ8R93RMCL" localSheetId="8" hidden="1">#REF!</definedName>
    <definedName name="BExZTW6ECBRA0BBITWBQ8R93RMCL" localSheetId="19" hidden="1">#REF!</definedName>
    <definedName name="BExZTW6ECBRA0BBITWBQ8R93RMCL" hidden="1">#REF!</definedName>
    <definedName name="BExZU2BHYAOKSCBM3C5014ZF6IXS" localSheetId="8" hidden="1">#REF!</definedName>
    <definedName name="BExZU2BHYAOKSCBM3C5014ZF6IXS" localSheetId="19" hidden="1">#REF!</definedName>
    <definedName name="BExZU2BHYAOKSCBM3C5014ZF6IXS" hidden="1">#REF!</definedName>
    <definedName name="BExZU2RMJTXOCS0ROPMYPE6WTD87" localSheetId="8" hidden="1">#REF!</definedName>
    <definedName name="BExZU2RMJTXOCS0ROPMYPE6WTD87" localSheetId="19" hidden="1">#REF!</definedName>
    <definedName name="BExZU2RMJTXOCS0ROPMYPE6WTD87" hidden="1">#REF!</definedName>
    <definedName name="BExZUBRAHA9DNEGONEZEB2TDVFC2" localSheetId="8" hidden="1">#REF!</definedName>
    <definedName name="BExZUBRAHA9DNEGONEZEB2TDVFC2" localSheetId="19" hidden="1">#REF!</definedName>
    <definedName name="BExZUBRAHA9DNEGONEZEB2TDVFC2" hidden="1">#REF!</definedName>
    <definedName name="BExZUF7G8FENTJKH9R1XUWXM6CWD" localSheetId="8" hidden="1">#REF!</definedName>
    <definedName name="BExZUF7G8FENTJKH9R1XUWXM6CWD" localSheetId="19" hidden="1">#REF!</definedName>
    <definedName name="BExZUF7G8FENTJKH9R1XUWXM6CWD" hidden="1">#REF!</definedName>
    <definedName name="BExZUNARUJBIZ08VCAV3GEVBIR3D" localSheetId="8" hidden="1">#REF!</definedName>
    <definedName name="BExZUNARUJBIZ08VCAV3GEVBIR3D" localSheetId="19" hidden="1">#REF!</definedName>
    <definedName name="BExZUNARUJBIZ08VCAV3GEVBIR3D" hidden="1">#REF!</definedName>
    <definedName name="BExZUSZT5496UMBP4LFSLTR1GVEW" localSheetId="8" hidden="1">#REF!</definedName>
    <definedName name="BExZUSZT5496UMBP4LFSLTR1GVEW" localSheetId="19" hidden="1">#REF!</definedName>
    <definedName name="BExZUSZT5496UMBP4LFSLTR1GVEW" hidden="1">#REF!</definedName>
    <definedName name="BExZUT54340I38GVCV79EL116WR0" localSheetId="8" hidden="1">#REF!</definedName>
    <definedName name="BExZUT54340I38GVCV79EL116WR0" localSheetId="19" hidden="1">#REF!</definedName>
    <definedName name="BExZUT54340I38GVCV79EL116WR0" hidden="1">#REF!</definedName>
    <definedName name="BExZUXC66MK2SXPXCLD8ZSU0BMTY" localSheetId="8" hidden="1">#REF!</definedName>
    <definedName name="BExZUXC66MK2SXPXCLD8ZSU0BMTY" localSheetId="19" hidden="1">#REF!</definedName>
    <definedName name="BExZUXC66MK2SXPXCLD8ZSU0BMTY" hidden="1">#REF!</definedName>
    <definedName name="BExZUYDULCX65H9OZ9JHPBNKF3MI" localSheetId="8" hidden="1">#REF!</definedName>
    <definedName name="BExZUYDULCX65H9OZ9JHPBNKF3MI" localSheetId="19" hidden="1">#REF!</definedName>
    <definedName name="BExZUYDULCX65H9OZ9JHPBNKF3MI" hidden="1">#REF!</definedName>
    <definedName name="BExZV2QD5ZDK3AGDRULLA7JB46C3" localSheetId="8" hidden="1">#REF!</definedName>
    <definedName name="BExZV2QD5ZDK3AGDRULLA7JB46C3" localSheetId="19" hidden="1">#REF!</definedName>
    <definedName name="BExZV2QD5ZDK3AGDRULLA7JB46C3" hidden="1">#REF!</definedName>
    <definedName name="BExZVBQ29OM0V8XAL3HL0JIM0MMU" localSheetId="8" hidden="1">#REF!</definedName>
    <definedName name="BExZVBQ29OM0V8XAL3HL0JIM0MMU" localSheetId="19" hidden="1">#REF!</definedName>
    <definedName name="BExZVBQ29OM0V8XAL3HL0JIM0MMU" hidden="1">#REF!</definedName>
    <definedName name="BExZVKV2XCPCINW1KP8Q1FI6KDNG" localSheetId="8" hidden="1">#REF!</definedName>
    <definedName name="BExZVKV2XCPCINW1KP8Q1FI6KDNG" localSheetId="19" hidden="1">#REF!</definedName>
    <definedName name="BExZVKV2XCPCINW1KP8Q1FI6KDNG" hidden="1">#REF!</definedName>
    <definedName name="BExZVLM4T9ORS4ZWHME46U4Q103C" localSheetId="8" hidden="1">#REF!</definedName>
    <definedName name="BExZVLM4T9ORS4ZWHME46U4Q103C" localSheetId="19" hidden="1">#REF!</definedName>
    <definedName name="BExZVLM4T9ORS4ZWHME46U4Q103C" hidden="1">#REF!</definedName>
    <definedName name="BExZVM7OZWPPRH5YQW50EYMMIW1A" localSheetId="8" hidden="1">#REF!</definedName>
    <definedName name="BExZVM7OZWPPRH5YQW50EYMMIW1A" localSheetId="19" hidden="1">#REF!</definedName>
    <definedName name="BExZVM7OZWPPRH5YQW50EYMMIW1A" hidden="1">#REF!</definedName>
    <definedName name="BExZVMYK7BAH6AGIAEXBE1NXDZ5Z" localSheetId="8" hidden="1">#REF!</definedName>
    <definedName name="BExZVMYK7BAH6AGIAEXBE1NXDZ5Z" localSheetId="19" hidden="1">#REF!</definedName>
    <definedName name="BExZVMYK7BAH6AGIAEXBE1NXDZ5Z" hidden="1">#REF!</definedName>
    <definedName name="BExZVPYGX2C5OSHMZ6F0KBKZ6B1S" localSheetId="8" hidden="1">#REF!</definedName>
    <definedName name="BExZVPYGX2C5OSHMZ6F0KBKZ6B1S" localSheetId="19" hidden="1">#REF!</definedName>
    <definedName name="BExZVPYGX2C5OSHMZ6F0KBKZ6B1S" hidden="1">#REF!</definedName>
    <definedName name="BExZW3LHTS7PFBNTYM95N8J5AFYQ" localSheetId="8" hidden="1">#REF!</definedName>
    <definedName name="BExZW3LHTS7PFBNTYM95N8J5AFYQ" localSheetId="19" hidden="1">#REF!</definedName>
    <definedName name="BExZW3LHTS7PFBNTYM95N8J5AFYQ" hidden="1">#REF!</definedName>
    <definedName name="BExZW472V5ADKCFHIKAJ6D4R8MU4" localSheetId="8" hidden="1">#REF!</definedName>
    <definedName name="BExZW472V5ADKCFHIKAJ6D4R8MU4" localSheetId="19" hidden="1">#REF!</definedName>
    <definedName name="BExZW472V5ADKCFHIKAJ6D4R8MU4" hidden="1">#REF!</definedName>
    <definedName name="BExZW5UARC8W9AQNLJX2I5WQWS5F" localSheetId="8" hidden="1">#REF!</definedName>
    <definedName name="BExZW5UARC8W9AQNLJX2I5WQWS5F" localSheetId="19" hidden="1">#REF!</definedName>
    <definedName name="BExZW5UARC8W9AQNLJX2I5WQWS5F" hidden="1">#REF!</definedName>
    <definedName name="BExZW7HRGN6A9YS41KI2B2UUMJ7X" localSheetId="8" hidden="1">#REF!</definedName>
    <definedName name="BExZW7HRGN6A9YS41KI2B2UUMJ7X" localSheetId="19" hidden="1">#REF!</definedName>
    <definedName name="BExZW7HRGN6A9YS41KI2B2UUMJ7X" hidden="1">#REF!</definedName>
    <definedName name="BExZW8ZPNV43UXGOT98FDNIBQHZY" localSheetId="8" hidden="1">#REF!</definedName>
    <definedName name="BExZW8ZPNV43UXGOT98FDNIBQHZY" localSheetId="19" hidden="1">#REF!</definedName>
    <definedName name="BExZW8ZPNV43UXGOT98FDNIBQHZY" hidden="1">#REF!</definedName>
    <definedName name="BExZWKZ5N3RDXU8MZ8HQVYYD8O0F" localSheetId="8" hidden="1">#REF!</definedName>
    <definedName name="BExZWKZ5N3RDXU8MZ8HQVYYD8O0F" localSheetId="19" hidden="1">#REF!</definedName>
    <definedName name="BExZWKZ5N3RDXU8MZ8HQVYYD8O0F" hidden="1">#REF!</definedName>
    <definedName name="BExZWMBRUCPO6F4QT5FNX8JRFL7V" localSheetId="8" hidden="1">#REF!</definedName>
    <definedName name="BExZWMBRUCPO6F4QT5FNX8JRFL7V" localSheetId="19" hidden="1">#REF!</definedName>
    <definedName name="BExZWMBRUCPO6F4QT5FNX8JRFL7V" hidden="1">#REF!</definedName>
    <definedName name="BExZWQO5171HT1OZ6D6JZBHEW4JG" localSheetId="8" hidden="1">#REF!</definedName>
    <definedName name="BExZWQO5171HT1OZ6D6JZBHEW4JG" localSheetId="19" hidden="1">#REF!</definedName>
    <definedName name="BExZWQO5171HT1OZ6D6JZBHEW4JG" hidden="1">#REF!</definedName>
    <definedName name="BExZWSMC9T48W74GFGQCIUJ8ZPP3" localSheetId="8" hidden="1">#REF!</definedName>
    <definedName name="BExZWSMC9T48W74GFGQCIUJ8ZPP3" localSheetId="19" hidden="1">#REF!</definedName>
    <definedName name="BExZWSMC9T48W74GFGQCIUJ8ZPP3" hidden="1">#REF!</definedName>
    <definedName name="BExZWUF2V4HY3HI8JN9ZVPRWK1H3" localSheetId="8" hidden="1">#REF!</definedName>
    <definedName name="BExZWUF2V4HY3HI8JN9ZVPRWK1H3" localSheetId="19" hidden="1">#REF!</definedName>
    <definedName name="BExZWUF2V4HY3HI8JN9ZVPRWK1H3" hidden="1">#REF!</definedName>
    <definedName name="BExZWX45URTK9KYDJHEXL1OTZ833" localSheetId="8" hidden="1">#REF!</definedName>
    <definedName name="BExZWX45URTK9KYDJHEXL1OTZ833" localSheetId="19" hidden="1">#REF!</definedName>
    <definedName name="BExZWX45URTK9KYDJHEXL1OTZ833" hidden="1">#REF!</definedName>
    <definedName name="BExZX0EWQEZO86WDAD9A4EAEZ012" localSheetId="8" hidden="1">#REF!</definedName>
    <definedName name="BExZX0EWQEZO86WDAD9A4EAEZ012" localSheetId="19" hidden="1">#REF!</definedName>
    <definedName name="BExZX0EWQEZO86WDAD9A4EAEZ012" hidden="1">#REF!</definedName>
    <definedName name="BExZX2T6ZT2DZLYSDJJBPVIT5OK2" localSheetId="8" hidden="1">#REF!</definedName>
    <definedName name="BExZX2T6ZT2DZLYSDJJBPVIT5OK2" localSheetId="19" hidden="1">#REF!</definedName>
    <definedName name="BExZX2T6ZT2DZLYSDJJBPVIT5OK2" hidden="1">#REF!</definedName>
    <definedName name="BExZXOJDELULNLEH7WG0OYJT0NJ4" localSheetId="8" hidden="1">#REF!</definedName>
    <definedName name="BExZXOJDELULNLEH7WG0OYJT0NJ4" localSheetId="19" hidden="1">#REF!</definedName>
    <definedName name="BExZXOJDELULNLEH7WG0OYJT0NJ4" hidden="1">#REF!</definedName>
    <definedName name="BExZXOOTRNUK8LGEAZ8ZCFW9KXQ1" localSheetId="8" hidden="1">#REF!</definedName>
    <definedName name="BExZXOOTRNUK8LGEAZ8ZCFW9KXQ1" localSheetId="19" hidden="1">#REF!</definedName>
    <definedName name="BExZXOOTRNUK8LGEAZ8ZCFW9KXQ1" hidden="1">#REF!</definedName>
    <definedName name="BExZXT6JOXNKEDU23DKL8XZAJZIH" localSheetId="8" hidden="1">#REF!</definedName>
    <definedName name="BExZXT6JOXNKEDU23DKL8XZAJZIH" localSheetId="19" hidden="1">#REF!</definedName>
    <definedName name="BExZXT6JOXNKEDU23DKL8XZAJZIH" hidden="1">#REF!</definedName>
    <definedName name="BExZXUTYW1HWEEZ1LIX4OQWC7HL1" localSheetId="8" hidden="1">#REF!</definedName>
    <definedName name="BExZXUTYW1HWEEZ1LIX4OQWC7HL1" localSheetId="19" hidden="1">#REF!</definedName>
    <definedName name="BExZXUTYW1HWEEZ1LIX4OQWC7HL1" hidden="1">#REF!</definedName>
    <definedName name="BExZXY4NKQL9QD76YMQJ15U1C2G8" localSheetId="8" hidden="1">#REF!</definedName>
    <definedName name="BExZXY4NKQL9QD76YMQJ15U1C2G8" localSheetId="19" hidden="1">#REF!</definedName>
    <definedName name="BExZXY4NKQL9QD76YMQJ15U1C2G8" hidden="1">#REF!</definedName>
    <definedName name="BExZXYQ7U5G08FQGUIGYT14QCBOF" localSheetId="8" hidden="1">#REF!</definedName>
    <definedName name="BExZXYQ7U5G08FQGUIGYT14QCBOF" localSheetId="19" hidden="1">#REF!</definedName>
    <definedName name="BExZXYQ7U5G08FQGUIGYT14QCBOF" hidden="1">#REF!</definedName>
    <definedName name="BExZY02V77YJBMODJSWZOYCMPS5X" localSheetId="8" hidden="1">#REF!</definedName>
    <definedName name="BExZY02V77YJBMODJSWZOYCMPS5X" localSheetId="19" hidden="1">#REF!</definedName>
    <definedName name="BExZY02V77YJBMODJSWZOYCMPS5X" hidden="1">#REF!</definedName>
    <definedName name="BExZY3DEOYNIHRV56IY5LJXZK8RU" localSheetId="8" hidden="1">#REF!</definedName>
    <definedName name="BExZY3DEOYNIHRV56IY5LJXZK8RU" localSheetId="19" hidden="1">#REF!</definedName>
    <definedName name="BExZY3DEOYNIHRV56IY5LJXZK8RU" hidden="1">#REF!</definedName>
    <definedName name="BExZY49QRZIR6CA41LFA9LM6EULU" localSheetId="8" hidden="1">#REF!</definedName>
    <definedName name="BExZY49QRZIR6CA41LFA9LM6EULU" localSheetId="19" hidden="1">#REF!</definedName>
    <definedName name="BExZY49QRZIR6CA41LFA9LM6EULU" hidden="1">#REF!</definedName>
    <definedName name="BExZYTG2G7W27YATTETFDDCZ0C4U" localSheetId="8" hidden="1">#REF!</definedName>
    <definedName name="BExZYTG2G7W27YATTETFDDCZ0C4U" localSheetId="19" hidden="1">#REF!</definedName>
    <definedName name="BExZYTG2G7W27YATTETFDDCZ0C4U" hidden="1">#REF!</definedName>
    <definedName name="BExZYYOZMC36ROQDWLR5Z17WKHCR" localSheetId="8" hidden="1">#REF!</definedName>
    <definedName name="BExZYYOZMC36ROQDWLR5Z17WKHCR" localSheetId="19" hidden="1">#REF!</definedName>
    <definedName name="BExZYYOZMC36ROQDWLR5Z17WKHCR" hidden="1">#REF!</definedName>
    <definedName name="BExZZ2FQA9A8C7CJKMEFQ9VPSLCE" localSheetId="8" hidden="1">#REF!</definedName>
    <definedName name="BExZZ2FQA9A8C7CJKMEFQ9VPSLCE" localSheetId="19" hidden="1">#REF!</definedName>
    <definedName name="BExZZ2FQA9A8C7CJKMEFQ9VPSLCE" hidden="1">#REF!</definedName>
    <definedName name="BExZZ7ZGXIMA3OVYAWY3YQSK64LF" localSheetId="8" hidden="1">#REF!</definedName>
    <definedName name="BExZZ7ZGXIMA3OVYAWY3YQSK64LF" localSheetId="19" hidden="1">#REF!</definedName>
    <definedName name="BExZZ7ZGXIMA3OVYAWY3YQSK64LF" hidden="1">#REF!</definedName>
    <definedName name="BExZZ8FKEIFG203MU6SEJ69MINCD" localSheetId="8" hidden="1">#REF!</definedName>
    <definedName name="BExZZ8FKEIFG203MU6SEJ69MINCD" localSheetId="19" hidden="1">#REF!</definedName>
    <definedName name="BExZZ8FKEIFG203MU6SEJ69MINCD" hidden="1">#REF!</definedName>
    <definedName name="BExZZCHAVHW8C2H649KRGVQ0WVRT" localSheetId="8" hidden="1">#REF!</definedName>
    <definedName name="BExZZCHAVHW8C2H649KRGVQ0WVRT" localSheetId="19" hidden="1">#REF!</definedName>
    <definedName name="BExZZCHAVHW8C2H649KRGVQ0WVRT" hidden="1">#REF!</definedName>
    <definedName name="BExZZTK54OTLF2YB68BHGOS27GEN" localSheetId="8" hidden="1">#REF!</definedName>
    <definedName name="BExZZTK54OTLF2YB68BHGOS27GEN" localSheetId="19" hidden="1">#REF!</definedName>
    <definedName name="BExZZTK54OTLF2YB68BHGOS27GEN" hidden="1">#REF!</definedName>
    <definedName name="BExZZXB3JQQG4SIZS4MRU6NNW7HI" localSheetId="8" hidden="1">#REF!</definedName>
    <definedName name="BExZZXB3JQQG4SIZS4MRU6NNW7HI" localSheetId="19" hidden="1">#REF!</definedName>
    <definedName name="BExZZXB3JQQG4SIZS4MRU6NNW7HI" hidden="1">#REF!</definedName>
    <definedName name="BExZZZEMIIFKMLLV4DJKX5TB9R5V" localSheetId="8" hidden="1">#REF!</definedName>
    <definedName name="BExZZZEMIIFKMLLV4DJKX5TB9R5V" localSheetId="19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8" hidden="1">#REF!</definedName>
    <definedName name="Transfer" localSheetId="19" hidden="1">#REF!</definedName>
    <definedName name="Transfer" hidden="1">#REF!</definedName>
    <definedName name="Transfers" localSheetId="8" hidden="1">#REF!</definedName>
    <definedName name="Transfers" localSheetId="19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4" i="37" l="1"/>
  <c r="U25" i="37"/>
  <c r="U26" i="37"/>
  <c r="U27" i="37"/>
  <c r="U28" i="37"/>
  <c r="U29" i="37"/>
  <c r="U30" i="37"/>
  <c r="U31" i="37"/>
  <c r="U32" i="37"/>
  <c r="U24" i="37"/>
  <c r="L46" i="37"/>
  <c r="L47" i="37"/>
  <c r="L48" i="37"/>
  <c r="L49" i="37"/>
  <c r="L50" i="37"/>
  <c r="L51" i="37"/>
  <c r="L52" i="37"/>
  <c r="L53" i="37"/>
  <c r="L54" i="37"/>
  <c r="L55" i="37"/>
  <c r="L56" i="37"/>
  <c r="L57" i="37"/>
  <c r="L45" i="37"/>
  <c r="N45" i="37" s="1"/>
  <c r="D30" i="37"/>
  <c r="G9" i="37"/>
  <c r="E9" i="37"/>
  <c r="AM54" i="41" l="1"/>
  <c r="AA54" i="41"/>
  <c r="O54" i="41"/>
  <c r="AM22" i="41"/>
  <c r="AA22" i="41"/>
  <c r="O22" i="41"/>
  <c r="E73" i="37" l="1"/>
  <c r="E85" i="37" l="1"/>
  <c r="C85" i="37"/>
  <c r="B85" i="37"/>
  <c r="M57" i="37"/>
  <c r="O57" i="37" s="1"/>
  <c r="N57" i="37"/>
  <c r="M56" i="37"/>
  <c r="O56" i="37" s="1"/>
  <c r="N56" i="37"/>
  <c r="M55" i="37"/>
  <c r="O55" i="37" s="1"/>
  <c r="N55" i="37"/>
  <c r="M54" i="37"/>
  <c r="O54" i="37" s="1"/>
  <c r="N54" i="37"/>
  <c r="M53" i="37"/>
  <c r="O53" i="37" s="1"/>
  <c r="N53" i="37"/>
  <c r="N52" i="37"/>
  <c r="M52" i="37"/>
  <c r="O52" i="37" s="1"/>
  <c r="M51" i="37"/>
  <c r="N51" i="37"/>
  <c r="M50" i="37"/>
  <c r="O50" i="37" s="1"/>
  <c r="N50" i="37"/>
  <c r="N49" i="37"/>
  <c r="M49" i="37"/>
  <c r="O49" i="37" s="1"/>
  <c r="M48" i="37"/>
  <c r="O48" i="37" s="1"/>
  <c r="N48" i="37"/>
  <c r="M47" i="37"/>
  <c r="O47" i="37" s="1"/>
  <c r="N47" i="37"/>
  <c r="M46" i="37"/>
  <c r="O46" i="37" s="1"/>
  <c r="N46" i="37"/>
  <c r="M45" i="37"/>
  <c r="F41" i="37"/>
  <c r="E41" i="37"/>
  <c r="D41" i="37"/>
  <c r="C41" i="37"/>
  <c r="F39" i="37"/>
  <c r="E39" i="37"/>
  <c r="D39" i="37"/>
  <c r="C39" i="37"/>
  <c r="F37" i="37"/>
  <c r="E37" i="37"/>
  <c r="C37" i="37"/>
  <c r="G34" i="37"/>
  <c r="I34" i="37" s="1"/>
  <c r="O33" i="37"/>
  <c r="G33" i="37"/>
  <c r="AA32" i="37"/>
  <c r="T32" i="37"/>
  <c r="V32" i="37" s="1"/>
  <c r="Q32" i="37"/>
  <c r="S32" i="37" s="1"/>
  <c r="P32" i="37"/>
  <c r="G32" i="37"/>
  <c r="AA31" i="37"/>
  <c r="T31" i="37"/>
  <c r="V31" i="37" s="1"/>
  <c r="Q31" i="37"/>
  <c r="S31" i="37" s="1"/>
  <c r="P31" i="37"/>
  <c r="G31" i="37"/>
  <c r="AA30" i="37"/>
  <c r="T30" i="37"/>
  <c r="V30" i="37" s="1"/>
  <c r="Q30" i="37"/>
  <c r="S30" i="37" s="1"/>
  <c r="P30" i="37"/>
  <c r="AA29" i="37"/>
  <c r="T29" i="37"/>
  <c r="V29" i="37" s="1"/>
  <c r="Q29" i="37"/>
  <c r="S29" i="37" s="1"/>
  <c r="P29" i="37"/>
  <c r="G29" i="37"/>
  <c r="AA28" i="37"/>
  <c r="T28" i="37"/>
  <c r="V28" i="37" s="1"/>
  <c r="Q28" i="37"/>
  <c r="S28" i="37" s="1"/>
  <c r="P28" i="37"/>
  <c r="G28" i="37"/>
  <c r="AA27" i="37"/>
  <c r="T27" i="37"/>
  <c r="V27" i="37" s="1"/>
  <c r="Q27" i="37"/>
  <c r="S27" i="37" s="1"/>
  <c r="P27" i="37"/>
  <c r="G27" i="37"/>
  <c r="AA26" i="37"/>
  <c r="T26" i="37"/>
  <c r="V26" i="37" s="1"/>
  <c r="Q26" i="37"/>
  <c r="S26" i="37" s="1"/>
  <c r="P26" i="37"/>
  <c r="G26" i="37"/>
  <c r="AA25" i="37"/>
  <c r="T25" i="37"/>
  <c r="V25" i="37" s="1"/>
  <c r="Q25" i="37"/>
  <c r="S25" i="37" s="1"/>
  <c r="P25" i="37"/>
  <c r="G25" i="37"/>
  <c r="AA24" i="37"/>
  <c r="T24" i="37"/>
  <c r="Q24" i="37"/>
  <c r="P24" i="37"/>
  <c r="G24" i="37"/>
  <c r="AD23" i="37"/>
  <c r="AA23" i="37"/>
  <c r="Z23" i="37"/>
  <c r="X23" i="37"/>
  <c r="V23" i="37"/>
  <c r="T23" i="37"/>
  <c r="Q23" i="37"/>
  <c r="P23" i="37"/>
  <c r="O23" i="37"/>
  <c r="G21" i="37"/>
  <c r="F21" i="37"/>
  <c r="E21" i="37"/>
  <c r="C21" i="37"/>
  <c r="O35" i="24" s="1"/>
  <c r="G19" i="37"/>
  <c r="F19" i="37"/>
  <c r="E19" i="37"/>
  <c r="C19" i="37"/>
  <c r="F17" i="37"/>
  <c r="C17" i="37"/>
  <c r="H16" i="37"/>
  <c r="I16" i="37" s="1"/>
  <c r="I15" i="37"/>
  <c r="H15" i="37"/>
  <c r="G73" i="37" s="1"/>
  <c r="I14" i="37"/>
  <c r="J14" i="37" s="1"/>
  <c r="H13" i="37"/>
  <c r="H12" i="37"/>
  <c r="H11" i="37"/>
  <c r="H10" i="37"/>
  <c r="H9" i="37"/>
  <c r="E68" i="37" s="1"/>
  <c r="E17" i="37"/>
  <c r="K8" i="37"/>
  <c r="H8" i="37"/>
  <c r="K7" i="37"/>
  <c r="H7" i="37"/>
  <c r="K6" i="37"/>
  <c r="H6" i="37"/>
  <c r="K5" i="37"/>
  <c r="H5" i="37"/>
  <c r="K4" i="37"/>
  <c r="H4" i="37"/>
  <c r="K3" i="37"/>
  <c r="H3" i="37"/>
  <c r="O45" i="37" l="1"/>
  <c r="P45" i="37" s="1"/>
  <c r="P57" i="37"/>
  <c r="I69" i="37"/>
  <c r="E69" i="37"/>
  <c r="X26" i="37"/>
  <c r="X31" i="37"/>
  <c r="F70" i="37"/>
  <c r="F78" i="37" s="1"/>
  <c r="E70" i="37"/>
  <c r="I11" i="37"/>
  <c r="J11" i="37" s="1"/>
  <c r="K14" i="37"/>
  <c r="D85" i="37"/>
  <c r="D84" i="37"/>
  <c r="O40" i="24"/>
  <c r="F72" i="37"/>
  <c r="E72" i="37"/>
  <c r="F71" i="37"/>
  <c r="E71" i="37"/>
  <c r="F64" i="37"/>
  <c r="E64" i="37"/>
  <c r="F65" i="37"/>
  <c r="E65" i="37"/>
  <c r="F67" i="37"/>
  <c r="E67" i="37"/>
  <c r="F66" i="37"/>
  <c r="E66" i="37"/>
  <c r="F63" i="37"/>
  <c r="E63" i="37"/>
  <c r="E76" i="37" s="1"/>
  <c r="Q33" i="37"/>
  <c r="G62" i="37"/>
  <c r="G76" i="37" s="1"/>
  <c r="E62" i="37"/>
  <c r="AA36" i="37"/>
  <c r="AC36" i="37" s="1"/>
  <c r="P56" i="37"/>
  <c r="P48" i="37"/>
  <c r="G71" i="37"/>
  <c r="P55" i="37"/>
  <c r="G41" i="37"/>
  <c r="Z31" i="37"/>
  <c r="AB31" i="37" s="1"/>
  <c r="AC31" i="37" s="1"/>
  <c r="P52" i="37"/>
  <c r="Z28" i="37"/>
  <c r="AB28" i="37" s="1"/>
  <c r="X28" i="37"/>
  <c r="P49" i="37"/>
  <c r="Z26" i="37"/>
  <c r="AB26" i="37" s="1"/>
  <c r="D64" i="37"/>
  <c r="I72" i="37"/>
  <c r="Z30" i="37"/>
  <c r="AB30" i="37" s="1"/>
  <c r="P54" i="37"/>
  <c r="I62" i="37"/>
  <c r="D66" i="37"/>
  <c r="G67" i="37"/>
  <c r="G69" i="37"/>
  <c r="I70" i="37"/>
  <c r="H71" i="37"/>
  <c r="Z27" i="37"/>
  <c r="AB27" i="37" s="1"/>
  <c r="Z29" i="37"/>
  <c r="AB29" i="37" s="1"/>
  <c r="X32" i="37"/>
  <c r="I64" i="37"/>
  <c r="H69" i="37"/>
  <c r="C71" i="37"/>
  <c r="D72" i="37"/>
  <c r="G65" i="37"/>
  <c r="X27" i="37"/>
  <c r="AC27" i="37" s="1"/>
  <c r="AE27" i="37" s="1"/>
  <c r="P46" i="37"/>
  <c r="P47" i="37"/>
  <c r="P50" i="37"/>
  <c r="P53" i="37"/>
  <c r="D62" i="37"/>
  <c r="G63" i="37"/>
  <c r="I66" i="37"/>
  <c r="C69" i="37"/>
  <c r="D70" i="37"/>
  <c r="AC26" i="37"/>
  <c r="F68" i="37"/>
  <c r="H68" i="37"/>
  <c r="C68" i="37"/>
  <c r="I68" i="37"/>
  <c r="D68" i="37"/>
  <c r="G68" i="37"/>
  <c r="Z32" i="37"/>
  <c r="AB32" i="37" s="1"/>
  <c r="AC32" i="37" s="1"/>
  <c r="N58" i="37"/>
  <c r="H63" i="37"/>
  <c r="C73" i="37"/>
  <c r="I6" i="37"/>
  <c r="J6" i="37" s="1"/>
  <c r="I13" i="37"/>
  <c r="J13" i="37" s="1"/>
  <c r="G17" i="37"/>
  <c r="S24" i="37"/>
  <c r="Z25" i="37"/>
  <c r="AB25" i="37" s="1"/>
  <c r="X30" i="37"/>
  <c r="P33" i="37"/>
  <c r="G39" i="37"/>
  <c r="O51" i="37"/>
  <c r="P51" i="37" s="1"/>
  <c r="D63" i="37"/>
  <c r="I63" i="37"/>
  <c r="G64" i="37"/>
  <c r="D65" i="37"/>
  <c r="I65" i="37"/>
  <c r="G66" i="37"/>
  <c r="D67" i="37"/>
  <c r="I67" i="37"/>
  <c r="D69" i="37"/>
  <c r="G70" i="37"/>
  <c r="D71" i="37"/>
  <c r="I71" i="37"/>
  <c r="G72" i="37"/>
  <c r="D73" i="37"/>
  <c r="F62" i="37"/>
  <c r="H19" i="37"/>
  <c r="I9" i="37"/>
  <c r="Z24" i="37"/>
  <c r="X29" i="37"/>
  <c r="D37" i="37"/>
  <c r="G30" i="37"/>
  <c r="C63" i="37"/>
  <c r="C65" i="37"/>
  <c r="H65" i="37"/>
  <c r="C67" i="37"/>
  <c r="H67" i="37"/>
  <c r="I73" i="37"/>
  <c r="I3" i="37"/>
  <c r="I4" i="37"/>
  <c r="J4" i="37" s="1"/>
  <c r="I5" i="37"/>
  <c r="I7" i="37"/>
  <c r="J7" i="37" s="1"/>
  <c r="I8" i="37"/>
  <c r="J8" i="37" s="1"/>
  <c r="F69" i="37"/>
  <c r="I10" i="37"/>
  <c r="F73" i="37"/>
  <c r="H21" i="37"/>
  <c r="I12" i="37"/>
  <c r="J12" i="37" s="1"/>
  <c r="H17" i="37"/>
  <c r="T33" i="37"/>
  <c r="V24" i="37"/>
  <c r="V33" i="37" s="1"/>
  <c r="X25" i="37"/>
  <c r="AA37" i="37"/>
  <c r="AC37" i="37" s="1"/>
  <c r="C62" i="37"/>
  <c r="H62" i="37"/>
  <c r="C64" i="37"/>
  <c r="H64" i="37"/>
  <c r="C66" i="37"/>
  <c r="H66" i="37"/>
  <c r="C70" i="37"/>
  <c r="H70" i="37"/>
  <c r="C72" i="37"/>
  <c r="H72" i="37"/>
  <c r="E78" i="37" l="1"/>
  <c r="AC30" i="37"/>
  <c r="E74" i="37"/>
  <c r="AC28" i="37"/>
  <c r="AD28" i="37" s="1"/>
  <c r="D76" i="37"/>
  <c r="AC29" i="37"/>
  <c r="AD29" i="37" s="1"/>
  <c r="O58" i="37"/>
  <c r="P58" i="37"/>
  <c r="I74" i="37"/>
  <c r="AD27" i="37"/>
  <c r="H78" i="37"/>
  <c r="J69" i="37"/>
  <c r="I76" i="37"/>
  <c r="J71" i="37"/>
  <c r="H32" i="37" s="1"/>
  <c r="I32" i="37" s="1"/>
  <c r="K12" i="37" s="1"/>
  <c r="D78" i="37"/>
  <c r="G78" i="37"/>
  <c r="I78" i="37"/>
  <c r="D74" i="37"/>
  <c r="X37" i="37"/>
  <c r="AD37" i="37" s="1"/>
  <c r="AE37" i="37" s="1"/>
  <c r="AE32" i="37"/>
  <c r="AD32" i="37"/>
  <c r="I21" i="37"/>
  <c r="O41" i="24" s="1"/>
  <c r="J5" i="37"/>
  <c r="G37" i="37"/>
  <c r="J65" i="37"/>
  <c r="H27" i="37" s="1"/>
  <c r="I27" i="37" s="1"/>
  <c r="J63" i="37"/>
  <c r="H25" i="37" s="1"/>
  <c r="I25" i="37" s="1"/>
  <c r="AD30" i="37"/>
  <c r="AE30" i="37"/>
  <c r="G74" i="37"/>
  <c r="J68" i="37"/>
  <c r="H30" i="37" s="1"/>
  <c r="I30" i="37" s="1"/>
  <c r="K9" i="37" s="1"/>
  <c r="J9" i="37"/>
  <c r="AD31" i="37"/>
  <c r="AE31" i="37"/>
  <c r="J70" i="37"/>
  <c r="H31" i="37" s="1"/>
  <c r="I31" i="37" s="1"/>
  <c r="K11" i="37" s="1"/>
  <c r="C78" i="37"/>
  <c r="J64" i="37"/>
  <c r="AC25" i="37"/>
  <c r="X24" i="37"/>
  <c r="S33" i="37"/>
  <c r="J73" i="37"/>
  <c r="H76" i="37"/>
  <c r="H74" i="37"/>
  <c r="J3" i="37"/>
  <c r="I19" i="37"/>
  <c r="I17" i="37"/>
  <c r="J72" i="37"/>
  <c r="H33" i="37" s="1"/>
  <c r="I33" i="37" s="1"/>
  <c r="K13" i="37" s="1"/>
  <c r="J66" i="37"/>
  <c r="H28" i="37" s="1"/>
  <c r="I28" i="37" s="1"/>
  <c r="C76" i="37"/>
  <c r="C74" i="37"/>
  <c r="J62" i="37"/>
  <c r="J67" i="37"/>
  <c r="H29" i="37" s="1"/>
  <c r="I29" i="37" s="1"/>
  <c r="AB24" i="37"/>
  <c r="AB33" i="37" s="1"/>
  <c r="Z33" i="37"/>
  <c r="F76" i="37"/>
  <c r="F74" i="37"/>
  <c r="AD26" i="37"/>
  <c r="AE26" i="37"/>
  <c r="AE28" i="37" l="1"/>
  <c r="AE29" i="37"/>
  <c r="O70" i="24"/>
  <c r="J76" i="37"/>
  <c r="J74" i="37"/>
  <c r="H24" i="37"/>
  <c r="AC24" i="37"/>
  <c r="X36" i="37"/>
  <c r="X33" i="37"/>
  <c r="H26" i="37"/>
  <c r="J78" i="37"/>
  <c r="AD25" i="37"/>
  <c r="AE25" i="37"/>
  <c r="AE24" i="37" l="1"/>
  <c r="AC33" i="37"/>
  <c r="AE33" i="37" s="1"/>
  <c r="AD24" i="37"/>
  <c r="AD33" i="37" s="1"/>
  <c r="H41" i="37"/>
  <c r="I26" i="37"/>
  <c r="I41" i="37" s="1"/>
  <c r="O39" i="24" s="1"/>
  <c r="H39" i="37"/>
  <c r="H37" i="37"/>
  <c r="I24" i="37"/>
  <c r="AD36" i="37"/>
  <c r="AE36" i="37" s="1"/>
  <c r="O63" i="24"/>
  <c r="O50" i="35"/>
  <c r="N46" i="35"/>
  <c r="P46" i="35" s="1"/>
  <c r="Q46" i="35" s="1"/>
  <c r="N47" i="35"/>
  <c r="P47" i="35" s="1"/>
  <c r="Q47" i="35" s="1"/>
  <c r="N48" i="35"/>
  <c r="P48" i="35" s="1"/>
  <c r="Q48" i="35" s="1"/>
  <c r="N49" i="35"/>
  <c r="P49" i="35" s="1"/>
  <c r="Q49" i="35" s="1"/>
  <c r="N50" i="35"/>
  <c r="P50" i="35" s="1"/>
  <c r="Q50" i="35" s="1"/>
  <c r="N51" i="35"/>
  <c r="D84" i="35" s="1"/>
  <c r="N52" i="35"/>
  <c r="P52" i="35" s="1"/>
  <c r="N53" i="35"/>
  <c r="P53" i="35" s="1"/>
  <c r="N54" i="35"/>
  <c r="P54" i="35" s="1"/>
  <c r="Q54" i="35" s="1"/>
  <c r="N55" i="35"/>
  <c r="P55" i="35" s="1"/>
  <c r="Q55" i="35" s="1"/>
  <c r="N56" i="35"/>
  <c r="P56" i="35" s="1"/>
  <c r="Q56" i="35" s="1"/>
  <c r="N57" i="35"/>
  <c r="P57" i="35" s="1"/>
  <c r="Q57" i="35" s="1"/>
  <c r="N45" i="35"/>
  <c r="P45" i="35" s="1"/>
  <c r="M46" i="35"/>
  <c r="O46" i="35" s="1"/>
  <c r="M47" i="35"/>
  <c r="O47" i="35" s="1"/>
  <c r="M48" i="35"/>
  <c r="O48" i="35" s="1"/>
  <c r="M49" i="35"/>
  <c r="O49" i="35" s="1"/>
  <c r="M50" i="35"/>
  <c r="M51" i="35"/>
  <c r="O51" i="35" s="1"/>
  <c r="M52" i="35"/>
  <c r="O52" i="35" s="1"/>
  <c r="M53" i="35"/>
  <c r="O53" i="35" s="1"/>
  <c r="M54" i="35"/>
  <c r="O54" i="35" s="1"/>
  <c r="M55" i="35"/>
  <c r="O55" i="35" s="1"/>
  <c r="M56" i="35"/>
  <c r="O56" i="35" s="1"/>
  <c r="M57" i="35"/>
  <c r="O57" i="35" s="1"/>
  <c r="M45" i="35"/>
  <c r="O45" i="35" s="1"/>
  <c r="E63" i="35"/>
  <c r="E64" i="35"/>
  <c r="E65" i="35"/>
  <c r="E66" i="35"/>
  <c r="E67" i="35"/>
  <c r="E69" i="35"/>
  <c r="E70" i="35"/>
  <c r="E71" i="35"/>
  <c r="E72" i="35"/>
  <c r="D30" i="35"/>
  <c r="G9" i="35"/>
  <c r="P51" i="35" s="1"/>
  <c r="Q51" i="35" s="1"/>
  <c r="E9" i="35"/>
  <c r="Q45" i="35" l="1"/>
  <c r="P58" i="35"/>
  <c r="O58" i="35"/>
  <c r="Q53" i="35"/>
  <c r="Q52" i="35"/>
  <c r="Q58" i="35" s="1"/>
  <c r="E68" i="35"/>
  <c r="I39" i="37"/>
  <c r="I37" i="37"/>
  <c r="E73" i="35" l="1"/>
  <c r="E62" i="35"/>
  <c r="C85" i="35" l="1"/>
  <c r="B85" i="35"/>
  <c r="E84" i="35"/>
  <c r="E85" i="35" s="1"/>
  <c r="D85" i="35"/>
  <c r="F41" i="35"/>
  <c r="E41" i="35"/>
  <c r="D41" i="35"/>
  <c r="C41" i="35"/>
  <c r="F39" i="35"/>
  <c r="E39" i="35"/>
  <c r="D39" i="35"/>
  <c r="C39" i="35"/>
  <c r="F37" i="35"/>
  <c r="E37" i="35"/>
  <c r="C37" i="35"/>
  <c r="G34" i="35"/>
  <c r="I34" i="35" s="1"/>
  <c r="O33" i="35"/>
  <c r="G33" i="35"/>
  <c r="AA32" i="35"/>
  <c r="T32" i="35"/>
  <c r="V32" i="35" s="1"/>
  <c r="Q32" i="35"/>
  <c r="S32" i="35" s="1"/>
  <c r="P32" i="35"/>
  <c r="G32" i="35"/>
  <c r="AA31" i="35"/>
  <c r="T31" i="35"/>
  <c r="V31" i="35" s="1"/>
  <c r="Q31" i="35"/>
  <c r="S31" i="35" s="1"/>
  <c r="P31" i="35"/>
  <c r="G31" i="35"/>
  <c r="AA30" i="35"/>
  <c r="T30" i="35"/>
  <c r="V30" i="35" s="1"/>
  <c r="Q30" i="35"/>
  <c r="S30" i="35" s="1"/>
  <c r="P30" i="35"/>
  <c r="D37" i="35"/>
  <c r="AA29" i="35"/>
  <c r="T29" i="35"/>
  <c r="V29" i="35" s="1"/>
  <c r="Q29" i="35"/>
  <c r="S29" i="35" s="1"/>
  <c r="P29" i="35"/>
  <c r="G29" i="35"/>
  <c r="AA28" i="35"/>
  <c r="T28" i="35"/>
  <c r="V28" i="35" s="1"/>
  <c r="Q28" i="35"/>
  <c r="P28" i="35"/>
  <c r="G28" i="35"/>
  <c r="AA27" i="35"/>
  <c r="T27" i="35"/>
  <c r="V27" i="35" s="1"/>
  <c r="Q27" i="35"/>
  <c r="S27" i="35" s="1"/>
  <c r="P27" i="35"/>
  <c r="G27" i="35"/>
  <c r="AA26" i="35"/>
  <c r="T26" i="35"/>
  <c r="V26" i="35" s="1"/>
  <c r="Q26" i="35"/>
  <c r="S26" i="35" s="1"/>
  <c r="P26" i="35"/>
  <c r="G26" i="35"/>
  <c r="AA25" i="35"/>
  <c r="T25" i="35"/>
  <c r="V25" i="35" s="1"/>
  <c r="Q25" i="35"/>
  <c r="S25" i="35" s="1"/>
  <c r="P25" i="35"/>
  <c r="G25" i="35"/>
  <c r="AA24" i="35"/>
  <c r="T24" i="35"/>
  <c r="V24" i="35" s="1"/>
  <c r="Q24" i="35"/>
  <c r="P24" i="35"/>
  <c r="G24" i="35"/>
  <c r="AD23" i="35"/>
  <c r="AA23" i="35"/>
  <c r="Z23" i="35"/>
  <c r="X23" i="35"/>
  <c r="V23" i="35"/>
  <c r="T23" i="35"/>
  <c r="Q23" i="35"/>
  <c r="P23" i="35"/>
  <c r="O23" i="35"/>
  <c r="G21" i="35"/>
  <c r="F21" i="35"/>
  <c r="E21" i="35"/>
  <c r="C21" i="35"/>
  <c r="G19" i="35"/>
  <c r="F19" i="35"/>
  <c r="E19" i="35"/>
  <c r="C19" i="35"/>
  <c r="F17" i="35"/>
  <c r="C17" i="35"/>
  <c r="H16" i="35"/>
  <c r="I16" i="35" s="1"/>
  <c r="H15" i="35"/>
  <c r="I14" i="35"/>
  <c r="J14" i="35" s="1"/>
  <c r="H13" i="35"/>
  <c r="H12" i="35"/>
  <c r="H11" i="35"/>
  <c r="H10" i="35"/>
  <c r="G17" i="35"/>
  <c r="E17" i="35"/>
  <c r="K8" i="35"/>
  <c r="H8" i="35"/>
  <c r="K7" i="35"/>
  <c r="H7" i="35"/>
  <c r="K6" i="35"/>
  <c r="H6" i="35"/>
  <c r="K5" i="35"/>
  <c r="H5" i="35"/>
  <c r="K4" i="35"/>
  <c r="H4" i="35"/>
  <c r="K3" i="35"/>
  <c r="H3" i="35"/>
  <c r="C71" i="35" l="1"/>
  <c r="G71" i="35"/>
  <c r="H71" i="35"/>
  <c r="I71" i="35"/>
  <c r="D71" i="35"/>
  <c r="F71" i="35"/>
  <c r="F72" i="35"/>
  <c r="G72" i="35"/>
  <c r="D72" i="35"/>
  <c r="H72" i="35"/>
  <c r="I72" i="35"/>
  <c r="C72" i="35"/>
  <c r="S14" i="35"/>
  <c r="T14" i="35" s="1"/>
  <c r="T15" i="35" s="1"/>
  <c r="T16" i="35" s="1"/>
  <c r="S13" i="35"/>
  <c r="Q13" i="35"/>
  <c r="G66" i="35"/>
  <c r="F66" i="35"/>
  <c r="H66" i="35"/>
  <c r="I66" i="35"/>
  <c r="D66" i="35"/>
  <c r="G63" i="35"/>
  <c r="H63" i="35"/>
  <c r="I63" i="35"/>
  <c r="D63" i="35"/>
  <c r="F63" i="35"/>
  <c r="F67" i="35"/>
  <c r="G67" i="35"/>
  <c r="H67" i="35"/>
  <c r="I67" i="35"/>
  <c r="D67" i="35"/>
  <c r="H65" i="35"/>
  <c r="I65" i="35"/>
  <c r="F65" i="35"/>
  <c r="D65" i="35"/>
  <c r="G65" i="35"/>
  <c r="F64" i="35"/>
  <c r="G64" i="35"/>
  <c r="D64" i="35"/>
  <c r="H64" i="35"/>
  <c r="I64" i="35"/>
  <c r="D69" i="35"/>
  <c r="G69" i="35"/>
  <c r="H69" i="35"/>
  <c r="I69" i="35"/>
  <c r="F69" i="35"/>
  <c r="C69" i="35"/>
  <c r="J69" i="35" s="1"/>
  <c r="I70" i="35"/>
  <c r="J70" i="35" s="1"/>
  <c r="D70" i="35"/>
  <c r="G70" i="35"/>
  <c r="F70" i="35"/>
  <c r="H70" i="35"/>
  <c r="C70" i="35"/>
  <c r="F62" i="35"/>
  <c r="H62" i="35"/>
  <c r="Z30" i="35"/>
  <c r="AB30" i="35" s="1"/>
  <c r="G30" i="35"/>
  <c r="G37" i="35" s="1"/>
  <c r="Q33" i="35"/>
  <c r="Z25" i="35"/>
  <c r="AB25" i="35" s="1"/>
  <c r="K14" i="35"/>
  <c r="Z29" i="35"/>
  <c r="AB29" i="35" s="1"/>
  <c r="H9" i="35"/>
  <c r="H17" i="35" s="1"/>
  <c r="Z32" i="35"/>
  <c r="AB32" i="35" s="1"/>
  <c r="G73" i="35"/>
  <c r="F73" i="35"/>
  <c r="X25" i="35"/>
  <c r="C73" i="35"/>
  <c r="G41" i="35"/>
  <c r="G39" i="35"/>
  <c r="I13" i="35"/>
  <c r="J13" i="35" s="1"/>
  <c r="I12" i="35"/>
  <c r="J12" i="35" s="1"/>
  <c r="Z27" i="35"/>
  <c r="AB27" i="35" s="1"/>
  <c r="X26" i="35"/>
  <c r="AA36" i="35"/>
  <c r="AC36" i="35" s="1"/>
  <c r="I11" i="35"/>
  <c r="J11" i="35" s="1"/>
  <c r="X27" i="35"/>
  <c r="X31" i="35"/>
  <c r="G62" i="35"/>
  <c r="C65" i="35"/>
  <c r="C62" i="35"/>
  <c r="C66" i="35"/>
  <c r="I3" i="35"/>
  <c r="I5" i="35"/>
  <c r="I6" i="35"/>
  <c r="J6" i="35" s="1"/>
  <c r="I8" i="35"/>
  <c r="J8" i="35" s="1"/>
  <c r="Z26" i="35"/>
  <c r="AB26" i="35" s="1"/>
  <c r="X32" i="35"/>
  <c r="C64" i="35"/>
  <c r="I4" i="35"/>
  <c r="J4" i="35" s="1"/>
  <c r="I7" i="35"/>
  <c r="J7" i="35" s="1"/>
  <c r="T33" i="35"/>
  <c r="Z28" i="35"/>
  <c r="AB28" i="35" s="1"/>
  <c r="Z31" i="35"/>
  <c r="AB31" i="35" s="1"/>
  <c r="C63" i="35"/>
  <c r="C67" i="35"/>
  <c r="V33" i="35"/>
  <c r="X29" i="35"/>
  <c r="X30" i="35"/>
  <c r="P33" i="35"/>
  <c r="H21" i="35"/>
  <c r="S24" i="35"/>
  <c r="X24" i="35" s="1"/>
  <c r="Z24" i="35"/>
  <c r="AB24" i="35" s="1"/>
  <c r="S28" i="35"/>
  <c r="X28" i="35" s="1"/>
  <c r="D62" i="35"/>
  <c r="D73" i="35"/>
  <c r="I73" i="35"/>
  <c r="I10" i="35"/>
  <c r="I15" i="35"/>
  <c r="AA37" i="35"/>
  <c r="AC37" i="35" s="1"/>
  <c r="I62" i="35"/>
  <c r="H19" i="35"/>
  <c r="D83" i="34"/>
  <c r="G68" i="35" l="1"/>
  <c r="D68" i="35"/>
  <c r="H68" i="35"/>
  <c r="H74" i="35" s="1"/>
  <c r="I68" i="35"/>
  <c r="I74" i="35" s="1"/>
  <c r="F68" i="35"/>
  <c r="C68" i="35"/>
  <c r="AC24" i="35"/>
  <c r="AD24" i="35" s="1"/>
  <c r="F78" i="35"/>
  <c r="J62" i="35"/>
  <c r="AC25" i="35"/>
  <c r="AD25" i="35" s="1"/>
  <c r="H76" i="35"/>
  <c r="AC32" i="35"/>
  <c r="H78" i="35"/>
  <c r="I9" i="35"/>
  <c r="I17" i="35" s="1"/>
  <c r="C76" i="35"/>
  <c r="G74" i="35"/>
  <c r="AC31" i="35"/>
  <c r="AD31" i="35" s="1"/>
  <c r="F76" i="35"/>
  <c r="AC30" i="35"/>
  <c r="AD30" i="35" s="1"/>
  <c r="AC26" i="35"/>
  <c r="AC29" i="35"/>
  <c r="AD29" i="35" s="1"/>
  <c r="H31" i="35"/>
  <c r="I31" i="35" s="1"/>
  <c r="K11" i="35" s="1"/>
  <c r="F74" i="35"/>
  <c r="J73" i="35"/>
  <c r="AC28" i="35"/>
  <c r="AD28" i="35" s="1"/>
  <c r="AC27" i="35"/>
  <c r="AD27" i="35" s="1"/>
  <c r="C78" i="35"/>
  <c r="G76" i="35"/>
  <c r="D78" i="35"/>
  <c r="I21" i="35"/>
  <c r="J5" i="35"/>
  <c r="J65" i="35"/>
  <c r="H27" i="35" s="1"/>
  <c r="I27" i="35" s="1"/>
  <c r="J63" i="35"/>
  <c r="H25" i="35" s="1"/>
  <c r="I25" i="35" s="1"/>
  <c r="J72" i="35"/>
  <c r="H33" i="35" s="1"/>
  <c r="I33" i="35" s="1"/>
  <c r="K13" i="35" s="1"/>
  <c r="J67" i="35"/>
  <c r="H29" i="35" s="1"/>
  <c r="I29" i="35" s="1"/>
  <c r="G78" i="35"/>
  <c r="I19" i="35"/>
  <c r="J3" i="35"/>
  <c r="J71" i="35"/>
  <c r="H32" i="35" s="1"/>
  <c r="I32" i="35" s="1"/>
  <c r="K12" i="35" s="1"/>
  <c r="J66" i="35"/>
  <c r="H28" i="35" s="1"/>
  <c r="I28" i="35" s="1"/>
  <c r="X37" i="35"/>
  <c r="S33" i="35"/>
  <c r="I78" i="35"/>
  <c r="I76" i="35"/>
  <c r="D76" i="35"/>
  <c r="D74" i="35"/>
  <c r="AE30" i="35"/>
  <c r="E78" i="35"/>
  <c r="E76" i="35"/>
  <c r="E74" i="35"/>
  <c r="AB33" i="35"/>
  <c r="Z33" i="35"/>
  <c r="J9" i="35"/>
  <c r="J64" i="35"/>
  <c r="J78" i="35" s="1"/>
  <c r="G9" i="34"/>
  <c r="AE26" i="35" l="1"/>
  <c r="AD26" i="35"/>
  <c r="AE32" i="35"/>
  <c r="AD32" i="35"/>
  <c r="AD37" i="35"/>
  <c r="AE37" i="35" s="1"/>
  <c r="N70" i="24"/>
  <c r="H24" i="35"/>
  <c r="H39" i="35" s="1"/>
  <c r="J76" i="35"/>
  <c r="AE25" i="35"/>
  <c r="AE27" i="35"/>
  <c r="J68" i="35"/>
  <c r="H30" i="35" s="1"/>
  <c r="I30" i="35" s="1"/>
  <c r="K9" i="35" s="1"/>
  <c r="AE31" i="35"/>
  <c r="C74" i="35"/>
  <c r="AE28" i="35"/>
  <c r="AE29" i="35"/>
  <c r="H26" i="35"/>
  <c r="X36" i="35"/>
  <c r="X33" i="35"/>
  <c r="H70" i="34"/>
  <c r="H71" i="34"/>
  <c r="H69" i="34"/>
  <c r="H68" i="34"/>
  <c r="H62" i="34"/>
  <c r="D30" i="34"/>
  <c r="E9" i="34"/>
  <c r="AD36" i="35" l="1"/>
  <c r="AE36" i="35" s="1"/>
  <c r="N63" i="24"/>
  <c r="I24" i="35"/>
  <c r="I39" i="35" s="1"/>
  <c r="H37" i="35"/>
  <c r="J74" i="35"/>
  <c r="AC33" i="35"/>
  <c r="AE33" i="35" s="1"/>
  <c r="AE24" i="35"/>
  <c r="AD33" i="35"/>
  <c r="I26" i="35"/>
  <c r="I41" i="35" s="1"/>
  <c r="H41" i="35"/>
  <c r="H63" i="34"/>
  <c r="H64" i="34"/>
  <c r="H65" i="34"/>
  <c r="H66" i="34"/>
  <c r="H67" i="34"/>
  <c r="I37" i="35" l="1"/>
  <c r="C84" i="34"/>
  <c r="B84" i="34"/>
  <c r="E83" i="34"/>
  <c r="E84" i="34" s="1"/>
  <c r="F41" i="34"/>
  <c r="E41" i="34"/>
  <c r="D41" i="34"/>
  <c r="C41" i="34"/>
  <c r="F39" i="34"/>
  <c r="E39" i="34"/>
  <c r="D39" i="34"/>
  <c r="C39" i="34"/>
  <c r="F37" i="34"/>
  <c r="E37" i="34"/>
  <c r="C37" i="34"/>
  <c r="G34" i="34"/>
  <c r="I34" i="34" s="1"/>
  <c r="G33" i="34"/>
  <c r="G32" i="34"/>
  <c r="G31" i="34"/>
  <c r="G30" i="34"/>
  <c r="G29" i="34"/>
  <c r="G28" i="34"/>
  <c r="G27" i="34"/>
  <c r="G26" i="34"/>
  <c r="G25" i="34"/>
  <c r="G24" i="34"/>
  <c r="G21" i="34"/>
  <c r="F21" i="34"/>
  <c r="E21" i="34"/>
  <c r="C21" i="34"/>
  <c r="G19" i="34"/>
  <c r="F19" i="34"/>
  <c r="E19" i="34"/>
  <c r="C19" i="34"/>
  <c r="F17" i="34"/>
  <c r="C17" i="34"/>
  <c r="H16" i="34"/>
  <c r="I16" i="34" s="1"/>
  <c r="H15" i="34"/>
  <c r="G72" i="34" s="1"/>
  <c r="I14" i="34"/>
  <c r="J14" i="34" s="1"/>
  <c r="H13" i="34"/>
  <c r="O33" i="34"/>
  <c r="H12" i="34"/>
  <c r="AA32" i="34"/>
  <c r="T32" i="34"/>
  <c r="V32" i="34" s="1"/>
  <c r="Q32" i="34"/>
  <c r="S32" i="34" s="1"/>
  <c r="P32" i="34"/>
  <c r="H11" i="34"/>
  <c r="AA31" i="34"/>
  <c r="T31" i="34"/>
  <c r="V31" i="34" s="1"/>
  <c r="Q31" i="34"/>
  <c r="S31" i="34" s="1"/>
  <c r="P31" i="34"/>
  <c r="H10" i="34"/>
  <c r="M52" i="34" s="1"/>
  <c r="AA30" i="34"/>
  <c r="T30" i="34"/>
  <c r="V30" i="34" s="1"/>
  <c r="Q30" i="34"/>
  <c r="P30" i="34"/>
  <c r="E17" i="34"/>
  <c r="AA29" i="34"/>
  <c r="T29" i="34"/>
  <c r="V29" i="34" s="1"/>
  <c r="Q29" i="34"/>
  <c r="S29" i="34" s="1"/>
  <c r="P29" i="34"/>
  <c r="K8" i="34"/>
  <c r="H8" i="34"/>
  <c r="AA28" i="34"/>
  <c r="T28" i="34"/>
  <c r="V28" i="34" s="1"/>
  <c r="Q28" i="34"/>
  <c r="S28" i="34" s="1"/>
  <c r="P28" i="34"/>
  <c r="K7" i="34"/>
  <c r="H7" i="34"/>
  <c r="AA27" i="34"/>
  <c r="T27" i="34"/>
  <c r="V27" i="34" s="1"/>
  <c r="Q27" i="34"/>
  <c r="S27" i="34" s="1"/>
  <c r="X27" i="34" s="1"/>
  <c r="P27" i="34"/>
  <c r="K6" i="34"/>
  <c r="H6" i="34"/>
  <c r="M48" i="34" s="1"/>
  <c r="AA26" i="34"/>
  <c r="T26" i="34"/>
  <c r="V26" i="34" s="1"/>
  <c r="Q26" i="34"/>
  <c r="S26" i="34" s="1"/>
  <c r="P26" i="34"/>
  <c r="K5" i="34"/>
  <c r="H5" i="34"/>
  <c r="M47" i="34" s="1"/>
  <c r="AA25" i="34"/>
  <c r="T25" i="34"/>
  <c r="V25" i="34" s="1"/>
  <c r="Q25" i="34"/>
  <c r="S25" i="34" s="1"/>
  <c r="P25" i="34"/>
  <c r="K4" i="34"/>
  <c r="H4" i="34"/>
  <c r="AA24" i="34"/>
  <c r="T24" i="34"/>
  <c r="V24" i="34" s="1"/>
  <c r="Q24" i="34"/>
  <c r="P24" i="34"/>
  <c r="K3" i="34"/>
  <c r="H3" i="34"/>
  <c r="M45" i="34" s="1"/>
  <c r="AD23" i="34"/>
  <c r="AA23" i="34"/>
  <c r="Z23" i="34"/>
  <c r="X23" i="34"/>
  <c r="V23" i="34"/>
  <c r="T23" i="34"/>
  <c r="Q23" i="34"/>
  <c r="P23" i="34"/>
  <c r="O23" i="34"/>
  <c r="G67" i="34" l="1"/>
  <c r="M50" i="34"/>
  <c r="G71" i="34"/>
  <c r="M55" i="34"/>
  <c r="G66" i="34"/>
  <c r="M49" i="34"/>
  <c r="G70" i="34"/>
  <c r="M54" i="34"/>
  <c r="G63" i="34"/>
  <c r="M46" i="34"/>
  <c r="M53" i="34"/>
  <c r="G69" i="34"/>
  <c r="I8" i="34"/>
  <c r="J8" i="34" s="1"/>
  <c r="K14" i="34"/>
  <c r="X32" i="34"/>
  <c r="X26" i="34"/>
  <c r="J65" i="34"/>
  <c r="G65" i="34"/>
  <c r="I7" i="34"/>
  <c r="J7" i="34" s="1"/>
  <c r="I10" i="34"/>
  <c r="G62" i="34"/>
  <c r="J62" i="34"/>
  <c r="I6" i="34"/>
  <c r="J6" i="34" s="1"/>
  <c r="J69" i="34"/>
  <c r="C64" i="34"/>
  <c r="G64" i="34"/>
  <c r="I11" i="34"/>
  <c r="J11" i="34" s="1"/>
  <c r="I5" i="34"/>
  <c r="J5" i="34" s="1"/>
  <c r="Z29" i="34"/>
  <c r="AB29" i="34" s="1"/>
  <c r="Z31" i="34"/>
  <c r="AB31" i="34" s="1"/>
  <c r="D64" i="34"/>
  <c r="E67" i="34"/>
  <c r="E71" i="34"/>
  <c r="Z28" i="34"/>
  <c r="AB28" i="34" s="1"/>
  <c r="X29" i="34"/>
  <c r="AC29" i="34" s="1"/>
  <c r="AD29" i="34" s="1"/>
  <c r="X31" i="34"/>
  <c r="G41" i="34"/>
  <c r="F66" i="34"/>
  <c r="F70" i="34"/>
  <c r="T33" i="34"/>
  <c r="X28" i="34"/>
  <c r="Z32" i="34"/>
  <c r="AB32" i="34" s="1"/>
  <c r="C65" i="34"/>
  <c r="J66" i="34"/>
  <c r="C69" i="34"/>
  <c r="J70" i="34"/>
  <c r="X25" i="34"/>
  <c r="Z25" i="34"/>
  <c r="AB25" i="34" s="1"/>
  <c r="Z26" i="34"/>
  <c r="AB26" i="34" s="1"/>
  <c r="E62" i="34"/>
  <c r="D62" i="34"/>
  <c r="C62" i="34"/>
  <c r="AA36" i="34"/>
  <c r="AC36" i="34" s="1"/>
  <c r="P33" i="34"/>
  <c r="V33" i="34"/>
  <c r="D63" i="34"/>
  <c r="C63" i="34"/>
  <c r="J63" i="34"/>
  <c r="F63" i="34"/>
  <c r="Z30" i="34"/>
  <c r="AB30" i="34" s="1"/>
  <c r="S30" i="34"/>
  <c r="X30" i="34" s="1"/>
  <c r="H19" i="34"/>
  <c r="E63" i="34"/>
  <c r="I3" i="34"/>
  <c r="Q33" i="34"/>
  <c r="I4" i="34"/>
  <c r="J4" i="34" s="1"/>
  <c r="Z27" i="34"/>
  <c r="AB27" i="34" s="1"/>
  <c r="AC27" i="34" s="1"/>
  <c r="C72" i="34"/>
  <c r="F72" i="34"/>
  <c r="J72" i="34"/>
  <c r="E72" i="34"/>
  <c r="I15" i="34"/>
  <c r="G37" i="34"/>
  <c r="G39" i="34"/>
  <c r="F62" i="34"/>
  <c r="S24" i="34"/>
  <c r="Z24" i="34"/>
  <c r="D72" i="34"/>
  <c r="G17" i="34"/>
  <c r="E64" i="34"/>
  <c r="D65" i="34"/>
  <c r="C66" i="34"/>
  <c r="F67" i="34"/>
  <c r="J67" i="34"/>
  <c r="D69" i="34"/>
  <c r="C70" i="34"/>
  <c r="F71" i="34"/>
  <c r="J71" i="34"/>
  <c r="I12" i="34"/>
  <c r="J12" i="34" s="1"/>
  <c r="I13" i="34"/>
  <c r="J13" i="34" s="1"/>
  <c r="AA37" i="34"/>
  <c r="AC37" i="34" s="1"/>
  <c r="H21" i="34"/>
  <c r="D37" i="34"/>
  <c r="F64" i="34"/>
  <c r="J64" i="34"/>
  <c r="E65" i="34"/>
  <c r="D66" i="34"/>
  <c r="H77" i="34"/>
  <c r="C67" i="34"/>
  <c r="E69" i="34"/>
  <c r="D70" i="34"/>
  <c r="C71" i="34"/>
  <c r="D84" i="34"/>
  <c r="H9" i="34"/>
  <c r="F65" i="34"/>
  <c r="E66" i="34"/>
  <c r="D67" i="34"/>
  <c r="F69" i="34"/>
  <c r="E70" i="34"/>
  <c r="D71" i="34"/>
  <c r="G75" i="34" l="1"/>
  <c r="G68" i="34"/>
  <c r="M51" i="34"/>
  <c r="M58" i="34" s="1"/>
  <c r="G77" i="34"/>
  <c r="AC30" i="34"/>
  <c r="AC26" i="34"/>
  <c r="AD26" i="34" s="1"/>
  <c r="AC32" i="34"/>
  <c r="AD32" i="34" s="1"/>
  <c r="J77" i="34"/>
  <c r="K65" i="34"/>
  <c r="H27" i="34" s="1"/>
  <c r="I27" i="34" s="1"/>
  <c r="G73" i="34"/>
  <c r="AC28" i="34"/>
  <c r="J75" i="34"/>
  <c r="AC31" i="34"/>
  <c r="AD31" i="34" s="1"/>
  <c r="AE29" i="34"/>
  <c r="AE26" i="34"/>
  <c r="C68" i="34"/>
  <c r="J68" i="34"/>
  <c r="F68" i="34"/>
  <c r="F73" i="34" s="1"/>
  <c r="I73" i="34"/>
  <c r="E68" i="34"/>
  <c r="E73" i="34" s="1"/>
  <c r="I9" i="34"/>
  <c r="J9" i="34" s="1"/>
  <c r="D68" i="34"/>
  <c r="D73" i="34" s="1"/>
  <c r="I19" i="34"/>
  <c r="J3" i="34"/>
  <c r="K64" i="34"/>
  <c r="H75" i="34"/>
  <c r="H73" i="34"/>
  <c r="F77" i="34"/>
  <c r="K70" i="34"/>
  <c r="H32" i="34" s="1"/>
  <c r="I32" i="34" s="1"/>
  <c r="K12" i="34" s="1"/>
  <c r="I77" i="34"/>
  <c r="F75" i="34"/>
  <c r="I21" i="34"/>
  <c r="M41" i="24" s="1"/>
  <c r="AE30" i="34"/>
  <c r="AD30" i="34"/>
  <c r="K62" i="34"/>
  <c r="C75" i="34"/>
  <c r="E75" i="34"/>
  <c r="X37" i="34"/>
  <c r="AD37" i="34" s="1"/>
  <c r="AE37" i="34" s="1"/>
  <c r="K71" i="34"/>
  <c r="H33" i="34" s="1"/>
  <c r="I33" i="34" s="1"/>
  <c r="K13" i="34" s="1"/>
  <c r="K66" i="34"/>
  <c r="H28" i="34" s="1"/>
  <c r="I28" i="34" s="1"/>
  <c r="E77" i="34"/>
  <c r="Z33" i="34"/>
  <c r="AB24" i="34"/>
  <c r="AB33" i="34" s="1"/>
  <c r="K72" i="34"/>
  <c r="H17" i="34"/>
  <c r="I75" i="34"/>
  <c r="AD27" i="34"/>
  <c r="AE27" i="34"/>
  <c r="J73" i="34"/>
  <c r="K67" i="34"/>
  <c r="H29" i="34" s="1"/>
  <c r="I29" i="34" s="1"/>
  <c r="K69" i="34"/>
  <c r="H31" i="34" s="1"/>
  <c r="I31" i="34" s="1"/>
  <c r="K11" i="34" s="1"/>
  <c r="X24" i="34"/>
  <c r="S33" i="34"/>
  <c r="C77" i="34"/>
  <c r="K63" i="34"/>
  <c r="H25" i="34" s="1"/>
  <c r="I25" i="34" s="1"/>
  <c r="D75" i="34"/>
  <c r="D77" i="34"/>
  <c r="AC25" i="34"/>
  <c r="O56" i="33"/>
  <c r="N46" i="33"/>
  <c r="N47" i="33"/>
  <c r="N48" i="33"/>
  <c r="N49" i="33"/>
  <c r="N50" i="33"/>
  <c r="N51" i="33"/>
  <c r="N52" i="33"/>
  <c r="N53" i="33"/>
  <c r="N54" i="33"/>
  <c r="N55" i="33"/>
  <c r="N56" i="33"/>
  <c r="N57" i="33"/>
  <c r="N45" i="33"/>
  <c r="D83" i="33" l="1"/>
  <c r="AE32" i="34"/>
  <c r="AE31" i="34"/>
  <c r="AD28" i="34"/>
  <c r="AE28" i="34"/>
  <c r="X33" i="34"/>
  <c r="X36" i="34"/>
  <c r="AD36" i="34" s="1"/>
  <c r="AE36" i="34" s="1"/>
  <c r="AC24" i="34"/>
  <c r="I17" i="34"/>
  <c r="K68" i="34"/>
  <c r="H30" i="34" s="1"/>
  <c r="I30" i="34" s="1"/>
  <c r="K9" i="34" s="1"/>
  <c r="AD25" i="34"/>
  <c r="AE25" i="34"/>
  <c r="H24" i="34"/>
  <c r="K75" i="34"/>
  <c r="H26" i="34"/>
  <c r="K77" i="34"/>
  <c r="C73" i="34"/>
  <c r="K4" i="33"/>
  <c r="K5" i="33"/>
  <c r="K6" i="33"/>
  <c r="K7" i="33"/>
  <c r="K8" i="33"/>
  <c r="K3" i="33"/>
  <c r="K73" i="34" l="1"/>
  <c r="H41" i="34"/>
  <c r="I26" i="34"/>
  <c r="I41" i="34" s="1"/>
  <c r="AC33" i="34"/>
  <c r="AE33" i="34" s="1"/>
  <c r="AD24" i="34"/>
  <c r="AD33" i="34" s="1"/>
  <c r="AE24" i="34"/>
  <c r="H37" i="34"/>
  <c r="H39" i="34"/>
  <c r="I24" i="34"/>
  <c r="E83" i="33"/>
  <c r="D30" i="33"/>
  <c r="G9" i="33"/>
  <c r="E9" i="33"/>
  <c r="I37" i="34" l="1"/>
  <c r="I39" i="34"/>
  <c r="G72" i="33"/>
  <c r="G71" i="33"/>
  <c r="G70" i="33"/>
  <c r="G69" i="33"/>
  <c r="G68" i="33"/>
  <c r="G63" i="33"/>
  <c r="G64" i="33"/>
  <c r="G65" i="33"/>
  <c r="G66" i="33"/>
  <c r="G67" i="33"/>
  <c r="G62" i="33"/>
  <c r="L48" i="24" l="1"/>
  <c r="C84" i="33"/>
  <c r="B84" i="33"/>
  <c r="E84" i="33"/>
  <c r="F41" i="33"/>
  <c r="E41" i="33"/>
  <c r="D41" i="33"/>
  <c r="C41" i="33"/>
  <c r="E39" i="33"/>
  <c r="D39" i="33"/>
  <c r="C39" i="33"/>
  <c r="E37" i="33"/>
  <c r="D37" i="33"/>
  <c r="C37" i="33"/>
  <c r="G34" i="33"/>
  <c r="I34" i="33" s="1"/>
  <c r="K14" i="33" s="1"/>
  <c r="G33" i="33"/>
  <c r="G32" i="33"/>
  <c r="G31" i="33"/>
  <c r="G30" i="33"/>
  <c r="G29" i="33"/>
  <c r="G28" i="33"/>
  <c r="G27" i="33"/>
  <c r="G26" i="33"/>
  <c r="G25" i="33"/>
  <c r="F39" i="33"/>
  <c r="G21" i="33"/>
  <c r="F21" i="33"/>
  <c r="E21" i="33"/>
  <c r="C21" i="33"/>
  <c r="F19" i="33"/>
  <c r="E19" i="33"/>
  <c r="C19" i="33"/>
  <c r="C17" i="33"/>
  <c r="H16" i="33"/>
  <c r="H15" i="33"/>
  <c r="I14" i="33"/>
  <c r="J14" i="33" s="1"/>
  <c r="H13" i="33"/>
  <c r="O12" i="33"/>
  <c r="H12" i="33"/>
  <c r="AA11" i="33"/>
  <c r="T11" i="33"/>
  <c r="V11" i="33" s="1"/>
  <c r="Q11" i="33"/>
  <c r="S11" i="33" s="1"/>
  <c r="P11" i="33"/>
  <c r="H11" i="33"/>
  <c r="AA10" i="33"/>
  <c r="T10" i="33"/>
  <c r="V10" i="33" s="1"/>
  <c r="Q10" i="33"/>
  <c r="S10" i="33" s="1"/>
  <c r="P10" i="33"/>
  <c r="H10" i="33"/>
  <c r="AA9" i="33"/>
  <c r="T9" i="33"/>
  <c r="V9" i="33" s="1"/>
  <c r="Q9" i="33"/>
  <c r="S9" i="33" s="1"/>
  <c r="P9" i="33"/>
  <c r="E17" i="33"/>
  <c r="AA8" i="33"/>
  <c r="T8" i="33"/>
  <c r="V8" i="33" s="1"/>
  <c r="Q8" i="33"/>
  <c r="S8" i="33" s="1"/>
  <c r="P8" i="33"/>
  <c r="H8" i="33"/>
  <c r="AA7" i="33"/>
  <c r="T7" i="33"/>
  <c r="V7" i="33" s="1"/>
  <c r="Q7" i="33"/>
  <c r="S7" i="33" s="1"/>
  <c r="P7" i="33"/>
  <c r="H7" i="33"/>
  <c r="AA6" i="33"/>
  <c r="T6" i="33"/>
  <c r="V6" i="33" s="1"/>
  <c r="Q6" i="33"/>
  <c r="S6" i="33" s="1"/>
  <c r="P6" i="33"/>
  <c r="H6" i="33"/>
  <c r="AA5" i="33"/>
  <c r="T5" i="33"/>
  <c r="V5" i="33" s="1"/>
  <c r="Q5" i="33"/>
  <c r="S5" i="33" s="1"/>
  <c r="P5" i="33"/>
  <c r="H5" i="33"/>
  <c r="AA4" i="33"/>
  <c r="T4" i="33"/>
  <c r="V4" i="33" s="1"/>
  <c r="Q4" i="33"/>
  <c r="S4" i="33" s="1"/>
  <c r="P4" i="33"/>
  <c r="H4" i="33"/>
  <c r="AA3" i="33"/>
  <c r="T3" i="33"/>
  <c r="P3" i="33"/>
  <c r="H3" i="33"/>
  <c r="AD2" i="33"/>
  <c r="AA2" i="33"/>
  <c r="Z2" i="33"/>
  <c r="X2" i="33"/>
  <c r="V2" i="33"/>
  <c r="T2" i="33"/>
  <c r="Q2" i="33"/>
  <c r="P2" i="33"/>
  <c r="O2" i="33"/>
  <c r="H63" i="33" l="1"/>
  <c r="O46" i="33"/>
  <c r="Z4" i="33"/>
  <c r="AB4" i="33" s="1"/>
  <c r="J65" i="33"/>
  <c r="O48" i="33"/>
  <c r="H71" i="33"/>
  <c r="O55" i="33"/>
  <c r="C70" i="33"/>
  <c r="O54" i="33"/>
  <c r="J69" i="33"/>
  <c r="O53" i="33"/>
  <c r="E69" i="33"/>
  <c r="H67" i="33"/>
  <c r="O50" i="33"/>
  <c r="O57" i="33"/>
  <c r="F72" i="33"/>
  <c r="I3" i="33"/>
  <c r="J3" i="33" s="1"/>
  <c r="O45" i="33"/>
  <c r="E64" i="33"/>
  <c r="O47" i="33"/>
  <c r="I10" i="33"/>
  <c r="O52" i="33"/>
  <c r="X5" i="33"/>
  <c r="C66" i="33"/>
  <c r="O49" i="33"/>
  <c r="E72" i="33"/>
  <c r="X6" i="33"/>
  <c r="H69" i="33"/>
  <c r="G17" i="33"/>
  <c r="X4" i="33"/>
  <c r="I11" i="33"/>
  <c r="J11" i="33" s="1"/>
  <c r="G19" i="33"/>
  <c r="F71" i="33"/>
  <c r="I13" i="33"/>
  <c r="J13" i="33" s="1"/>
  <c r="C71" i="33"/>
  <c r="F67" i="33"/>
  <c r="Z6" i="33"/>
  <c r="AB6" i="33" s="1"/>
  <c r="J63" i="33"/>
  <c r="H62" i="33"/>
  <c r="H75" i="33" s="1"/>
  <c r="H65" i="33"/>
  <c r="Z5" i="33"/>
  <c r="AB5" i="33" s="1"/>
  <c r="X7" i="33"/>
  <c r="C63" i="33"/>
  <c r="F64" i="33"/>
  <c r="I65" i="33"/>
  <c r="J67" i="33"/>
  <c r="I69" i="33"/>
  <c r="E65" i="33"/>
  <c r="X8" i="33"/>
  <c r="X10" i="33"/>
  <c r="F63" i="33"/>
  <c r="D65" i="33"/>
  <c r="C67" i="33"/>
  <c r="D69" i="33"/>
  <c r="J71" i="33"/>
  <c r="F17" i="33"/>
  <c r="H9" i="33"/>
  <c r="I62" i="33"/>
  <c r="E62" i="33"/>
  <c r="H19" i="33"/>
  <c r="J62" i="33"/>
  <c r="F62" i="33"/>
  <c r="V3" i="33"/>
  <c r="V12" i="33" s="1"/>
  <c r="T12" i="33"/>
  <c r="Z8" i="33"/>
  <c r="AB8" i="33" s="1"/>
  <c r="Z9" i="33"/>
  <c r="AB9" i="33" s="1"/>
  <c r="X11" i="33"/>
  <c r="P12" i="33"/>
  <c r="H21" i="33"/>
  <c r="D84" i="33"/>
  <c r="I66" i="33"/>
  <c r="E66" i="33"/>
  <c r="H66" i="33"/>
  <c r="D66" i="33"/>
  <c r="J66" i="33"/>
  <c r="F66" i="33"/>
  <c r="X9" i="33"/>
  <c r="AC9" i="33" s="1"/>
  <c r="Z10" i="33"/>
  <c r="AB10" i="33" s="1"/>
  <c r="I16" i="33"/>
  <c r="J72" i="33"/>
  <c r="C64" i="33"/>
  <c r="H64" i="33"/>
  <c r="D64" i="33"/>
  <c r="I7" i="33"/>
  <c r="J7" i="33" s="1"/>
  <c r="I70" i="33"/>
  <c r="E70" i="33"/>
  <c r="I12" i="33"/>
  <c r="J12" i="33" s="1"/>
  <c r="D70" i="33"/>
  <c r="J70" i="33"/>
  <c r="F70" i="33"/>
  <c r="H70" i="33"/>
  <c r="AA16" i="33"/>
  <c r="AC16" i="33" s="1"/>
  <c r="C62" i="33"/>
  <c r="I64" i="33"/>
  <c r="I5" i="33"/>
  <c r="J5" i="33" s="1"/>
  <c r="Z7" i="33"/>
  <c r="AB7" i="33" s="1"/>
  <c r="Z11" i="33"/>
  <c r="AB11" i="33" s="1"/>
  <c r="G41" i="33"/>
  <c r="D62" i="33"/>
  <c r="J64" i="33"/>
  <c r="Q3" i="33"/>
  <c r="I4" i="33"/>
  <c r="I6" i="33"/>
  <c r="J6" i="33" s="1"/>
  <c r="I8" i="33"/>
  <c r="J8" i="33" s="1"/>
  <c r="I15" i="33"/>
  <c r="G24" i="33"/>
  <c r="F37" i="33"/>
  <c r="E63" i="33"/>
  <c r="I63" i="33"/>
  <c r="C65" i="33"/>
  <c r="E67" i="33"/>
  <c r="I67" i="33"/>
  <c r="C69" i="33"/>
  <c r="E71" i="33"/>
  <c r="I71" i="33"/>
  <c r="D72" i="33"/>
  <c r="I72" i="33"/>
  <c r="D63" i="33"/>
  <c r="F65" i="33"/>
  <c r="D67" i="33"/>
  <c r="F69" i="33"/>
  <c r="D71" i="33"/>
  <c r="C72" i="33"/>
  <c r="F24" i="32"/>
  <c r="G3" i="32"/>
  <c r="I19" i="33" l="1"/>
  <c r="J4" i="33"/>
  <c r="AC4" i="33"/>
  <c r="AE4" i="33" s="1"/>
  <c r="AC6" i="33"/>
  <c r="F68" i="33"/>
  <c r="O51" i="33"/>
  <c r="AC5" i="33"/>
  <c r="AE5" i="33" s="1"/>
  <c r="K71" i="33"/>
  <c r="H33" i="33" s="1"/>
  <c r="I33" i="33" s="1"/>
  <c r="K13" i="33" s="1"/>
  <c r="AC7" i="33"/>
  <c r="AE7" i="33" s="1"/>
  <c r="AC10" i="33"/>
  <c r="AE10" i="33" s="1"/>
  <c r="K70" i="33"/>
  <c r="H32" i="33" s="1"/>
  <c r="I32" i="33" s="1"/>
  <c r="K12" i="33" s="1"/>
  <c r="AC8" i="33"/>
  <c r="AE8" i="33" s="1"/>
  <c r="J77" i="33"/>
  <c r="E77" i="33"/>
  <c r="K67" i="33"/>
  <c r="H29" i="33" s="1"/>
  <c r="I29" i="33" s="1"/>
  <c r="K69" i="33"/>
  <c r="H31" i="33" s="1"/>
  <c r="I31" i="33" s="1"/>
  <c r="K11" i="33" s="1"/>
  <c r="K65" i="33"/>
  <c r="H27" i="33" s="1"/>
  <c r="I27" i="33" s="1"/>
  <c r="I21" i="33"/>
  <c r="AD4" i="33"/>
  <c r="F77" i="33"/>
  <c r="K63" i="33"/>
  <c r="H25" i="33" s="1"/>
  <c r="I25" i="33" s="1"/>
  <c r="K66" i="33"/>
  <c r="H28" i="33" s="1"/>
  <c r="I28" i="33" s="1"/>
  <c r="AD8" i="33"/>
  <c r="D75" i="33"/>
  <c r="G75" i="33"/>
  <c r="C75" i="33"/>
  <c r="K62" i="33"/>
  <c r="H77" i="33"/>
  <c r="E75" i="33"/>
  <c r="G39" i="33"/>
  <c r="G37" i="33"/>
  <c r="K64" i="33"/>
  <c r="C77" i="33"/>
  <c r="AD9" i="33"/>
  <c r="AE9" i="33"/>
  <c r="F75" i="33"/>
  <c r="I75" i="33"/>
  <c r="K72" i="33"/>
  <c r="S3" i="33"/>
  <c r="Z3" i="33"/>
  <c r="Q12" i="33"/>
  <c r="AA15" i="33"/>
  <c r="AC15" i="33" s="1"/>
  <c r="X16" i="33"/>
  <c r="AD16" i="33" s="1"/>
  <c r="AE16" i="33" s="1"/>
  <c r="G77" i="33"/>
  <c r="J75" i="33"/>
  <c r="G73" i="33"/>
  <c r="C68" i="33"/>
  <c r="H68" i="33"/>
  <c r="H73" i="33" s="1"/>
  <c r="D68" i="33"/>
  <c r="D73" i="33" s="1"/>
  <c r="J68" i="33"/>
  <c r="J73" i="33" s="1"/>
  <c r="F73" i="33"/>
  <c r="E68" i="33"/>
  <c r="E73" i="33" s="1"/>
  <c r="I68" i="33"/>
  <c r="I73" i="33" s="1"/>
  <c r="AD6" i="33"/>
  <c r="AE6" i="33"/>
  <c r="I77" i="33"/>
  <c r="H17" i="33"/>
  <c r="D77" i="33"/>
  <c r="N60" i="33"/>
  <c r="AC11" i="33"/>
  <c r="I9" i="33"/>
  <c r="D30" i="32"/>
  <c r="G9" i="32"/>
  <c r="F9" i="32"/>
  <c r="E9" i="32"/>
  <c r="I17" i="33" l="1"/>
  <c r="J9" i="33"/>
  <c r="AD5" i="33"/>
  <c r="AD10" i="33"/>
  <c r="AD7" i="33"/>
  <c r="AD11" i="33"/>
  <c r="AE11" i="33"/>
  <c r="K68" i="33"/>
  <c r="H30" i="33" s="1"/>
  <c r="I30" i="33" s="1"/>
  <c r="K9" i="33" s="1"/>
  <c r="C73" i="33"/>
  <c r="Z12" i="33"/>
  <c r="AB3" i="33"/>
  <c r="AB12" i="33" s="1"/>
  <c r="S12" i="33"/>
  <c r="X3" i="33"/>
  <c r="K75" i="33"/>
  <c r="H24" i="33"/>
  <c r="H26" i="33"/>
  <c r="K77" i="33"/>
  <c r="M45" i="32"/>
  <c r="H39" i="33" l="1"/>
  <c r="H37" i="33"/>
  <c r="I24" i="33"/>
  <c r="H41" i="33"/>
  <c r="I26" i="33"/>
  <c r="I41" i="33" s="1"/>
  <c r="AC3" i="33"/>
  <c r="X12" i="33"/>
  <c r="X15" i="33"/>
  <c r="AD15" i="33" s="1"/>
  <c r="AE15" i="33" s="1"/>
  <c r="K73" i="33"/>
  <c r="C84" i="32"/>
  <c r="B84" i="32"/>
  <c r="E83" i="32"/>
  <c r="E84" i="32" s="1"/>
  <c r="M57" i="32"/>
  <c r="N57" i="32" s="1"/>
  <c r="M56" i="32"/>
  <c r="N56" i="32" s="1"/>
  <c r="M55" i="32"/>
  <c r="M54" i="32"/>
  <c r="M53" i="32"/>
  <c r="M52" i="32"/>
  <c r="M51" i="32"/>
  <c r="M50" i="32"/>
  <c r="M49" i="32"/>
  <c r="M48" i="32"/>
  <c r="M47" i="32"/>
  <c r="M46" i="32"/>
  <c r="F41" i="32"/>
  <c r="E41" i="32"/>
  <c r="D41" i="32"/>
  <c r="C41" i="32"/>
  <c r="F39" i="32"/>
  <c r="E39" i="32"/>
  <c r="D39" i="32"/>
  <c r="C39" i="32"/>
  <c r="F37" i="32"/>
  <c r="E37" i="32"/>
  <c r="C37" i="32"/>
  <c r="G34" i="32"/>
  <c r="I34" i="32" s="1"/>
  <c r="G33" i="32"/>
  <c r="G32" i="32"/>
  <c r="G31" i="32"/>
  <c r="G30" i="32"/>
  <c r="D37" i="32"/>
  <c r="G29" i="32"/>
  <c r="G28" i="32"/>
  <c r="G27" i="32"/>
  <c r="G26" i="32"/>
  <c r="G25" i="32"/>
  <c r="G24" i="32"/>
  <c r="G21" i="32"/>
  <c r="F21" i="32"/>
  <c r="E21" i="32"/>
  <c r="C21" i="32"/>
  <c r="G19" i="32"/>
  <c r="F19" i="32"/>
  <c r="E19" i="32"/>
  <c r="C19" i="32"/>
  <c r="F17" i="32"/>
  <c r="C17" i="32"/>
  <c r="H16" i="32"/>
  <c r="I16" i="32" s="1"/>
  <c r="H15" i="32"/>
  <c r="J72" i="32" s="1"/>
  <c r="I14" i="32"/>
  <c r="H13" i="32"/>
  <c r="O12" i="32"/>
  <c r="H12" i="32"/>
  <c r="AA11" i="32"/>
  <c r="T11" i="32"/>
  <c r="V11" i="32" s="1"/>
  <c r="Q11" i="32"/>
  <c r="S11" i="32" s="1"/>
  <c r="P11" i="32"/>
  <c r="H11" i="32"/>
  <c r="AA10" i="32"/>
  <c r="T10" i="32"/>
  <c r="V10" i="32" s="1"/>
  <c r="Q10" i="32"/>
  <c r="S10" i="32" s="1"/>
  <c r="P10" i="32"/>
  <c r="H10" i="32"/>
  <c r="I10" i="32" s="1"/>
  <c r="AA9" i="32"/>
  <c r="T9" i="32"/>
  <c r="V9" i="32" s="1"/>
  <c r="X9" i="32" s="1"/>
  <c r="Q9" i="32"/>
  <c r="S9" i="32" s="1"/>
  <c r="P9" i="32"/>
  <c r="AA8" i="32"/>
  <c r="T8" i="32"/>
  <c r="V8" i="32" s="1"/>
  <c r="Q8" i="32"/>
  <c r="S8" i="32" s="1"/>
  <c r="P8" i="32"/>
  <c r="H8" i="32"/>
  <c r="AA7" i="32"/>
  <c r="T7" i="32"/>
  <c r="V7" i="32" s="1"/>
  <c r="Q7" i="32"/>
  <c r="S7" i="32" s="1"/>
  <c r="P7" i="32"/>
  <c r="H7" i="32"/>
  <c r="AA6" i="32"/>
  <c r="T6" i="32"/>
  <c r="V6" i="32" s="1"/>
  <c r="Q6" i="32"/>
  <c r="S6" i="32" s="1"/>
  <c r="P6" i="32"/>
  <c r="H6" i="32"/>
  <c r="N48" i="32" s="1"/>
  <c r="AA5" i="32"/>
  <c r="T5" i="32"/>
  <c r="V5" i="32" s="1"/>
  <c r="Q5" i="32"/>
  <c r="S5" i="32" s="1"/>
  <c r="X5" i="32" s="1"/>
  <c r="P5" i="32"/>
  <c r="H5" i="32"/>
  <c r="AA4" i="32"/>
  <c r="T4" i="32"/>
  <c r="V4" i="32" s="1"/>
  <c r="Q4" i="32"/>
  <c r="S4" i="32" s="1"/>
  <c r="P4" i="32"/>
  <c r="H4" i="32"/>
  <c r="AA3" i="32"/>
  <c r="T3" i="32"/>
  <c r="Q3" i="32"/>
  <c r="S3" i="32" s="1"/>
  <c r="P3" i="32"/>
  <c r="H3" i="32"/>
  <c r="N45" i="32" s="1"/>
  <c r="AD2" i="32"/>
  <c r="AA2" i="32"/>
  <c r="Z2" i="32"/>
  <c r="X2" i="32"/>
  <c r="V2" i="32"/>
  <c r="T2" i="32"/>
  <c r="Q2" i="32"/>
  <c r="P2" i="32"/>
  <c r="O2" i="32"/>
  <c r="I69" i="32" l="1"/>
  <c r="J69" i="32"/>
  <c r="C69" i="32"/>
  <c r="D84" i="32"/>
  <c r="D83" i="32"/>
  <c r="F69" i="32"/>
  <c r="N52" i="32"/>
  <c r="G69" i="32"/>
  <c r="N53" i="32"/>
  <c r="Z9" i="32"/>
  <c r="AB9" i="32" s="1"/>
  <c r="X10" i="32"/>
  <c r="I37" i="33"/>
  <c r="I39" i="33"/>
  <c r="AD3" i="33"/>
  <c r="AD12" i="33" s="1"/>
  <c r="AC12" i="33"/>
  <c r="AE12" i="33" s="1"/>
  <c r="AE3" i="33"/>
  <c r="H71" i="32"/>
  <c r="N55" i="32"/>
  <c r="J71" i="32"/>
  <c r="I71" i="32"/>
  <c r="N54" i="32"/>
  <c r="J70" i="32"/>
  <c r="D67" i="32"/>
  <c r="N50" i="32"/>
  <c r="J66" i="32"/>
  <c r="N49" i="32"/>
  <c r="J64" i="32"/>
  <c r="N47" i="32"/>
  <c r="I63" i="32"/>
  <c r="N46" i="32"/>
  <c r="I67" i="32"/>
  <c r="H67" i="32"/>
  <c r="X4" i="32"/>
  <c r="Z3" i="32"/>
  <c r="X11" i="32"/>
  <c r="G71" i="32"/>
  <c r="D71" i="32"/>
  <c r="E71" i="32"/>
  <c r="I12" i="32"/>
  <c r="X8" i="32"/>
  <c r="G67" i="32"/>
  <c r="J67" i="32"/>
  <c r="E67" i="32"/>
  <c r="I7" i="32"/>
  <c r="I65" i="32"/>
  <c r="J65" i="32"/>
  <c r="C65" i="32"/>
  <c r="F65" i="32"/>
  <c r="X6" i="32"/>
  <c r="G65" i="32"/>
  <c r="G63" i="32"/>
  <c r="J63" i="32"/>
  <c r="D63" i="32"/>
  <c r="Z4" i="32"/>
  <c r="E63" i="32"/>
  <c r="H63" i="32"/>
  <c r="J62" i="32"/>
  <c r="H62" i="32"/>
  <c r="AC9" i="32"/>
  <c r="G64" i="32"/>
  <c r="C64" i="32"/>
  <c r="F64" i="32"/>
  <c r="H21" i="32"/>
  <c r="D64" i="32"/>
  <c r="I64" i="32"/>
  <c r="E64" i="32"/>
  <c r="H64" i="32"/>
  <c r="I62" i="32"/>
  <c r="E62" i="32"/>
  <c r="D62" i="32"/>
  <c r="G62" i="32"/>
  <c r="C62" i="32"/>
  <c r="F62" i="32"/>
  <c r="G41" i="32"/>
  <c r="I3" i="32"/>
  <c r="T12" i="32"/>
  <c r="V3" i="32"/>
  <c r="V12" i="32" s="1"/>
  <c r="AB4" i="32"/>
  <c r="AA16" i="32"/>
  <c r="AC16" i="32" s="1"/>
  <c r="Z5" i="32"/>
  <c r="AB5" i="32" s="1"/>
  <c r="AC5" i="32" s="1"/>
  <c r="Z8" i="32"/>
  <c r="AB8" i="32" s="1"/>
  <c r="Z10" i="32"/>
  <c r="AB10" i="32" s="1"/>
  <c r="AC10" i="32" s="1"/>
  <c r="Q12" i="32"/>
  <c r="G72" i="32"/>
  <c r="C72" i="32"/>
  <c r="F72" i="32"/>
  <c r="I72" i="32"/>
  <c r="D72" i="32"/>
  <c r="E72" i="32"/>
  <c r="I15" i="32"/>
  <c r="E17" i="32"/>
  <c r="I5" i="32"/>
  <c r="Z7" i="32"/>
  <c r="AB7" i="32" s="1"/>
  <c r="H19" i="32"/>
  <c r="P12" i="32"/>
  <c r="AB3" i="32"/>
  <c r="Z6" i="32"/>
  <c r="AB6" i="32" s="1"/>
  <c r="I66" i="32"/>
  <c r="E66" i="32"/>
  <c r="H66" i="32"/>
  <c r="D66" i="32"/>
  <c r="G66" i="32"/>
  <c r="C66" i="32"/>
  <c r="F66" i="32"/>
  <c r="X7" i="32"/>
  <c r="AC7" i="32" s="1"/>
  <c r="G17" i="32"/>
  <c r="H9" i="32"/>
  <c r="J68" i="32" s="1"/>
  <c r="Z11" i="32"/>
  <c r="AB11" i="32" s="1"/>
  <c r="I70" i="32"/>
  <c r="E70" i="32"/>
  <c r="H70" i="32"/>
  <c r="D70" i="32"/>
  <c r="F70" i="32"/>
  <c r="G70" i="32"/>
  <c r="C70" i="32"/>
  <c r="S12" i="32"/>
  <c r="AA15" i="32"/>
  <c r="AC15" i="32" s="1"/>
  <c r="G37" i="32"/>
  <c r="G39" i="32"/>
  <c r="F63" i="32"/>
  <c r="D65" i="32"/>
  <c r="H65" i="32"/>
  <c r="F67" i="32"/>
  <c r="D69" i="32"/>
  <c r="K69" i="32" s="1"/>
  <c r="H31" i="32" s="1"/>
  <c r="I31" i="32" s="1"/>
  <c r="H69" i="32"/>
  <c r="F71" i="32"/>
  <c r="I4" i="32"/>
  <c r="I6" i="32"/>
  <c r="I8" i="32"/>
  <c r="I11" i="32"/>
  <c r="I13" i="32"/>
  <c r="C63" i="32"/>
  <c r="E65" i="32"/>
  <c r="C67" i="32"/>
  <c r="E69" i="32"/>
  <c r="C71" i="32"/>
  <c r="C54" i="41"/>
  <c r="N45" i="31"/>
  <c r="M45" i="31"/>
  <c r="G9" i="31"/>
  <c r="N51" i="32" l="1"/>
  <c r="X3" i="32"/>
  <c r="N60" i="32"/>
  <c r="J77" i="32"/>
  <c r="K63" i="32"/>
  <c r="H25" i="32" s="1"/>
  <c r="I25" i="32" s="1"/>
  <c r="AC4" i="32"/>
  <c r="K70" i="32"/>
  <c r="H32" i="32" s="1"/>
  <c r="I32" i="32" s="1"/>
  <c r="I77" i="32"/>
  <c r="AC8" i="32"/>
  <c r="AE8" i="32" s="1"/>
  <c r="AC6" i="32"/>
  <c r="AE6" i="32" s="1"/>
  <c r="K71" i="32"/>
  <c r="H33" i="32" s="1"/>
  <c r="I33" i="32" s="1"/>
  <c r="AC11" i="32"/>
  <c r="AE11" i="32" s="1"/>
  <c r="J73" i="32"/>
  <c r="K65" i="32"/>
  <c r="H27" i="32" s="1"/>
  <c r="I27" i="32" s="1"/>
  <c r="K62" i="32"/>
  <c r="J75" i="32"/>
  <c r="AE10" i="32"/>
  <c r="AD10" i="32"/>
  <c r="AE4" i="32"/>
  <c r="AD4" i="32"/>
  <c r="G68" i="32"/>
  <c r="C68" i="32"/>
  <c r="C73" i="32" s="1"/>
  <c r="F68" i="32"/>
  <c r="F73" i="32" s="1"/>
  <c r="H68" i="32"/>
  <c r="H73" i="32" s="1"/>
  <c r="D68" i="32"/>
  <c r="I68" i="32"/>
  <c r="E68" i="32"/>
  <c r="E73" i="32" s="1"/>
  <c r="K64" i="32"/>
  <c r="C77" i="32"/>
  <c r="AB12" i="32"/>
  <c r="I21" i="32"/>
  <c r="K72" i="32"/>
  <c r="I9" i="32"/>
  <c r="H17" i="32"/>
  <c r="I75" i="32"/>
  <c r="I73" i="32"/>
  <c r="D77" i="32"/>
  <c r="G77" i="32"/>
  <c r="AD7" i="32"/>
  <c r="AE7" i="32"/>
  <c r="I19" i="32"/>
  <c r="I17" i="32"/>
  <c r="G73" i="32"/>
  <c r="G75" i="32"/>
  <c r="E75" i="32"/>
  <c r="AD8" i="32"/>
  <c r="K67" i="32"/>
  <c r="H29" i="32" s="1"/>
  <c r="I29" i="32" s="1"/>
  <c r="K66" i="32"/>
  <c r="H28" i="32" s="1"/>
  <c r="I28" i="32" s="1"/>
  <c r="X15" i="32"/>
  <c r="AD15" i="32" s="1"/>
  <c r="AE15" i="32" s="1"/>
  <c r="AC3" i="32"/>
  <c r="X12" i="32"/>
  <c r="F75" i="32"/>
  <c r="D75" i="32"/>
  <c r="D73" i="32"/>
  <c r="H77" i="32"/>
  <c r="AE5" i="32"/>
  <c r="AD5" i="32"/>
  <c r="X16" i="32"/>
  <c r="AD16" i="32" s="1"/>
  <c r="AE16" i="32" s="1"/>
  <c r="C75" i="32"/>
  <c r="H75" i="32"/>
  <c r="E77" i="32"/>
  <c r="F77" i="32"/>
  <c r="Z12" i="32"/>
  <c r="AE9" i="32"/>
  <c r="AD9" i="32"/>
  <c r="J70" i="31"/>
  <c r="J71" i="31"/>
  <c r="J69" i="31"/>
  <c r="J68" i="31"/>
  <c r="J63" i="31"/>
  <c r="J64" i="31"/>
  <c r="J65" i="31"/>
  <c r="J66" i="31"/>
  <c r="J67" i="31"/>
  <c r="J62" i="31"/>
  <c r="J72" i="31"/>
  <c r="D30" i="31"/>
  <c r="E9" i="31"/>
  <c r="AD11" i="32" l="1"/>
  <c r="AD6" i="32"/>
  <c r="K75" i="32"/>
  <c r="H24" i="32"/>
  <c r="AC12" i="32"/>
  <c r="AE12" i="32" s="1"/>
  <c r="AD3" i="32"/>
  <c r="AD12" i="32" s="1"/>
  <c r="AE3" i="32"/>
  <c r="K77" i="32"/>
  <c r="H26" i="32"/>
  <c r="K68" i="32"/>
  <c r="H30" i="32" s="1"/>
  <c r="I30" i="32" s="1"/>
  <c r="M46" i="31"/>
  <c r="N46" i="31" s="1"/>
  <c r="M47" i="31"/>
  <c r="N47" i="31" s="1"/>
  <c r="M48" i="31"/>
  <c r="N48" i="31" s="1"/>
  <c r="M49" i="31"/>
  <c r="N49" i="31" s="1"/>
  <c r="M50" i="31"/>
  <c r="N50" i="31" s="1"/>
  <c r="M51" i="31"/>
  <c r="M52" i="31"/>
  <c r="N52" i="31" s="1"/>
  <c r="M53" i="31"/>
  <c r="N53" i="31" s="1"/>
  <c r="M54" i="31"/>
  <c r="N54" i="31" s="1"/>
  <c r="M55" i="31"/>
  <c r="N55" i="31" s="1"/>
  <c r="M56" i="31"/>
  <c r="N56" i="31" s="1"/>
  <c r="M57" i="31"/>
  <c r="N57" i="31" s="1"/>
  <c r="D63" i="31"/>
  <c r="D69" i="31"/>
  <c r="C84" i="31"/>
  <c r="B84" i="31"/>
  <c r="E83" i="31"/>
  <c r="E84" i="31" s="1"/>
  <c r="G63" i="31"/>
  <c r="E63" i="31"/>
  <c r="F41" i="31"/>
  <c r="E41" i="31"/>
  <c r="D41" i="31"/>
  <c r="C41" i="31"/>
  <c r="F39" i="31"/>
  <c r="E39" i="31"/>
  <c r="D39" i="31"/>
  <c r="C39" i="31"/>
  <c r="F37" i="31"/>
  <c r="E37" i="31"/>
  <c r="D37" i="31"/>
  <c r="C37" i="31"/>
  <c r="G34" i="31"/>
  <c r="I34" i="31" s="1"/>
  <c r="G33" i="31"/>
  <c r="G32" i="31"/>
  <c r="G31" i="31"/>
  <c r="G30" i="31"/>
  <c r="G29" i="31"/>
  <c r="G28" i="31"/>
  <c r="G27" i="31"/>
  <c r="G26" i="31"/>
  <c r="G25" i="31"/>
  <c r="G24" i="31"/>
  <c r="G21" i="31"/>
  <c r="F21" i="31"/>
  <c r="E21" i="31"/>
  <c r="C21" i="31"/>
  <c r="G19" i="31"/>
  <c r="F19" i="31"/>
  <c r="E19" i="31"/>
  <c r="C19" i="31"/>
  <c r="F17" i="31"/>
  <c r="C17" i="31"/>
  <c r="H16" i="31"/>
  <c r="I16" i="31" s="1"/>
  <c r="H15" i="31"/>
  <c r="D72" i="31" s="1"/>
  <c r="I14" i="31"/>
  <c r="H13" i="31"/>
  <c r="C71" i="31" s="1"/>
  <c r="O12" i="31"/>
  <c r="H12" i="31"/>
  <c r="I70" i="31" s="1"/>
  <c r="AA11" i="31"/>
  <c r="T11" i="31"/>
  <c r="V11" i="31" s="1"/>
  <c r="Q11" i="31"/>
  <c r="S11" i="31" s="1"/>
  <c r="P11" i="31"/>
  <c r="H11" i="31"/>
  <c r="I69" i="31" s="1"/>
  <c r="AA10" i="31"/>
  <c r="T10" i="31"/>
  <c r="V10" i="31" s="1"/>
  <c r="Q10" i="31"/>
  <c r="S10" i="31" s="1"/>
  <c r="P10" i="31"/>
  <c r="H10" i="31"/>
  <c r="I10" i="31" s="1"/>
  <c r="AA9" i="31"/>
  <c r="T9" i="31"/>
  <c r="V9" i="31" s="1"/>
  <c r="X9" i="31" s="1"/>
  <c r="Q9" i="31"/>
  <c r="S9" i="31" s="1"/>
  <c r="P9" i="31"/>
  <c r="H9" i="31"/>
  <c r="AA8" i="31"/>
  <c r="T8" i="31"/>
  <c r="V8" i="31" s="1"/>
  <c r="Q8" i="31"/>
  <c r="S8" i="31" s="1"/>
  <c r="P8" i="31"/>
  <c r="H8" i="31"/>
  <c r="H67" i="31" s="1"/>
  <c r="AA7" i="31"/>
  <c r="T7" i="31"/>
  <c r="V7" i="31" s="1"/>
  <c r="Q7" i="31"/>
  <c r="S7" i="31" s="1"/>
  <c r="P7" i="31"/>
  <c r="H7" i="31"/>
  <c r="D66" i="31" s="1"/>
  <c r="AA6" i="31"/>
  <c r="T6" i="31"/>
  <c r="V6" i="31" s="1"/>
  <c r="Q6" i="31"/>
  <c r="S6" i="31" s="1"/>
  <c r="P6" i="31"/>
  <c r="H6" i="31"/>
  <c r="AA5" i="31"/>
  <c r="T5" i="31"/>
  <c r="V5" i="31" s="1"/>
  <c r="Q5" i="31"/>
  <c r="S5" i="31" s="1"/>
  <c r="P5" i="31"/>
  <c r="H5" i="31"/>
  <c r="I64" i="31" s="1"/>
  <c r="AA4" i="31"/>
  <c r="T4" i="31"/>
  <c r="V4" i="31" s="1"/>
  <c r="X4" i="31" s="1"/>
  <c r="Q4" i="31"/>
  <c r="S4" i="31" s="1"/>
  <c r="P4" i="31"/>
  <c r="H4" i="31"/>
  <c r="H63" i="31" s="1"/>
  <c r="AA3" i="31"/>
  <c r="T3" i="31"/>
  <c r="V3" i="31" s="1"/>
  <c r="Q3" i="31"/>
  <c r="S3" i="31" s="1"/>
  <c r="P3" i="31"/>
  <c r="H3" i="31"/>
  <c r="D62" i="31" s="1"/>
  <c r="AD2" i="31"/>
  <c r="AA2" i="31"/>
  <c r="Z2" i="31"/>
  <c r="X2" i="31"/>
  <c r="V2" i="31"/>
  <c r="T2" i="31"/>
  <c r="Q2" i="31"/>
  <c r="P2" i="31"/>
  <c r="O2" i="31"/>
  <c r="E69" i="31" l="1"/>
  <c r="D83" i="31"/>
  <c r="N51" i="31"/>
  <c r="I72" i="31"/>
  <c r="I4" i="31"/>
  <c r="X8" i="31"/>
  <c r="H37" i="32"/>
  <c r="H39" i="32"/>
  <c r="I24" i="32"/>
  <c r="H41" i="32"/>
  <c r="I26" i="32"/>
  <c r="I41" i="32" s="1"/>
  <c r="K73" i="32"/>
  <c r="G70" i="31"/>
  <c r="C66" i="31"/>
  <c r="F66" i="31"/>
  <c r="Z9" i="31"/>
  <c r="AB9" i="31" s="1"/>
  <c r="AC9" i="31" s="1"/>
  <c r="E64" i="31"/>
  <c r="F63" i="31"/>
  <c r="Z4" i="31"/>
  <c r="AB4" i="31" s="1"/>
  <c r="AC4" i="31" s="1"/>
  <c r="H68" i="31"/>
  <c r="G67" i="31"/>
  <c r="F71" i="31"/>
  <c r="D64" i="31"/>
  <c r="X5" i="31"/>
  <c r="T12" i="31"/>
  <c r="C62" i="31"/>
  <c r="D65" i="31"/>
  <c r="AA15" i="31"/>
  <c r="AC15" i="31" s="1"/>
  <c r="I67" i="31"/>
  <c r="H70" i="31"/>
  <c r="G71" i="31"/>
  <c r="C65" i="31"/>
  <c r="D68" i="31"/>
  <c r="Z6" i="31"/>
  <c r="AB6" i="31" s="1"/>
  <c r="I8" i="31"/>
  <c r="I12" i="31"/>
  <c r="F62" i="31"/>
  <c r="H64" i="31"/>
  <c r="E67" i="31"/>
  <c r="C70" i="31"/>
  <c r="I71" i="31"/>
  <c r="C64" i="31"/>
  <c r="D71" i="31"/>
  <c r="D67" i="31"/>
  <c r="D75" i="31"/>
  <c r="AA16" i="31"/>
  <c r="AC16" i="31" s="1"/>
  <c r="X6" i="31"/>
  <c r="Z7" i="31"/>
  <c r="AB7" i="31" s="1"/>
  <c r="Z8" i="31"/>
  <c r="AB8" i="31" s="1"/>
  <c r="AC8" i="31" s="1"/>
  <c r="I9" i="31"/>
  <c r="X10" i="31"/>
  <c r="Z11" i="31"/>
  <c r="AB11" i="31" s="1"/>
  <c r="H19" i="31"/>
  <c r="G62" i="31"/>
  <c r="G75" i="31" s="1"/>
  <c r="I63" i="31"/>
  <c r="F67" i="31"/>
  <c r="F70" i="31"/>
  <c r="C67" i="31"/>
  <c r="C63" i="31"/>
  <c r="K63" i="31" s="1"/>
  <c r="H25" i="31" s="1"/>
  <c r="I25" i="31" s="1"/>
  <c r="D70" i="31"/>
  <c r="V12" i="31"/>
  <c r="F65" i="31"/>
  <c r="Z10" i="31"/>
  <c r="AB10" i="31" s="1"/>
  <c r="I65" i="31"/>
  <c r="Q12" i="31"/>
  <c r="Z3" i="31"/>
  <c r="I6" i="31"/>
  <c r="I66" i="31"/>
  <c r="E66" i="31"/>
  <c r="X7" i="31"/>
  <c r="G72" i="31"/>
  <c r="C72" i="31"/>
  <c r="K72" i="31" s="1"/>
  <c r="E17" i="31"/>
  <c r="G41" i="31"/>
  <c r="G39" i="31"/>
  <c r="E65" i="31"/>
  <c r="G66" i="31"/>
  <c r="I68" i="31"/>
  <c r="I62" i="31"/>
  <c r="E62" i="31"/>
  <c r="H17" i="31"/>
  <c r="X3" i="31"/>
  <c r="Z5" i="31"/>
  <c r="AB5" i="31" s="1"/>
  <c r="I7" i="31"/>
  <c r="G68" i="31"/>
  <c r="C68" i="31"/>
  <c r="F69" i="31"/>
  <c r="X11" i="31"/>
  <c r="P12" i="31"/>
  <c r="I15" i="31"/>
  <c r="H62" i="31"/>
  <c r="G65" i="31"/>
  <c r="H66" i="31"/>
  <c r="E68" i="31"/>
  <c r="G69" i="31"/>
  <c r="E72" i="31"/>
  <c r="I3" i="31"/>
  <c r="G64" i="31"/>
  <c r="H21" i="31"/>
  <c r="I5" i="31"/>
  <c r="I11" i="31"/>
  <c r="S12" i="31"/>
  <c r="H71" i="31"/>
  <c r="I13" i="31"/>
  <c r="G17" i="31"/>
  <c r="G37" i="31"/>
  <c r="D84" i="31"/>
  <c r="F64" i="31"/>
  <c r="H65" i="31"/>
  <c r="F68" i="31"/>
  <c r="C69" i="31"/>
  <c r="H69" i="31"/>
  <c r="E71" i="31"/>
  <c r="F72" i="31"/>
  <c r="E70" i="31"/>
  <c r="K67" i="31" l="1"/>
  <c r="H29" i="31" s="1"/>
  <c r="I29" i="31" s="1"/>
  <c r="I39" i="32"/>
  <c r="I37" i="32"/>
  <c r="D77" i="31"/>
  <c r="AC5" i="31"/>
  <c r="AC10" i="31"/>
  <c r="AD10" i="31" s="1"/>
  <c r="AC6" i="31"/>
  <c r="AD6" i="31" s="1"/>
  <c r="N60" i="31"/>
  <c r="AC11" i="31"/>
  <c r="AD11" i="31" s="1"/>
  <c r="AC7" i="31"/>
  <c r="AD7" i="31" s="1"/>
  <c r="F75" i="31"/>
  <c r="K70" i="31"/>
  <c r="H32" i="31" s="1"/>
  <c r="I32" i="31" s="1"/>
  <c r="D73" i="31"/>
  <c r="AE8" i="31"/>
  <c r="AD8" i="31"/>
  <c r="H77" i="31"/>
  <c r="G73" i="31"/>
  <c r="I77" i="31"/>
  <c r="J77" i="31"/>
  <c r="F77" i="31"/>
  <c r="AE5" i="31"/>
  <c r="AD5" i="31"/>
  <c r="I21" i="31"/>
  <c r="I19" i="31"/>
  <c r="I17" i="31"/>
  <c r="E77" i="31"/>
  <c r="I75" i="31"/>
  <c r="I73" i="31"/>
  <c r="K69" i="31"/>
  <c r="H31" i="31" s="1"/>
  <c r="I31" i="31" s="1"/>
  <c r="K65" i="31"/>
  <c r="H27" i="31" s="1"/>
  <c r="I27" i="31" s="1"/>
  <c r="H75" i="31"/>
  <c r="H73" i="31"/>
  <c r="K68" i="31"/>
  <c r="H30" i="31" s="1"/>
  <c r="I30" i="31" s="1"/>
  <c r="X15" i="31"/>
  <c r="AD15" i="31" s="1"/>
  <c r="AE15" i="31" s="1"/>
  <c r="X12" i="31"/>
  <c r="K64" i="31"/>
  <c r="C77" i="31"/>
  <c r="K66" i="31"/>
  <c r="H28" i="31" s="1"/>
  <c r="I28" i="31" s="1"/>
  <c r="C73" i="31"/>
  <c r="C75" i="31"/>
  <c r="K62" i="31"/>
  <c r="AE11" i="31"/>
  <c r="AB3" i="31"/>
  <c r="AB12" i="31" s="1"/>
  <c r="Z12" i="31"/>
  <c r="F73" i="31"/>
  <c r="AD9" i="31"/>
  <c r="AE9" i="31"/>
  <c r="X16" i="31"/>
  <c r="AD16" i="31" s="1"/>
  <c r="AE16" i="31" s="1"/>
  <c r="K71" i="31"/>
  <c r="H33" i="31" s="1"/>
  <c r="I33" i="31" s="1"/>
  <c r="J75" i="31"/>
  <c r="J73" i="31"/>
  <c r="G77" i="31"/>
  <c r="E75" i="31"/>
  <c r="E73" i="31"/>
  <c r="AD4" i="31"/>
  <c r="AE4" i="31"/>
  <c r="N79" i="24"/>
  <c r="O79" i="24"/>
  <c r="O80" i="24"/>
  <c r="D80" i="24"/>
  <c r="F84" i="24"/>
  <c r="F85" i="24" s="1"/>
  <c r="F74" i="24" s="1"/>
  <c r="G84" i="24"/>
  <c r="G85" i="24" s="1"/>
  <c r="G74" i="24" s="1"/>
  <c r="H84" i="24"/>
  <c r="H85" i="24" s="1"/>
  <c r="H74" i="24" s="1"/>
  <c r="I84" i="24"/>
  <c r="J84" i="24"/>
  <c r="E84" i="24"/>
  <c r="E85" i="24" s="1"/>
  <c r="E74" i="24" s="1"/>
  <c r="D85" i="24"/>
  <c r="D74" i="24" s="1"/>
  <c r="AE10" i="31" l="1"/>
  <c r="AE6" i="31"/>
  <c r="AE7" i="31"/>
  <c r="AC3" i="31"/>
  <c r="AD3" i="31" s="1"/>
  <c r="AD12" i="31" s="1"/>
  <c r="H26" i="31"/>
  <c r="K77" i="31"/>
  <c r="K73" i="31"/>
  <c r="K75" i="31"/>
  <c r="H24" i="31"/>
  <c r="O81" i="24"/>
  <c r="O75" i="24" s="1"/>
  <c r="I85" i="24"/>
  <c r="I74" i="24" s="1"/>
  <c r="AC12" i="31" l="1"/>
  <c r="AE12" i="31" s="1"/>
  <c r="AE3" i="31"/>
  <c r="H39" i="31"/>
  <c r="H37" i="31"/>
  <c r="I24" i="31"/>
  <c r="I26" i="31"/>
  <c r="I41" i="31" s="1"/>
  <c r="H41" i="31"/>
  <c r="F59" i="41"/>
  <c r="G56" i="41"/>
  <c r="D56" i="41"/>
  <c r="E36" i="41"/>
  <c r="F36" i="41" s="1"/>
  <c r="G36" i="41" s="1"/>
  <c r="H36" i="41" s="1"/>
  <c r="I36" i="41" s="1"/>
  <c r="D55" i="24"/>
  <c r="E69" i="24"/>
  <c r="E59" i="41" s="1"/>
  <c r="F69" i="24"/>
  <c r="D69" i="24"/>
  <c r="D59" i="41" s="1"/>
  <c r="F61" i="24"/>
  <c r="E61" i="24"/>
  <c r="D61" i="24"/>
  <c r="D27" i="41"/>
  <c r="I37" i="31" l="1"/>
  <c r="I39" i="31"/>
  <c r="D49" i="41"/>
  <c r="D16" i="41"/>
  <c r="D17" i="41"/>
  <c r="H24" i="41"/>
  <c r="E24" i="41"/>
  <c r="E27" i="41"/>
  <c r="F27" i="41"/>
  <c r="D22" i="41"/>
  <c r="D23" i="41" s="1"/>
  <c r="E4" i="41"/>
  <c r="F4" i="41" s="1"/>
  <c r="G4" i="41" s="1"/>
  <c r="H4" i="41" s="1"/>
  <c r="I4" i="41" s="1"/>
  <c r="J4" i="41" s="1"/>
  <c r="AL63" i="41"/>
  <c r="J56" i="41"/>
  <c r="AL55" i="41"/>
  <c r="Z55" i="41"/>
  <c r="N55" i="41"/>
  <c r="AM55" i="41"/>
  <c r="AA55" i="41"/>
  <c r="P54" i="41"/>
  <c r="O55" i="41"/>
  <c r="Z39" i="41"/>
  <c r="Y39" i="41"/>
  <c r="AK39" i="41" s="1"/>
  <c r="AL39" i="41" s="1"/>
  <c r="N39" i="41"/>
  <c r="O37" i="41"/>
  <c r="J36" i="41"/>
  <c r="AL31" i="41"/>
  <c r="K24" i="41"/>
  <c r="C23" i="41"/>
  <c r="P22" i="41"/>
  <c r="Q22" i="41" s="1"/>
  <c r="R22" i="41" s="1"/>
  <c r="S22" i="41" s="1"/>
  <c r="T22" i="41" s="1"/>
  <c r="U22" i="41" s="1"/>
  <c r="V22" i="41" s="1"/>
  <c r="W22" i="41" s="1"/>
  <c r="X22" i="41" s="1"/>
  <c r="Y22" i="41" s="1"/>
  <c r="AB22" i="41" s="1"/>
  <c r="AC22" i="41" s="1"/>
  <c r="AD22" i="41" s="1"/>
  <c r="AE22" i="41" s="1"/>
  <c r="AF22" i="41" s="1"/>
  <c r="AG22" i="41" s="1"/>
  <c r="AH22" i="41" s="1"/>
  <c r="AI22" i="41" s="1"/>
  <c r="AJ22" i="41" s="1"/>
  <c r="AK22" i="41" s="1"/>
  <c r="AN22" i="41" s="1"/>
  <c r="AO22" i="41" s="1"/>
  <c r="AP22" i="41" s="1"/>
  <c r="AQ22" i="41" s="1"/>
  <c r="AR22" i="41" s="1"/>
  <c r="AS22" i="41" s="1"/>
  <c r="AT22" i="41" s="1"/>
  <c r="AU22" i="41" s="1"/>
  <c r="AV22" i="41" s="1"/>
  <c r="AW22" i="41" s="1"/>
  <c r="C21" i="41"/>
  <c r="M7" i="41"/>
  <c r="Y7" i="41" s="1"/>
  <c r="Z7" i="41" s="1"/>
  <c r="AA5" i="41"/>
  <c r="AM5" i="41" s="1"/>
  <c r="N7" i="41" l="1"/>
  <c r="AK7" i="41"/>
  <c r="AL7" i="41" s="1"/>
  <c r="AA37" i="41"/>
  <c r="AN54" i="41"/>
  <c r="AN55" i="41" s="1"/>
  <c r="E16" i="41"/>
  <c r="I24" i="41"/>
  <c r="I56" i="41" s="1"/>
  <c r="H56" i="41"/>
  <c r="E22" i="41"/>
  <c r="D54" i="41"/>
  <c r="D48" i="41"/>
  <c r="AB54" i="41"/>
  <c r="AB55" i="41" s="1"/>
  <c r="F24" i="41"/>
  <c r="F56" i="41" s="1"/>
  <c r="E56" i="41"/>
  <c r="C55" i="41"/>
  <c r="E17" i="41"/>
  <c r="K4" i="41"/>
  <c r="L4" i="41" s="1"/>
  <c r="Q54" i="41"/>
  <c r="P55" i="41"/>
  <c r="AM37" i="41"/>
  <c r="L24" i="41"/>
  <c r="K56" i="41"/>
  <c r="K36" i="41"/>
  <c r="F17" i="41" l="1"/>
  <c r="AC54" i="41"/>
  <c r="AD54" i="41" s="1"/>
  <c r="E48" i="41"/>
  <c r="AO54" i="41"/>
  <c r="D55" i="41"/>
  <c r="E54" i="41"/>
  <c r="E49" i="41"/>
  <c r="F49" i="41" s="1"/>
  <c r="F22" i="41"/>
  <c r="E23" i="41"/>
  <c r="F16" i="41"/>
  <c r="L56" i="41"/>
  <c r="M4" i="41"/>
  <c r="O7" i="41" s="1"/>
  <c r="N10" i="41" s="1"/>
  <c r="L36" i="41"/>
  <c r="Q55" i="41"/>
  <c r="R54" i="41"/>
  <c r="AC55" i="41" l="1"/>
  <c r="AP54" i="41"/>
  <c r="AO55" i="41"/>
  <c r="G22" i="41"/>
  <c r="F23" i="41"/>
  <c r="F54" i="41"/>
  <c r="E55" i="41"/>
  <c r="G16" i="41"/>
  <c r="H16" i="41" s="1"/>
  <c r="F48" i="41"/>
  <c r="M36" i="41"/>
  <c r="R55" i="41"/>
  <c r="S54" i="41"/>
  <c r="M56" i="41"/>
  <c r="N24" i="41"/>
  <c r="AD55" i="41"/>
  <c r="AE54" i="41"/>
  <c r="AQ54" i="41" l="1"/>
  <c r="AP55" i="41"/>
  <c r="G48" i="41"/>
  <c r="G54" i="41"/>
  <c r="F55" i="41"/>
  <c r="H22" i="41"/>
  <c r="G23" i="41"/>
  <c r="AE55" i="41"/>
  <c r="AF54" i="41"/>
  <c r="N56" i="41"/>
  <c r="O24" i="41"/>
  <c r="S55" i="41"/>
  <c r="T54" i="41"/>
  <c r="O39" i="41"/>
  <c r="N42" i="41" s="1"/>
  <c r="AQ55" i="41" l="1"/>
  <c r="AR54" i="41"/>
  <c r="I22" i="41"/>
  <c r="H23" i="41"/>
  <c r="I16" i="41"/>
  <c r="H54" i="41"/>
  <c r="G55" i="41"/>
  <c r="H48" i="41"/>
  <c r="AF55" i="41"/>
  <c r="AG54" i="41"/>
  <c r="P24" i="41"/>
  <c r="O56" i="41"/>
  <c r="U54" i="41"/>
  <c r="T55" i="41"/>
  <c r="J16" i="41" l="1"/>
  <c r="AR55" i="41"/>
  <c r="AS54" i="41"/>
  <c r="I48" i="41"/>
  <c r="H55" i="41"/>
  <c r="I54" i="41"/>
  <c r="I23" i="41"/>
  <c r="J22" i="41"/>
  <c r="K16" i="41" s="1"/>
  <c r="P56" i="41"/>
  <c r="P47" i="41" s="1"/>
  <c r="P15" i="41"/>
  <c r="Q24" i="41"/>
  <c r="U55" i="41"/>
  <c r="V54" i="41"/>
  <c r="AH54" i="41"/>
  <c r="AG55" i="41"/>
  <c r="AT54" i="41" l="1"/>
  <c r="AS55" i="41"/>
  <c r="J23" i="41"/>
  <c r="K22" i="41"/>
  <c r="I55" i="41"/>
  <c r="J54" i="41"/>
  <c r="J48" i="41"/>
  <c r="AH55" i="41"/>
  <c r="AI54" i="41"/>
  <c r="V55" i="41"/>
  <c r="W54" i="41"/>
  <c r="R24" i="41"/>
  <c r="Q56" i="41"/>
  <c r="Q15" i="41"/>
  <c r="AU54" i="41" l="1"/>
  <c r="AT55" i="41"/>
  <c r="J55" i="41"/>
  <c r="K54" i="41"/>
  <c r="Q47" i="41"/>
  <c r="K48" i="41"/>
  <c r="K23" i="41"/>
  <c r="L22" i="41"/>
  <c r="L16" i="41"/>
  <c r="W55" i="41"/>
  <c r="X54" i="41"/>
  <c r="AI55" i="41"/>
  <c r="AJ54" i="41"/>
  <c r="R15" i="41"/>
  <c r="R56" i="41"/>
  <c r="S24" i="41"/>
  <c r="R47" i="41" l="1"/>
  <c r="AU55" i="41"/>
  <c r="AV54" i="41"/>
  <c r="M22" i="41"/>
  <c r="M23" i="41" s="1"/>
  <c r="L23" i="41"/>
  <c r="L48" i="41"/>
  <c r="K55" i="41"/>
  <c r="L54" i="41"/>
  <c r="M16" i="41"/>
  <c r="S15" i="41"/>
  <c r="S56" i="41"/>
  <c r="T24" i="41"/>
  <c r="AK54" i="41"/>
  <c r="AK55" i="41" s="1"/>
  <c r="AJ55" i="41"/>
  <c r="Y54" i="41"/>
  <c r="Y55" i="41" s="1"/>
  <c r="X55" i="41"/>
  <c r="S47" i="41" l="1"/>
  <c r="M48" i="41"/>
  <c r="AW54" i="41"/>
  <c r="AW55" i="41" s="1"/>
  <c r="AV55" i="41"/>
  <c r="M54" i="41"/>
  <c r="L55" i="41"/>
  <c r="T56" i="41"/>
  <c r="U24" i="41"/>
  <c r="T15" i="41"/>
  <c r="T47" i="41" l="1"/>
  <c r="M55" i="41"/>
  <c r="U15" i="41"/>
  <c r="U56" i="41"/>
  <c r="U47" i="41" s="1"/>
  <c r="V24" i="41"/>
  <c r="V15" i="41" l="1"/>
  <c r="V56" i="41"/>
  <c r="V47" i="41" s="1"/>
  <c r="W24" i="41"/>
  <c r="X24" i="41" l="1"/>
  <c r="W56" i="41"/>
  <c r="W47" i="41" s="1"/>
  <c r="W15" i="41"/>
  <c r="X15" i="41" l="1"/>
  <c r="X56" i="41"/>
  <c r="X47" i="41" s="1"/>
  <c r="Y24" i="41"/>
  <c r="Y56" i="41" l="1"/>
  <c r="Y47" i="41" s="1"/>
  <c r="Z24" i="41"/>
  <c r="Y15" i="41"/>
  <c r="Z15" i="41" l="1"/>
  <c r="Z56" i="41"/>
  <c r="Z47" i="41" s="1"/>
  <c r="AA24" i="41"/>
  <c r="AA56" i="41" l="1"/>
  <c r="AA47" i="41" s="1"/>
  <c r="AB24" i="41"/>
  <c r="AA15" i="41"/>
  <c r="AB56" i="41" l="1"/>
  <c r="AB47" i="41" s="1"/>
  <c r="AC24" i="41"/>
  <c r="AB15" i="41"/>
  <c r="AB16" i="41"/>
  <c r="AC16" i="41" l="1"/>
  <c r="AC15" i="41"/>
  <c r="AB48" i="41"/>
  <c r="AC56" i="41"/>
  <c r="AC47" i="41" s="1"/>
  <c r="AD24" i="41"/>
  <c r="AD56" i="41" l="1"/>
  <c r="AD47" i="41" s="1"/>
  <c r="AE24" i="41"/>
  <c r="AC48" i="41"/>
  <c r="AD15" i="41"/>
  <c r="AD16" i="41"/>
  <c r="AE16" i="41" l="1"/>
  <c r="AD48" i="41"/>
  <c r="AF24" i="41"/>
  <c r="AE56" i="41"/>
  <c r="AE47" i="41" s="1"/>
  <c r="AE15" i="41"/>
  <c r="AF15" i="41" l="1"/>
  <c r="AF56" i="41"/>
  <c r="AF47" i="41" s="1"/>
  <c r="AG24" i="41"/>
  <c r="AE48" i="41"/>
  <c r="AF16" i="41"/>
  <c r="AF48" i="41" l="1"/>
  <c r="AG56" i="41"/>
  <c r="AG47" i="41" s="1"/>
  <c r="AH24" i="41"/>
  <c r="AG16" i="41"/>
  <c r="AG15" i="41"/>
  <c r="AH16" i="41" l="1"/>
  <c r="AH56" i="41"/>
  <c r="AH47" i="41" s="1"/>
  <c r="AI24" i="41"/>
  <c r="AH15" i="41"/>
  <c r="AG48" i="41"/>
  <c r="AH48" i="41" l="1"/>
  <c r="AI16" i="41"/>
  <c r="AI15" i="41"/>
  <c r="AI56" i="41"/>
  <c r="AI47" i="41" s="1"/>
  <c r="AJ24" i="41"/>
  <c r="AI48" i="41" l="1"/>
  <c r="AJ56" i="41"/>
  <c r="AK24" i="41"/>
  <c r="AJ15" i="41"/>
  <c r="AJ16" i="41"/>
  <c r="AJ48" i="41" l="1"/>
  <c r="AJ47" i="41"/>
  <c r="AK16" i="41"/>
  <c r="AK15" i="41"/>
  <c r="AK56" i="41"/>
  <c r="AK48" i="41" s="1"/>
  <c r="AL24" i="41"/>
  <c r="AM24" i="41" l="1"/>
  <c r="AL56" i="41"/>
  <c r="AK47" i="41"/>
  <c r="AL15" i="41"/>
  <c r="AM15" i="41" l="1"/>
  <c r="AL47" i="41"/>
  <c r="AN24" i="41"/>
  <c r="AM56" i="41"/>
  <c r="AN56" i="41" l="1"/>
  <c r="AN47" i="41" s="1"/>
  <c r="AN15" i="41"/>
  <c r="AO24" i="41"/>
  <c r="AM47" i="41"/>
  <c r="AN16" i="41"/>
  <c r="AO16" i="41" l="1"/>
  <c r="AN48" i="41"/>
  <c r="AO56" i="41"/>
  <c r="AO47" i="41" s="1"/>
  <c r="AP24" i="41"/>
  <c r="AO15" i="41"/>
  <c r="AP16" i="41" l="1"/>
  <c r="AP15" i="41"/>
  <c r="AP56" i="41"/>
  <c r="AP47" i="41" s="1"/>
  <c r="AQ24" i="41"/>
  <c r="AO48" i="41"/>
  <c r="AR24" i="41" l="1"/>
  <c r="AQ56" i="41"/>
  <c r="AQ47" i="41" s="1"/>
  <c r="AQ15" i="41"/>
  <c r="AP48" i="41"/>
  <c r="AQ16" i="41"/>
  <c r="AQ48" i="41" l="1"/>
  <c r="AR15" i="41"/>
  <c r="AR56" i="41"/>
  <c r="AS24" i="41"/>
  <c r="AR16" i="41"/>
  <c r="AR48" i="41" l="1"/>
  <c r="AS16" i="41"/>
  <c r="AR47" i="41"/>
  <c r="AS15" i="41"/>
  <c r="AS56" i="41"/>
  <c r="AT24" i="41"/>
  <c r="AS47" i="41" l="1"/>
  <c r="AS48" i="41"/>
  <c r="AT56" i="41"/>
  <c r="AT48" i="41" s="1"/>
  <c r="AU24" i="41"/>
  <c r="AT15" i="41"/>
  <c r="AT16" i="41"/>
  <c r="AU16" i="41" l="1"/>
  <c r="AT47" i="41"/>
  <c r="AV24" i="41"/>
  <c r="AU56" i="41"/>
  <c r="AU15" i="41"/>
  <c r="AU47" i="41" l="1"/>
  <c r="AU48" i="41"/>
  <c r="AV15" i="41"/>
  <c r="AV56" i="41"/>
  <c r="AW24" i="41"/>
  <c r="AV16" i="41"/>
  <c r="AV47" i="41" l="1"/>
  <c r="AW16" i="41"/>
  <c r="AV48" i="41"/>
  <c r="AW15" i="41"/>
  <c r="AW56" i="41"/>
  <c r="AW47" i="41" s="1"/>
  <c r="AK31" i="41" l="1"/>
  <c r="AJ63" i="41"/>
  <c r="AW48" i="41"/>
  <c r="AK63" i="41"/>
  <c r="AG31" i="41" l="1"/>
  <c r="AC31" i="41"/>
  <c r="AI31" i="41"/>
  <c r="AB31" i="41"/>
  <c r="AJ31" i="41"/>
  <c r="AA31" i="41"/>
  <c r="AI63" i="41"/>
  <c r="AE63" i="41"/>
  <c r="AC63" i="41"/>
  <c r="AG63" i="41"/>
  <c r="AF63" i="41"/>
  <c r="AH63" i="41"/>
  <c r="AA63" i="41"/>
  <c r="AD63" i="41"/>
  <c r="AB63" i="41"/>
  <c r="AH31" i="41" l="1"/>
  <c r="AD31" i="41"/>
  <c r="AE31" i="41"/>
  <c r="AF31" i="41"/>
  <c r="AW31" i="41" l="1"/>
  <c r="AO31" i="41" l="1"/>
  <c r="AM31" i="41"/>
  <c r="AU31" i="41"/>
  <c r="AV31" i="41"/>
  <c r="AT31" i="41"/>
  <c r="AW63" i="41"/>
  <c r="AR31" i="41" l="1"/>
  <c r="AN31" i="41"/>
  <c r="AS31" i="41"/>
  <c r="AP31" i="41"/>
  <c r="AQ31" i="41"/>
  <c r="AP63" i="41"/>
  <c r="AR63" i="41"/>
  <c r="AM63" i="41"/>
  <c r="AV63" i="41"/>
  <c r="AO63" i="41"/>
  <c r="AS63" i="41"/>
  <c r="AQ63" i="41"/>
  <c r="AN63" i="41"/>
  <c r="AT63" i="41" l="1"/>
  <c r="AU63" i="41"/>
  <c r="D67" i="30" l="1"/>
  <c r="D63" i="30"/>
  <c r="D64" i="30"/>
  <c r="D65" i="30"/>
  <c r="D66" i="30"/>
  <c r="D69" i="30"/>
  <c r="D70" i="30"/>
  <c r="D71" i="30"/>
  <c r="D72" i="30"/>
  <c r="D62" i="30"/>
  <c r="O69" i="24" l="1"/>
  <c r="O59" i="41" s="1"/>
  <c r="N69" i="24"/>
  <c r="N59" i="41" s="1"/>
  <c r="M70" i="24"/>
  <c r="M69" i="24" s="1"/>
  <c r="M59" i="41" s="1"/>
  <c r="L70" i="24"/>
  <c r="L69" i="24" s="1"/>
  <c r="L59" i="41" s="1"/>
  <c r="K70" i="24"/>
  <c r="K69" i="24" s="1"/>
  <c r="K59" i="41" s="1"/>
  <c r="J70" i="24"/>
  <c r="J69" i="24" s="1"/>
  <c r="J59" i="41" s="1"/>
  <c r="O62" i="24"/>
  <c r="O61" i="24" s="1"/>
  <c r="O27" i="41" s="1"/>
  <c r="N61" i="24"/>
  <c r="N27" i="41" s="1"/>
  <c r="M62" i="24"/>
  <c r="M61" i="24" s="1"/>
  <c r="M27" i="41" s="1"/>
  <c r="L62" i="24"/>
  <c r="L61" i="24" s="1"/>
  <c r="L27" i="41" s="1"/>
  <c r="K62" i="24"/>
  <c r="K61" i="24" s="1"/>
  <c r="K27" i="41" s="1"/>
  <c r="J62" i="24"/>
  <c r="J61" i="24" s="1"/>
  <c r="J27" i="41" s="1"/>
  <c r="N41" i="24" l="1"/>
  <c r="L41" i="24"/>
  <c r="K41" i="24"/>
  <c r="J41" i="24"/>
  <c r="N40" i="24"/>
  <c r="M40" i="24"/>
  <c r="L40" i="24"/>
  <c r="K40" i="24"/>
  <c r="J40" i="24"/>
  <c r="N39" i="24"/>
  <c r="M39" i="24"/>
  <c r="L39" i="24"/>
  <c r="K39" i="24"/>
  <c r="J39" i="24"/>
  <c r="N35" i="24"/>
  <c r="M35" i="24"/>
  <c r="L35" i="24"/>
  <c r="K35" i="24"/>
  <c r="J35" i="24"/>
  <c r="K57" i="30" l="1"/>
  <c r="L57" i="30" s="1"/>
  <c r="K56" i="30"/>
  <c r="L56" i="30" s="1"/>
  <c r="K55" i="30"/>
  <c r="L55" i="30" s="1"/>
  <c r="K54" i="30"/>
  <c r="L54" i="30" s="1"/>
  <c r="K53" i="30"/>
  <c r="L53" i="30" s="1"/>
  <c r="L52" i="30"/>
  <c r="K52" i="30"/>
  <c r="K51" i="30"/>
  <c r="K50" i="30"/>
  <c r="L50" i="30" s="1"/>
  <c r="K49" i="30"/>
  <c r="L49" i="30" s="1"/>
  <c r="K48" i="30"/>
  <c r="L48" i="30" s="1"/>
  <c r="K47" i="30"/>
  <c r="L47" i="30" s="1"/>
  <c r="K46" i="30"/>
  <c r="L46" i="30" s="1"/>
  <c r="K45" i="30"/>
  <c r="L45" i="30" s="1"/>
  <c r="D83" i="30" l="1"/>
  <c r="D77" i="30"/>
  <c r="D75" i="30"/>
  <c r="E9" i="30" l="1"/>
  <c r="G9" i="30"/>
  <c r="D68" i="30" l="1"/>
  <c r="D73" i="30" s="1"/>
  <c r="L51" i="30"/>
  <c r="L60" i="30" s="1"/>
  <c r="D3" i="30"/>
  <c r="C84" i="30"/>
  <c r="B84" i="30"/>
  <c r="E83" i="30"/>
  <c r="E84" i="30" s="1"/>
  <c r="D84" i="30"/>
  <c r="F41" i="30"/>
  <c r="E41" i="30"/>
  <c r="D41" i="30"/>
  <c r="C41" i="30"/>
  <c r="F39" i="30"/>
  <c r="E39" i="30"/>
  <c r="D39" i="30"/>
  <c r="C39" i="30"/>
  <c r="F37" i="30"/>
  <c r="E37" i="30"/>
  <c r="C37" i="30"/>
  <c r="G34" i="30"/>
  <c r="I34" i="30" s="1"/>
  <c r="G33" i="30"/>
  <c r="G32" i="30"/>
  <c r="G31" i="30"/>
  <c r="G30" i="30"/>
  <c r="D37" i="30"/>
  <c r="G29" i="30"/>
  <c r="G28" i="30"/>
  <c r="G27" i="30"/>
  <c r="G26" i="30"/>
  <c r="G25" i="30"/>
  <c r="G24" i="30"/>
  <c r="G21" i="30"/>
  <c r="F21" i="30"/>
  <c r="E21" i="30"/>
  <c r="C21" i="30"/>
  <c r="I35" i="24" s="1"/>
  <c r="G19" i="30"/>
  <c r="F19" i="30"/>
  <c r="E19" i="30"/>
  <c r="C19" i="30"/>
  <c r="F17" i="30"/>
  <c r="E17" i="30"/>
  <c r="C17" i="30"/>
  <c r="H16" i="30"/>
  <c r="H15" i="30"/>
  <c r="I14" i="30"/>
  <c r="H13" i="30"/>
  <c r="H71" i="30" s="1"/>
  <c r="D13" i="30"/>
  <c r="O12" i="30"/>
  <c r="H12" i="30"/>
  <c r="H70" i="30" s="1"/>
  <c r="D12" i="30"/>
  <c r="AA11" i="30"/>
  <c r="T11" i="30"/>
  <c r="Q11" i="30"/>
  <c r="S11" i="30" s="1"/>
  <c r="P11" i="30"/>
  <c r="H11" i="30"/>
  <c r="D11" i="30"/>
  <c r="AA10" i="30"/>
  <c r="T10" i="30"/>
  <c r="V10" i="30" s="1"/>
  <c r="Q10" i="30"/>
  <c r="S10" i="30" s="1"/>
  <c r="P10" i="30"/>
  <c r="H10" i="30"/>
  <c r="I10" i="30" s="1"/>
  <c r="AA9" i="30"/>
  <c r="T9" i="30"/>
  <c r="V9" i="30" s="1"/>
  <c r="Q9" i="30"/>
  <c r="S9" i="30" s="1"/>
  <c r="P9" i="30"/>
  <c r="G17" i="30"/>
  <c r="AA8" i="30"/>
  <c r="T8" i="30"/>
  <c r="V8" i="30" s="1"/>
  <c r="Q8" i="30"/>
  <c r="S8" i="30" s="1"/>
  <c r="X8" i="30" s="1"/>
  <c r="P8" i="30"/>
  <c r="H8" i="30"/>
  <c r="H67" i="30" s="1"/>
  <c r="D8" i="30"/>
  <c r="AA7" i="30"/>
  <c r="T7" i="30"/>
  <c r="V7" i="30" s="1"/>
  <c r="Q7" i="30"/>
  <c r="S7" i="30" s="1"/>
  <c r="P7" i="30"/>
  <c r="H7" i="30"/>
  <c r="F66" i="30" s="1"/>
  <c r="D7" i="30"/>
  <c r="AA6" i="30"/>
  <c r="T6" i="30"/>
  <c r="V6" i="30" s="1"/>
  <c r="Q6" i="30"/>
  <c r="S6" i="30" s="1"/>
  <c r="P6" i="30"/>
  <c r="H6" i="30"/>
  <c r="J65" i="30" s="1"/>
  <c r="D6" i="30"/>
  <c r="AA5" i="30"/>
  <c r="T5" i="30"/>
  <c r="V5" i="30" s="1"/>
  <c r="Q5" i="30"/>
  <c r="S5" i="30" s="1"/>
  <c r="P5" i="30"/>
  <c r="H5" i="30"/>
  <c r="H64" i="30" s="1"/>
  <c r="D5" i="30"/>
  <c r="AA4" i="30"/>
  <c r="T4" i="30"/>
  <c r="V4" i="30" s="1"/>
  <c r="Q4" i="30"/>
  <c r="S4" i="30" s="1"/>
  <c r="P4" i="30"/>
  <c r="H4" i="30"/>
  <c r="H63" i="30" s="1"/>
  <c r="D4" i="30"/>
  <c r="AA3" i="30"/>
  <c r="T3" i="30"/>
  <c r="V3" i="30" s="1"/>
  <c r="Q3" i="30"/>
  <c r="S3" i="30" s="1"/>
  <c r="P3" i="30"/>
  <c r="H3" i="30"/>
  <c r="C62" i="30" s="1"/>
  <c r="AD2" i="30"/>
  <c r="AA2" i="30"/>
  <c r="Z2" i="30"/>
  <c r="X2" i="30"/>
  <c r="V2" i="30"/>
  <c r="T2" i="30"/>
  <c r="Q2" i="30"/>
  <c r="P2" i="30"/>
  <c r="O2" i="30"/>
  <c r="J69" i="30" l="1"/>
  <c r="C69" i="30"/>
  <c r="X7" i="30"/>
  <c r="I40" i="24"/>
  <c r="X6" i="30"/>
  <c r="Z9" i="30"/>
  <c r="AB9" i="30" s="1"/>
  <c r="X5" i="30"/>
  <c r="G39" i="30"/>
  <c r="G67" i="30"/>
  <c r="J64" i="30"/>
  <c r="G71" i="30"/>
  <c r="I11" i="30"/>
  <c r="I12" i="30"/>
  <c r="J63" i="30"/>
  <c r="J67" i="30"/>
  <c r="G70" i="30"/>
  <c r="Z4" i="30"/>
  <c r="AB4" i="30" s="1"/>
  <c r="Z7" i="30"/>
  <c r="AB7" i="30" s="1"/>
  <c r="AC7" i="30" s="1"/>
  <c r="I8" i="30"/>
  <c r="F64" i="30"/>
  <c r="F69" i="30"/>
  <c r="J70" i="30"/>
  <c r="G63" i="30"/>
  <c r="F70" i="30"/>
  <c r="I4" i="30"/>
  <c r="J71" i="30"/>
  <c r="F63" i="30"/>
  <c r="G64" i="30"/>
  <c r="F67" i="30"/>
  <c r="F71" i="30"/>
  <c r="X3" i="30"/>
  <c r="S12" i="30"/>
  <c r="V11" i="30"/>
  <c r="X11" i="30" s="1"/>
  <c r="Z11" i="30"/>
  <c r="AB11" i="30" s="1"/>
  <c r="I16" i="30"/>
  <c r="F72" i="30"/>
  <c r="H62" i="30"/>
  <c r="I62" i="30"/>
  <c r="E62" i="30"/>
  <c r="G62" i="30"/>
  <c r="F62" i="30"/>
  <c r="K62" i="30" s="1"/>
  <c r="K75" i="30" s="1"/>
  <c r="I3" i="30"/>
  <c r="J62" i="30"/>
  <c r="H19" i="30"/>
  <c r="X10" i="30"/>
  <c r="Z6" i="30"/>
  <c r="AB6" i="30" s="1"/>
  <c r="AC6" i="30" s="1"/>
  <c r="I72" i="30"/>
  <c r="C72" i="30"/>
  <c r="I15" i="30"/>
  <c r="J72" i="30"/>
  <c r="E72" i="30"/>
  <c r="G72" i="30"/>
  <c r="G41" i="30"/>
  <c r="P12" i="30"/>
  <c r="Z3" i="30"/>
  <c r="X4" i="30"/>
  <c r="Z5" i="30"/>
  <c r="AB5" i="30" s="1"/>
  <c r="AA16" i="30"/>
  <c r="AC16" i="30" s="1"/>
  <c r="H66" i="30"/>
  <c r="C66" i="30"/>
  <c r="I66" i="30"/>
  <c r="E66" i="30"/>
  <c r="G66" i="30"/>
  <c r="X9" i="30"/>
  <c r="AC9" i="30" s="1"/>
  <c r="Z10" i="30"/>
  <c r="AB10" i="30" s="1"/>
  <c r="T12" i="30"/>
  <c r="AA15" i="30"/>
  <c r="AC15" i="30" s="1"/>
  <c r="G37" i="30"/>
  <c r="J66" i="30"/>
  <c r="Q12" i="30"/>
  <c r="H65" i="30"/>
  <c r="C65" i="30"/>
  <c r="I6" i="30"/>
  <c r="G65" i="30"/>
  <c r="I65" i="30"/>
  <c r="E65" i="30"/>
  <c r="I7" i="30"/>
  <c r="Z8" i="30"/>
  <c r="AB8" i="30" s="1"/>
  <c r="AC8" i="30" s="1"/>
  <c r="H69" i="30"/>
  <c r="I69" i="30"/>
  <c r="E69" i="30"/>
  <c r="G69" i="30"/>
  <c r="F65" i="30"/>
  <c r="I5" i="30"/>
  <c r="H9" i="30"/>
  <c r="I13" i="30"/>
  <c r="H21" i="30"/>
  <c r="E63" i="30"/>
  <c r="I63" i="30"/>
  <c r="E64" i="30"/>
  <c r="I64" i="30"/>
  <c r="E67" i="30"/>
  <c r="I67" i="30"/>
  <c r="E70" i="30"/>
  <c r="I70" i="30"/>
  <c r="E71" i="30"/>
  <c r="I71" i="30"/>
  <c r="C63" i="30"/>
  <c r="K63" i="30" s="1"/>
  <c r="C64" i="30"/>
  <c r="C67" i="30"/>
  <c r="C70" i="30"/>
  <c r="C71" i="30"/>
  <c r="F77" i="30" l="1"/>
  <c r="E77" i="30"/>
  <c r="AC5" i="30"/>
  <c r="AD5" i="30" s="1"/>
  <c r="AC4" i="30"/>
  <c r="AD4" i="30" s="1"/>
  <c r="J77" i="30"/>
  <c r="V12" i="30"/>
  <c r="H25" i="30"/>
  <c r="I25" i="30" s="1"/>
  <c r="K71" i="30"/>
  <c r="H33" i="30" s="1"/>
  <c r="I33" i="30" s="1"/>
  <c r="H77" i="30"/>
  <c r="X16" i="30"/>
  <c r="AE6" i="30"/>
  <c r="AD6" i="30"/>
  <c r="C77" i="30"/>
  <c r="K64" i="30"/>
  <c r="I77" i="30"/>
  <c r="AB3" i="30"/>
  <c r="AB12" i="30" s="1"/>
  <c r="Z12" i="30"/>
  <c r="K72" i="30"/>
  <c r="I19" i="30"/>
  <c r="E75" i="30"/>
  <c r="AD8" i="30"/>
  <c r="AE8" i="30"/>
  <c r="G77" i="30"/>
  <c r="F75" i="30"/>
  <c r="I75" i="30"/>
  <c r="K70" i="30"/>
  <c r="H32" i="30" s="1"/>
  <c r="I32" i="30" s="1"/>
  <c r="H68" i="30"/>
  <c r="H73" i="30" s="1"/>
  <c r="C68" i="30"/>
  <c r="C73" i="30" s="1"/>
  <c r="G68" i="30"/>
  <c r="G73" i="30" s="1"/>
  <c r="I68" i="30"/>
  <c r="I73" i="30" s="1"/>
  <c r="E68" i="30"/>
  <c r="E73" i="30" s="1"/>
  <c r="J68" i="30"/>
  <c r="J73" i="30" s="1"/>
  <c r="F68" i="30"/>
  <c r="F73" i="30" s="1"/>
  <c r="I9" i="30"/>
  <c r="I17" i="30" s="1"/>
  <c r="AD9" i="30"/>
  <c r="AE9" i="30"/>
  <c r="AC10" i="30"/>
  <c r="G75" i="30"/>
  <c r="C75" i="30"/>
  <c r="X15" i="30"/>
  <c r="X12" i="30"/>
  <c r="K67" i="30"/>
  <c r="H29" i="30" s="1"/>
  <c r="I29" i="30" s="1"/>
  <c r="I21" i="30"/>
  <c r="I41" i="24" s="1"/>
  <c r="AC11" i="30"/>
  <c r="K69" i="30"/>
  <c r="H31" i="30" s="1"/>
  <c r="I31" i="30" s="1"/>
  <c r="K65" i="30"/>
  <c r="H27" i="30" s="1"/>
  <c r="I27" i="30" s="1"/>
  <c r="AE7" i="30"/>
  <c r="AD7" i="30"/>
  <c r="K66" i="30"/>
  <c r="H28" i="30" s="1"/>
  <c r="I28" i="30" s="1"/>
  <c r="J75" i="30"/>
  <c r="H17" i="30"/>
  <c r="H75" i="30"/>
  <c r="K77" i="30" l="1"/>
  <c r="K73" i="30"/>
  <c r="AD15" i="30"/>
  <c r="AE15" i="30" s="1"/>
  <c r="I62" i="24"/>
  <c r="I61" i="24" s="1"/>
  <c r="I27" i="41" s="1"/>
  <c r="AD16" i="30"/>
  <c r="AE16" i="30" s="1"/>
  <c r="I70" i="24"/>
  <c r="I69" i="24" s="1"/>
  <c r="I59" i="41" s="1"/>
  <c r="AE4" i="30"/>
  <c r="AE5" i="30"/>
  <c r="AC3" i="30"/>
  <c r="AD3" i="30" s="1"/>
  <c r="AC12" i="30"/>
  <c r="AE12" i="30" s="1"/>
  <c r="AD11" i="30"/>
  <c r="AE11" i="30"/>
  <c r="H24" i="30"/>
  <c r="AE10" i="30"/>
  <c r="AD10" i="30"/>
  <c r="H26" i="30"/>
  <c r="K68" i="30"/>
  <c r="H30" i="30" s="1"/>
  <c r="I30" i="30" s="1"/>
  <c r="AE3" i="30" l="1"/>
  <c r="I26" i="30"/>
  <c r="I41" i="30" s="1"/>
  <c r="I39" i="24" s="1"/>
  <c r="H41" i="30"/>
  <c r="AD12" i="30"/>
  <c r="H39" i="30"/>
  <c r="H37" i="30"/>
  <c r="I24" i="30"/>
  <c r="D12" i="29"/>
  <c r="D13" i="29"/>
  <c r="D11" i="29"/>
  <c r="D4" i="29"/>
  <c r="D5" i="29"/>
  <c r="D6" i="29"/>
  <c r="D7" i="29"/>
  <c r="D8" i="29"/>
  <c r="D3" i="29"/>
  <c r="G9" i="29"/>
  <c r="I39" i="30" l="1"/>
  <c r="I37" i="30"/>
  <c r="D30" i="29"/>
  <c r="E9" i="29" l="1"/>
  <c r="BE18" i="38" l="1"/>
  <c r="BE20" i="38" s="1"/>
  <c r="E26" i="38" s="1"/>
  <c r="E27" i="38" s="1"/>
  <c r="W9" i="38"/>
  <c r="AE9" i="38"/>
  <c r="AY54" i="38"/>
  <c r="AY51" i="38"/>
  <c r="AV50" i="38"/>
  <c r="AV52" i="38" s="1"/>
  <c r="AU50" i="38"/>
  <c r="AU52" i="38" s="1"/>
  <c r="AN50" i="38"/>
  <c r="AN52" i="38" s="1"/>
  <c r="AM50" i="38"/>
  <c r="AM52" i="38" s="1"/>
  <c r="AQ48" i="38"/>
  <c r="AX47" i="38"/>
  <c r="AW47" i="38"/>
  <c r="AV47" i="38"/>
  <c r="AU47" i="38"/>
  <c r="AT47" i="38"/>
  <c r="AS47" i="38"/>
  <c r="AR47" i="38"/>
  <c r="AQ47" i="38"/>
  <c r="AP47" i="38"/>
  <c r="AO47" i="38"/>
  <c r="AN47" i="38"/>
  <c r="AM47" i="38"/>
  <c r="AY47" i="38" s="1"/>
  <c r="AX46" i="38"/>
  <c r="AW46" i="38"/>
  <c r="AV46" i="38"/>
  <c r="AU46" i="38"/>
  <c r="AT46" i="38"/>
  <c r="AT53" i="38" s="1"/>
  <c r="AS46" i="38"/>
  <c r="AS53" i="38" s="1"/>
  <c r="AR46" i="38"/>
  <c r="AQ46" i="38"/>
  <c r="AP46" i="38"/>
  <c r="AO46" i="38"/>
  <c r="AN46" i="38"/>
  <c r="AM46" i="38"/>
  <c r="AY46" i="38" s="1"/>
  <c r="AX45" i="38"/>
  <c r="AW45" i="38"/>
  <c r="AV45" i="38"/>
  <c r="AU45" i="38"/>
  <c r="AT45" i="38"/>
  <c r="AS45" i="38"/>
  <c r="AR45" i="38"/>
  <c r="AQ45" i="38"/>
  <c r="AP45" i="38"/>
  <c r="AY45" i="38" s="1"/>
  <c r="AO45" i="38"/>
  <c r="AN45" i="38"/>
  <c r="AM45" i="38"/>
  <c r="AX44" i="38"/>
  <c r="AW44" i="38"/>
  <c r="AV44" i="38"/>
  <c r="AU44" i="38"/>
  <c r="AT44" i="38"/>
  <c r="AS44" i="38"/>
  <c r="AR44" i="38"/>
  <c r="AQ44" i="38"/>
  <c r="AP44" i="38"/>
  <c r="AO44" i="38"/>
  <c r="AN44" i="38"/>
  <c r="AM44" i="38"/>
  <c r="AY44" i="38" s="1"/>
  <c r="AX43" i="38"/>
  <c r="AX53" i="38" s="1"/>
  <c r="AW43" i="38"/>
  <c r="AW53" i="38" s="1"/>
  <c r="AV43" i="38"/>
  <c r="AV53" i="38" s="1"/>
  <c r="AU43" i="38"/>
  <c r="AU53" i="38" s="1"/>
  <c r="AT43" i="38"/>
  <c r="AS43" i="38"/>
  <c r="AR43" i="38"/>
  <c r="AR53" i="38" s="1"/>
  <c r="AQ43" i="38"/>
  <c r="AQ53" i="38" s="1"/>
  <c r="AP43" i="38"/>
  <c r="AP53" i="38" s="1"/>
  <c r="AO43" i="38"/>
  <c r="AO53" i="38" s="1"/>
  <c r="AN43" i="38"/>
  <c r="AN53" i="38" s="1"/>
  <c r="AM43" i="38"/>
  <c r="AY43" i="38" s="1"/>
  <c r="AX42" i="38"/>
  <c r="AX48" i="38" s="1"/>
  <c r="AW42" i="38"/>
  <c r="AW48" i="38" s="1"/>
  <c r="AV42" i="38"/>
  <c r="AV48" i="38" s="1"/>
  <c r="AU42" i="38"/>
  <c r="AU48" i="38" s="1"/>
  <c r="AT42" i="38"/>
  <c r="AT50" i="38" s="1"/>
  <c r="AS42" i="38"/>
  <c r="AS50" i="38" s="1"/>
  <c r="AR42" i="38"/>
  <c r="AR50" i="38" s="1"/>
  <c r="AQ42" i="38"/>
  <c r="AQ50" i="38" s="1"/>
  <c r="AP42" i="38"/>
  <c r="AP48" i="38" s="1"/>
  <c r="AO42" i="38"/>
  <c r="AO48" i="38" s="1"/>
  <c r="AN42" i="38"/>
  <c r="AN48" i="38" s="1"/>
  <c r="AM42" i="38"/>
  <c r="AM48" i="38" s="1"/>
  <c r="AX39" i="38"/>
  <c r="AW39" i="38"/>
  <c r="AV39" i="38"/>
  <c r="AU39" i="38"/>
  <c r="AT39" i="38"/>
  <c r="AS39" i="38"/>
  <c r="AR39" i="38"/>
  <c r="AQ39" i="38"/>
  <c r="AP39" i="38"/>
  <c r="AO39" i="38"/>
  <c r="AN39" i="38"/>
  <c r="AM39" i="38"/>
  <c r="AY38" i="38"/>
  <c r="AY37" i="38"/>
  <c r="AY36" i="38"/>
  <c r="AY35" i="38"/>
  <c r="AY34" i="38"/>
  <c r="AY33" i="38"/>
  <c r="AY39" i="38" s="1"/>
  <c r="AY30" i="38"/>
  <c r="AX22" i="38"/>
  <c r="AW22" i="38"/>
  <c r="AV22" i="38"/>
  <c r="AU22" i="38"/>
  <c r="AT22" i="38"/>
  <c r="AS22" i="38"/>
  <c r="AR22" i="38"/>
  <c r="AQ22" i="38"/>
  <c r="AP22" i="38"/>
  <c r="AO22" i="38"/>
  <c r="AN22" i="38"/>
  <c r="AM22" i="38"/>
  <c r="AY21" i="38"/>
  <c r="AY20" i="38"/>
  <c r="AY19" i="38"/>
  <c r="AY18" i="38"/>
  <c r="AY17" i="38"/>
  <c r="AY22" i="38" s="1"/>
  <c r="AY16" i="38"/>
  <c r="AX13" i="38"/>
  <c r="AW13" i="38"/>
  <c r="AV13" i="38"/>
  <c r="AU13" i="38"/>
  <c r="AT13" i="38"/>
  <c r="AS13" i="38"/>
  <c r="AR13" i="38"/>
  <c r="AQ13" i="38"/>
  <c r="AP13" i="38"/>
  <c r="AO13" i="38"/>
  <c r="AN13" i="38"/>
  <c r="AM13" i="38"/>
  <c r="AY12" i="38"/>
  <c r="AY11" i="38"/>
  <c r="AY10" i="38"/>
  <c r="AY9" i="38"/>
  <c r="AY8" i="38"/>
  <c r="AY7" i="38"/>
  <c r="AY13" i="38" s="1"/>
  <c r="S2" i="38"/>
  <c r="S22" i="38"/>
  <c r="S23" i="38" s="1"/>
  <c r="S25" i="38" s="1"/>
  <c r="S26" i="38" s="1"/>
  <c r="S21" i="38"/>
  <c r="S9" i="38"/>
  <c r="S10" i="38" s="1"/>
  <c r="U23" i="38" s="1"/>
  <c r="S8" i="38"/>
  <c r="Q12" i="38"/>
  <c r="P12" i="38"/>
  <c r="O14" i="38"/>
  <c r="G33" i="38"/>
  <c r="F33" i="38"/>
  <c r="G31" i="38"/>
  <c r="F31" i="38"/>
  <c r="G30" i="38"/>
  <c r="F30" i="38"/>
  <c r="I21" i="38"/>
  <c r="H21" i="38"/>
  <c r="G21" i="38"/>
  <c r="G32" i="38" s="1"/>
  <c r="F21" i="38"/>
  <c r="F32" i="38" s="1"/>
  <c r="E21" i="38"/>
  <c r="E19" i="38"/>
  <c r="E13" i="38"/>
  <c r="K11" i="38"/>
  <c r="J11" i="38"/>
  <c r="I11" i="38"/>
  <c r="H11" i="38"/>
  <c r="G11" i="38"/>
  <c r="F11" i="38"/>
  <c r="E11" i="38" s="1"/>
  <c r="E10" i="38"/>
  <c r="E9" i="38"/>
  <c r="AA9" i="38" l="1"/>
  <c r="AR52" i="38"/>
  <c r="AN55" i="38"/>
  <c r="W13" i="38"/>
  <c r="AV55" i="38"/>
  <c r="AE13" i="38"/>
  <c r="Z9" i="38"/>
  <c r="AQ52" i="38"/>
  <c r="AU55" i="38"/>
  <c r="AD13" i="38"/>
  <c r="AS52" i="38"/>
  <c r="AB9" i="38"/>
  <c r="AO55" i="38"/>
  <c r="X13" i="38"/>
  <c r="AF13" i="38"/>
  <c r="AW55" i="38"/>
  <c r="AB13" i="38"/>
  <c r="AS55" i="38"/>
  <c r="F34" i="38"/>
  <c r="P20" i="38"/>
  <c r="AT52" i="38"/>
  <c r="AC9" i="38"/>
  <c r="Y13" i="38"/>
  <c r="AP55" i="38"/>
  <c r="AX55" i="38"/>
  <c r="AG13" i="38"/>
  <c r="AC13" i="38"/>
  <c r="AT55" i="38"/>
  <c r="G34" i="38"/>
  <c r="Q20" i="38"/>
  <c r="AQ55" i="38"/>
  <c r="Z13" i="38"/>
  <c r="AR55" i="38"/>
  <c r="AA13" i="38"/>
  <c r="AR48" i="38"/>
  <c r="AD9" i="38"/>
  <c r="AY42" i="38"/>
  <c r="AY48" i="38" s="1"/>
  <c r="AS48" i="38"/>
  <c r="AO50" i="38"/>
  <c r="AW50" i="38"/>
  <c r="AM53" i="38"/>
  <c r="AT48" i="38"/>
  <c r="AP50" i="38"/>
  <c r="AX50" i="38"/>
  <c r="AY50" i="38"/>
  <c r="AY52" i="38" s="1"/>
  <c r="V9" i="38"/>
  <c r="BE22" i="38"/>
  <c r="BE24" i="38" s="1"/>
  <c r="AY53" i="38"/>
  <c r="AY55" i="38" s="1"/>
  <c r="U27" i="38"/>
  <c r="S27" i="38"/>
  <c r="J14" i="38"/>
  <c r="J15" i="38" s="1"/>
  <c r="G14" i="38"/>
  <c r="G15" i="38" s="1"/>
  <c r="K14" i="38"/>
  <c r="K15" i="38" s="1"/>
  <c r="H14" i="38"/>
  <c r="H15" i="38" s="1"/>
  <c r="H17" i="38" s="1"/>
  <c r="H23" i="38" s="1"/>
  <c r="H40" i="38" s="1"/>
  <c r="H41" i="38" s="1"/>
  <c r="E14" i="38"/>
  <c r="I14" i="38"/>
  <c r="I15" i="38" s="1"/>
  <c r="I17" i="38" s="1"/>
  <c r="I23" i="38" s="1"/>
  <c r="I40" i="38" s="1"/>
  <c r="I41" i="38" s="1"/>
  <c r="F14" i="38"/>
  <c r="F15" i="38" s="1"/>
  <c r="P21" i="38" s="1"/>
  <c r="AW57" i="38" l="1"/>
  <c r="AV57" i="38"/>
  <c r="AN57" i="38"/>
  <c r="AO57" i="38"/>
  <c r="AU57" i="38"/>
  <c r="AP57" i="38"/>
  <c r="AQ57" i="38"/>
  <c r="AX57" i="38"/>
  <c r="AM57" i="38"/>
  <c r="AS57" i="38"/>
  <c r="AT57" i="38"/>
  <c r="E42" i="24"/>
  <c r="E20" i="24"/>
  <c r="F42" i="24"/>
  <c r="F20" i="24"/>
  <c r="G42" i="24"/>
  <c r="G20" i="24"/>
  <c r="D42" i="24"/>
  <c r="D20" i="24"/>
  <c r="Y9" i="38"/>
  <c r="AP52" i="38"/>
  <c r="AM55" i="38"/>
  <c r="V13" i="38"/>
  <c r="AG9" i="38"/>
  <c r="AX52" i="38"/>
  <c r="AR57" i="38"/>
  <c r="AF9" i="38"/>
  <c r="AW52" i="38"/>
  <c r="X9" i="38"/>
  <c r="AO52" i="38"/>
  <c r="G17" i="38"/>
  <c r="G23" i="38" s="1"/>
  <c r="Q21" i="38"/>
  <c r="F17" i="38"/>
  <c r="E15" i="38"/>
  <c r="V14" i="38" l="1"/>
  <c r="AH13" i="38"/>
  <c r="AH9" i="38"/>
  <c r="AF10" i="38" s="1"/>
  <c r="AY57" i="38"/>
  <c r="G40" i="38"/>
  <c r="G41" i="38" s="1"/>
  <c r="Q10" i="38"/>
  <c r="Q14" i="38" s="1"/>
  <c r="F23" i="38"/>
  <c r="P10" i="38" s="1"/>
  <c r="P14" i="38" s="1"/>
  <c r="E17" i="38"/>
  <c r="W10" i="38" l="1"/>
  <c r="AE10" i="38"/>
  <c r="Z10" i="38"/>
  <c r="V10" i="38"/>
  <c r="AD10" i="38"/>
  <c r="AA10" i="38"/>
  <c r="AB10" i="38"/>
  <c r="AC10" i="38"/>
  <c r="X10" i="38"/>
  <c r="AG10" i="38"/>
  <c r="Y10" i="38"/>
  <c r="X14" i="38"/>
  <c r="AC14" i="38"/>
  <c r="AE14" i="38"/>
  <c r="AD14" i="38"/>
  <c r="AF14" i="38"/>
  <c r="AH14" i="38" s="1"/>
  <c r="W14" i="38"/>
  <c r="AG14" i="38"/>
  <c r="Z14" i="38"/>
  <c r="AB14" i="38"/>
  <c r="Y14" i="38"/>
  <c r="AA14" i="38"/>
  <c r="P19" i="38"/>
  <c r="P22" i="38" s="1"/>
  <c r="AH22" i="38"/>
  <c r="Q19" i="38"/>
  <c r="Q22" i="38" s="1"/>
  <c r="AH26" i="38"/>
  <c r="E23" i="38"/>
  <c r="F40" i="38"/>
  <c r="F41" i="38" s="1"/>
  <c r="AH10" i="38" l="1"/>
  <c r="X27" i="38"/>
  <c r="F36" i="24" s="1"/>
  <c r="AB27" i="38"/>
  <c r="AF27" i="38"/>
  <c r="Y27" i="38"/>
  <c r="G36" i="24" s="1"/>
  <c r="AC27" i="38"/>
  <c r="AG27" i="38"/>
  <c r="V27" i="38"/>
  <c r="D36" i="24" s="1"/>
  <c r="Z27" i="38"/>
  <c r="AD27" i="38"/>
  <c r="W27" i="38"/>
  <c r="E36" i="24" s="1"/>
  <c r="AA27" i="38"/>
  <c r="AE27" i="38"/>
  <c r="Y23" i="38"/>
  <c r="G14" i="24" s="1"/>
  <c r="AC23" i="38"/>
  <c r="AG23" i="38"/>
  <c r="Z23" i="38"/>
  <c r="AD23" i="38"/>
  <c r="W23" i="38"/>
  <c r="E14" i="24" s="1"/>
  <c r="AA23" i="38"/>
  <c r="AE23" i="38"/>
  <c r="V23" i="38"/>
  <c r="D14" i="24" s="1"/>
  <c r="X23" i="38"/>
  <c r="F14" i="24" s="1"/>
  <c r="AB23" i="38"/>
  <c r="AF23" i="38"/>
  <c r="AH27" i="38" l="1"/>
  <c r="AH23" i="38"/>
  <c r="A6" i="23" l="1"/>
  <c r="A4" i="18"/>
  <c r="A2" i="18"/>
  <c r="A5" i="16"/>
  <c r="E26" i="15"/>
  <c r="C21" i="29" l="1"/>
  <c r="G33" i="15" l="1"/>
  <c r="F33" i="15"/>
  <c r="G31" i="15"/>
  <c r="F31" i="15"/>
  <c r="G30" i="15"/>
  <c r="F30" i="15"/>
  <c r="E27" i="15"/>
  <c r="I21" i="15"/>
  <c r="H21" i="15"/>
  <c r="G21" i="15"/>
  <c r="E21" i="15" s="1"/>
  <c r="F21" i="15"/>
  <c r="F32" i="15" s="1"/>
  <c r="E19" i="15"/>
  <c r="E13" i="15"/>
  <c r="K11" i="15"/>
  <c r="J11" i="15"/>
  <c r="I11" i="15"/>
  <c r="H11" i="15"/>
  <c r="G11" i="15"/>
  <c r="F11" i="15"/>
  <c r="E10" i="15"/>
  <c r="E9" i="15"/>
  <c r="G32" i="15" l="1"/>
  <c r="G34" i="15" s="1"/>
  <c r="E11" i="15"/>
  <c r="F34" i="15"/>
  <c r="H14" i="15"/>
  <c r="H15" i="15" s="1"/>
  <c r="H17" i="15" s="1"/>
  <c r="H23" i="15" s="1"/>
  <c r="H39" i="15" s="1"/>
  <c r="H40" i="15" s="1"/>
  <c r="K14" i="15"/>
  <c r="K15" i="15" s="1"/>
  <c r="G14" i="15"/>
  <c r="G15" i="15" s="1"/>
  <c r="J14" i="15"/>
  <c r="J15" i="15" s="1"/>
  <c r="F14" i="15"/>
  <c r="F15" i="15" s="1"/>
  <c r="I14" i="15"/>
  <c r="I15" i="15" s="1"/>
  <c r="I17" i="15" s="1"/>
  <c r="I23" i="15" s="1"/>
  <c r="I39" i="15" s="1"/>
  <c r="I40" i="15" s="1"/>
  <c r="E14" i="15"/>
  <c r="E15" i="15" l="1"/>
  <c r="F17" i="15"/>
  <c r="F23" i="15" s="1"/>
  <c r="G17" i="15"/>
  <c r="G23" i="15" s="1"/>
  <c r="G39" i="15" s="1"/>
  <c r="G40" i="15" s="1"/>
  <c r="E23" i="16"/>
  <c r="E17" i="15" l="1"/>
  <c r="F39" i="15"/>
  <c r="F40" i="15" s="1"/>
  <c r="E23" i="15"/>
  <c r="K56" i="29" l="1"/>
  <c r="K46" i="29"/>
  <c r="K45" i="29"/>
  <c r="H48" i="24" l="1"/>
  <c r="C84" i="29"/>
  <c r="B84" i="29"/>
  <c r="H35" i="24" s="1"/>
  <c r="E83" i="29"/>
  <c r="E84" i="29" s="1"/>
  <c r="K57" i="29"/>
  <c r="L56" i="29"/>
  <c r="K55" i="29"/>
  <c r="K54" i="29"/>
  <c r="K53" i="29"/>
  <c r="K52" i="29"/>
  <c r="K51" i="29"/>
  <c r="K50" i="29"/>
  <c r="K49" i="29"/>
  <c r="K48" i="29"/>
  <c r="K47" i="29"/>
  <c r="F41" i="29"/>
  <c r="E41" i="29"/>
  <c r="D41" i="29"/>
  <c r="C41" i="29"/>
  <c r="H40" i="24" s="1"/>
  <c r="F39" i="29"/>
  <c r="E39" i="29"/>
  <c r="D39" i="29"/>
  <c r="C39" i="29"/>
  <c r="F37" i="29"/>
  <c r="E37" i="29"/>
  <c r="C37" i="29"/>
  <c r="G34" i="29"/>
  <c r="I34" i="29" s="1"/>
  <c r="G33" i="29"/>
  <c r="G32" i="29"/>
  <c r="G31" i="29"/>
  <c r="G30" i="29"/>
  <c r="G29" i="29"/>
  <c r="G28" i="29"/>
  <c r="G27" i="29"/>
  <c r="G26" i="29"/>
  <c r="G25" i="29"/>
  <c r="G24" i="29"/>
  <c r="G21" i="29"/>
  <c r="F21" i="29"/>
  <c r="E21" i="29"/>
  <c r="G19" i="29"/>
  <c r="F19" i="29"/>
  <c r="E19" i="29"/>
  <c r="C19" i="29"/>
  <c r="F17" i="29"/>
  <c r="C17" i="29"/>
  <c r="H16" i="29"/>
  <c r="I16" i="29" s="1"/>
  <c r="H15" i="29"/>
  <c r="I14" i="29"/>
  <c r="H13" i="29"/>
  <c r="G71" i="29" s="1"/>
  <c r="O12" i="29"/>
  <c r="H12" i="29"/>
  <c r="G70" i="29" s="1"/>
  <c r="AA11" i="29"/>
  <c r="T11" i="29"/>
  <c r="V11" i="29" s="1"/>
  <c r="Q11" i="29"/>
  <c r="P11" i="29"/>
  <c r="H11" i="29"/>
  <c r="G69" i="29" s="1"/>
  <c r="AA10" i="29"/>
  <c r="T10" i="29"/>
  <c r="V10" i="29" s="1"/>
  <c r="Q10" i="29"/>
  <c r="S10" i="29" s="1"/>
  <c r="P10" i="29"/>
  <c r="H10" i="29"/>
  <c r="I10" i="29" s="1"/>
  <c r="AA9" i="29"/>
  <c r="T9" i="29"/>
  <c r="V9" i="29" s="1"/>
  <c r="Q9" i="29"/>
  <c r="P9" i="29"/>
  <c r="E17" i="29"/>
  <c r="AA8" i="29"/>
  <c r="T8" i="29"/>
  <c r="V8" i="29" s="1"/>
  <c r="Q8" i="29"/>
  <c r="P8" i="29"/>
  <c r="H8" i="29"/>
  <c r="G67" i="29" s="1"/>
  <c r="AA7" i="29"/>
  <c r="T7" i="29"/>
  <c r="V7" i="29" s="1"/>
  <c r="Q7" i="29"/>
  <c r="S7" i="29" s="1"/>
  <c r="P7" i="29"/>
  <c r="H7" i="29"/>
  <c r="G66" i="29" s="1"/>
  <c r="AA6" i="29"/>
  <c r="T6" i="29"/>
  <c r="V6" i="29" s="1"/>
  <c r="Q6" i="29"/>
  <c r="P6" i="29"/>
  <c r="H6" i="29"/>
  <c r="G65" i="29" s="1"/>
  <c r="AA5" i="29"/>
  <c r="T5" i="29"/>
  <c r="V5" i="29" s="1"/>
  <c r="Q5" i="29"/>
  <c r="S5" i="29" s="1"/>
  <c r="P5" i="29"/>
  <c r="H5" i="29"/>
  <c r="G64" i="29" s="1"/>
  <c r="AA4" i="29"/>
  <c r="T4" i="29"/>
  <c r="V4" i="29" s="1"/>
  <c r="Q4" i="29"/>
  <c r="P4" i="29"/>
  <c r="H4" i="29"/>
  <c r="G63" i="29" s="1"/>
  <c r="AA3" i="29"/>
  <c r="T3" i="29"/>
  <c r="Q3" i="29"/>
  <c r="P3" i="29"/>
  <c r="H3" i="29"/>
  <c r="AD2" i="29"/>
  <c r="AA2" i="29"/>
  <c r="Z2" i="29"/>
  <c r="X2" i="29"/>
  <c r="V2" i="29"/>
  <c r="T2" i="29"/>
  <c r="Q2" i="29"/>
  <c r="P2" i="29"/>
  <c r="O2" i="29"/>
  <c r="D83" i="29" l="1"/>
  <c r="D84" i="29" s="1"/>
  <c r="G62" i="29"/>
  <c r="D62" i="29"/>
  <c r="F62" i="29"/>
  <c r="I13" i="29"/>
  <c r="F71" i="29"/>
  <c r="L55" i="29"/>
  <c r="Z7" i="29"/>
  <c r="AB7" i="29" s="1"/>
  <c r="X7" i="29"/>
  <c r="F66" i="29"/>
  <c r="Z5" i="29"/>
  <c r="AB5" i="29" s="1"/>
  <c r="X5" i="29"/>
  <c r="L47" i="29"/>
  <c r="G41" i="29"/>
  <c r="L50" i="29"/>
  <c r="I4" i="29"/>
  <c r="I6" i="29"/>
  <c r="I8" i="29"/>
  <c r="I12" i="29"/>
  <c r="L48" i="29"/>
  <c r="L52" i="29"/>
  <c r="F64" i="29"/>
  <c r="F69" i="29"/>
  <c r="L46" i="29"/>
  <c r="L54" i="29"/>
  <c r="F63" i="29"/>
  <c r="F67" i="29"/>
  <c r="I3" i="29"/>
  <c r="I19" i="29" s="1"/>
  <c r="I5" i="29"/>
  <c r="I7" i="29"/>
  <c r="X10" i="29"/>
  <c r="I11" i="29"/>
  <c r="H19" i="29"/>
  <c r="L45" i="29"/>
  <c r="L49" i="29"/>
  <c r="L53" i="29"/>
  <c r="F65" i="29"/>
  <c r="F70" i="29"/>
  <c r="G75" i="29"/>
  <c r="G17" i="29"/>
  <c r="H9" i="29"/>
  <c r="H17" i="29" s="1"/>
  <c r="T12" i="29"/>
  <c r="V3" i="29"/>
  <c r="V12" i="29" s="1"/>
  <c r="Z8" i="29"/>
  <c r="AB8" i="29" s="1"/>
  <c r="S8" i="29"/>
  <c r="X8" i="29" s="1"/>
  <c r="Z9" i="29"/>
  <c r="AB9" i="29" s="1"/>
  <c r="S9" i="29"/>
  <c r="X9" i="29" s="1"/>
  <c r="AA15" i="29"/>
  <c r="AC15" i="29" s="1"/>
  <c r="Z4" i="29"/>
  <c r="AB4" i="29" s="1"/>
  <c r="S4" i="29"/>
  <c r="X4" i="29" s="1"/>
  <c r="Q12" i="29"/>
  <c r="G77" i="29"/>
  <c r="Z10" i="29"/>
  <c r="AB10" i="29" s="1"/>
  <c r="Z11" i="29"/>
  <c r="AB11" i="29" s="1"/>
  <c r="S11" i="29"/>
  <c r="X11" i="29" s="1"/>
  <c r="L57" i="29"/>
  <c r="Z6" i="29"/>
  <c r="AB6" i="29" s="1"/>
  <c r="S6" i="29"/>
  <c r="X6" i="29" s="1"/>
  <c r="H72" i="29"/>
  <c r="C72" i="29"/>
  <c r="I15" i="29"/>
  <c r="E72" i="29"/>
  <c r="I72" i="29"/>
  <c r="D72" i="29"/>
  <c r="F72" i="29"/>
  <c r="G37" i="29"/>
  <c r="G39" i="29"/>
  <c r="P12" i="29"/>
  <c r="AA16" i="29"/>
  <c r="AC16" i="29" s="1"/>
  <c r="H21" i="29"/>
  <c r="D37" i="29"/>
  <c r="H62" i="29"/>
  <c r="D63" i="29"/>
  <c r="H63" i="29"/>
  <c r="D64" i="29"/>
  <c r="H64" i="29"/>
  <c r="D65" i="29"/>
  <c r="H65" i="29"/>
  <c r="D66" i="29"/>
  <c r="H66" i="29"/>
  <c r="D67" i="29"/>
  <c r="H67" i="29"/>
  <c r="D69" i="29"/>
  <c r="H69" i="29"/>
  <c r="D70" i="29"/>
  <c r="H70" i="29"/>
  <c r="D71" i="29"/>
  <c r="H71" i="29"/>
  <c r="S3" i="29"/>
  <c r="Z3" i="29"/>
  <c r="E62" i="29"/>
  <c r="I62" i="29"/>
  <c r="E63" i="29"/>
  <c r="I63" i="29"/>
  <c r="E64" i="29"/>
  <c r="I64" i="29"/>
  <c r="E65" i="29"/>
  <c r="I65" i="29"/>
  <c r="E66" i="29"/>
  <c r="I66" i="29"/>
  <c r="E67" i="29"/>
  <c r="I67" i="29"/>
  <c r="E69" i="29"/>
  <c r="I69" i="29"/>
  <c r="E70" i="29"/>
  <c r="I70" i="29"/>
  <c r="E71" i="29"/>
  <c r="I71" i="29"/>
  <c r="C62" i="29"/>
  <c r="C63" i="29"/>
  <c r="C64" i="29"/>
  <c r="C65" i="29"/>
  <c r="C66" i="29"/>
  <c r="C67" i="29"/>
  <c r="C69" i="29"/>
  <c r="C70" i="29"/>
  <c r="C71" i="29"/>
  <c r="L51" i="29" l="1"/>
  <c r="L60" i="29" s="1"/>
  <c r="F75" i="29"/>
  <c r="AC5" i="29"/>
  <c r="AD5" i="29" s="1"/>
  <c r="AC10" i="29"/>
  <c r="AE10" i="29" s="1"/>
  <c r="AC7" i="29"/>
  <c r="AD7" i="29" s="1"/>
  <c r="X16" i="29"/>
  <c r="F77" i="29"/>
  <c r="J70" i="29"/>
  <c r="H32" i="29" s="1"/>
  <c r="I32" i="29" s="1"/>
  <c r="J65" i="29"/>
  <c r="H27" i="29" s="1"/>
  <c r="I27" i="29" s="1"/>
  <c r="I77" i="29"/>
  <c r="H77" i="29"/>
  <c r="AC11" i="29"/>
  <c r="AD11" i="29" s="1"/>
  <c r="AC8" i="29"/>
  <c r="AE8" i="29" s="1"/>
  <c r="I21" i="29"/>
  <c r="H41" i="24" s="1"/>
  <c r="J67" i="29"/>
  <c r="H29" i="29" s="1"/>
  <c r="I29" i="29" s="1"/>
  <c r="J63" i="29"/>
  <c r="H25" i="29" s="1"/>
  <c r="I25" i="29" s="1"/>
  <c r="AC4" i="29"/>
  <c r="AD4" i="29" s="1"/>
  <c r="AC9" i="29"/>
  <c r="AD9" i="29" s="1"/>
  <c r="H75" i="29"/>
  <c r="J72" i="29"/>
  <c r="I75" i="29"/>
  <c r="J69" i="29"/>
  <c r="H31" i="29" s="1"/>
  <c r="I31" i="29" s="1"/>
  <c r="AB3" i="29"/>
  <c r="AB12" i="29" s="1"/>
  <c r="Z12" i="29"/>
  <c r="J71" i="29"/>
  <c r="H33" i="29" s="1"/>
  <c r="I33" i="29" s="1"/>
  <c r="J66" i="29"/>
  <c r="H28" i="29" s="1"/>
  <c r="I28" i="29" s="1"/>
  <c r="C75" i="29"/>
  <c r="J62" i="29"/>
  <c r="X3" i="29"/>
  <c r="S12" i="29"/>
  <c r="C77" i="29"/>
  <c r="J64" i="29"/>
  <c r="E77" i="29"/>
  <c r="E75" i="29"/>
  <c r="D77" i="29"/>
  <c r="D75" i="29"/>
  <c r="AC6" i="29"/>
  <c r="G68" i="29"/>
  <c r="G73" i="29" s="1"/>
  <c r="C68" i="29"/>
  <c r="I68" i="29"/>
  <c r="I73" i="29" s="1"/>
  <c r="E68" i="29"/>
  <c r="E73" i="29" s="1"/>
  <c r="H68" i="29"/>
  <c r="H73" i="29" s="1"/>
  <c r="D68" i="29"/>
  <c r="D73" i="29" s="1"/>
  <c r="I9" i="29"/>
  <c r="I17" i="29" s="1"/>
  <c r="F68" i="29"/>
  <c r="F73" i="29" s="1"/>
  <c r="G9" i="28"/>
  <c r="AD16" i="29" l="1"/>
  <c r="AE16" i="29" s="1"/>
  <c r="H70" i="24"/>
  <c r="H69" i="24" s="1"/>
  <c r="H59" i="41" s="1"/>
  <c r="AE5" i="29"/>
  <c r="AE7" i="29"/>
  <c r="AD10" i="29"/>
  <c r="AD8" i="29"/>
  <c r="AE4" i="29"/>
  <c r="AE11" i="29"/>
  <c r="AE9" i="29"/>
  <c r="AD6" i="29"/>
  <c r="AE6" i="29"/>
  <c r="J68" i="29"/>
  <c r="H30" i="29" s="1"/>
  <c r="I30" i="29" s="1"/>
  <c r="C73" i="29"/>
  <c r="X12" i="29"/>
  <c r="X15" i="29"/>
  <c r="AC3" i="29"/>
  <c r="J77" i="29"/>
  <c r="H26" i="29"/>
  <c r="H24" i="29"/>
  <c r="J75" i="29"/>
  <c r="AD15" i="29" l="1"/>
  <c r="AE15" i="29" s="1"/>
  <c r="H62" i="24"/>
  <c r="H61" i="24" s="1"/>
  <c r="H27" i="41" s="1"/>
  <c r="J73" i="29"/>
  <c r="AD3" i="29"/>
  <c r="AD12" i="29" s="1"/>
  <c r="AC12" i="29"/>
  <c r="AE12" i="29" s="1"/>
  <c r="AE3" i="29"/>
  <c r="H39" i="29"/>
  <c r="H37" i="29"/>
  <c r="I24" i="29"/>
  <c r="I26" i="29"/>
  <c r="I41" i="29" s="1"/>
  <c r="H39" i="24" s="1"/>
  <c r="H41" i="29"/>
  <c r="I37" i="29" l="1"/>
  <c r="I39" i="29"/>
  <c r="T10" i="28"/>
  <c r="V10" i="28" s="1"/>
  <c r="T11" i="28"/>
  <c r="V11" i="28" s="1"/>
  <c r="T9" i="28"/>
  <c r="V9" i="28" s="1"/>
  <c r="T4" i="28"/>
  <c r="T5" i="28"/>
  <c r="V5" i="28" s="1"/>
  <c r="T6" i="28"/>
  <c r="V6" i="28" s="1"/>
  <c r="T7" i="28"/>
  <c r="V7" i="28" s="1"/>
  <c r="T8" i="28"/>
  <c r="T3" i="28"/>
  <c r="Q10" i="28"/>
  <c r="Q11" i="28"/>
  <c r="S11" i="28" s="1"/>
  <c r="Q9" i="28"/>
  <c r="S9" i="28" s="1"/>
  <c r="Q4" i="28"/>
  <c r="S4" i="28" s="1"/>
  <c r="Q5" i="28"/>
  <c r="S5" i="28" s="1"/>
  <c r="Q6" i="28"/>
  <c r="Q7" i="28"/>
  <c r="S7" i="28" s="1"/>
  <c r="Q8" i="28"/>
  <c r="Q3" i="28"/>
  <c r="P10" i="28"/>
  <c r="P11" i="28"/>
  <c r="P9" i="28"/>
  <c r="P4" i="28"/>
  <c r="Z4" i="28" s="1"/>
  <c r="AB4" i="28" s="1"/>
  <c r="P5" i="28"/>
  <c r="P6" i="28"/>
  <c r="P7" i="28"/>
  <c r="P8" i="28"/>
  <c r="P3" i="28"/>
  <c r="AA11" i="28"/>
  <c r="AA10" i="28"/>
  <c r="S10" i="28"/>
  <c r="AA9" i="28"/>
  <c r="AA8" i="28"/>
  <c r="V8" i="28"/>
  <c r="S8" i="28"/>
  <c r="X8" i="28" s="1"/>
  <c r="AA7" i="28"/>
  <c r="AA6" i="28"/>
  <c r="S6" i="28"/>
  <c r="AA5" i="28"/>
  <c r="AA4" i="28"/>
  <c r="V4" i="28"/>
  <c r="AA3" i="28"/>
  <c r="V3" i="28"/>
  <c r="S3" i="28"/>
  <c r="X3" i="28" s="1"/>
  <c r="AD2" i="28"/>
  <c r="AA2" i="28"/>
  <c r="Z2" i="28"/>
  <c r="X2" i="28"/>
  <c r="V2" i="28"/>
  <c r="T2" i="28"/>
  <c r="Q2" i="28"/>
  <c r="P2" i="28"/>
  <c r="O2" i="28"/>
  <c r="Z8" i="28" l="1"/>
  <c r="AB8" i="28" s="1"/>
  <c r="X10" i="28"/>
  <c r="AA15" i="28"/>
  <c r="AC15" i="28" s="1"/>
  <c r="X9" i="28"/>
  <c r="X7" i="28"/>
  <c r="X5" i="28"/>
  <c r="X6" i="28"/>
  <c r="Z7" i="28"/>
  <c r="AB7" i="28" s="1"/>
  <c r="X4" i="28"/>
  <c r="X15" i="28" s="1"/>
  <c r="G62" i="24" s="1"/>
  <c r="T12" i="28"/>
  <c r="Z6" i="28"/>
  <c r="AB6" i="28" s="1"/>
  <c r="Z9" i="28"/>
  <c r="AB9" i="28" s="1"/>
  <c r="AC8" i="28"/>
  <c r="AD8" i="28" s="1"/>
  <c r="Z5" i="28"/>
  <c r="AB5" i="28" s="1"/>
  <c r="V12" i="28"/>
  <c r="AC6" i="28"/>
  <c r="S12" i="28"/>
  <c r="X11" i="28"/>
  <c r="Z10" i="28"/>
  <c r="AB10" i="28" s="1"/>
  <c r="Z11" i="28"/>
  <c r="AB11" i="28" s="1"/>
  <c r="Q12" i="28"/>
  <c r="AA16" i="28"/>
  <c r="AC16" i="28" s="1"/>
  <c r="Z3" i="28"/>
  <c r="O12" i="28"/>
  <c r="P12" i="28"/>
  <c r="AC5" i="28" l="1"/>
  <c r="AC7" i="28"/>
  <c r="AC10" i="28"/>
  <c r="AC9" i="28"/>
  <c r="AE9" i="28" s="1"/>
  <c r="AE8" i="28"/>
  <c r="AD15" i="28"/>
  <c r="AE15" i="28" s="1"/>
  <c r="G61" i="24"/>
  <c r="G27" i="41" s="1"/>
  <c r="G17" i="41" s="1"/>
  <c r="H17" i="41" s="1"/>
  <c r="I17" i="41" s="1"/>
  <c r="J17" i="41" s="1"/>
  <c r="K17" i="41" s="1"/>
  <c r="L17" i="41" s="1"/>
  <c r="M17" i="41" s="1"/>
  <c r="AC4" i="28"/>
  <c r="AE4" i="28" s="1"/>
  <c r="X12" i="28"/>
  <c r="X16" i="28"/>
  <c r="AE10" i="28"/>
  <c r="AD10" i="28"/>
  <c r="AD16" i="28"/>
  <c r="AE16" i="28" s="1"/>
  <c r="AE5" i="28"/>
  <c r="AD5" i="28"/>
  <c r="AE6" i="28"/>
  <c r="AD6" i="28"/>
  <c r="AB3" i="28"/>
  <c r="Z12" i="28"/>
  <c r="AC11" i="28"/>
  <c r="AE7" i="28"/>
  <c r="AD7" i="28"/>
  <c r="AD4" i="28" l="1"/>
  <c r="AD9" i="28"/>
  <c r="G70" i="24"/>
  <c r="G69" i="24" s="1"/>
  <c r="G59" i="41" s="1"/>
  <c r="G49" i="41" s="1"/>
  <c r="H49" i="41" s="1"/>
  <c r="I49" i="41" s="1"/>
  <c r="J49" i="41" s="1"/>
  <c r="K49" i="41" s="1"/>
  <c r="L49" i="41" s="1"/>
  <c r="M49" i="41" s="1"/>
  <c r="N5" i="41"/>
  <c r="N17" i="41"/>
  <c r="O17" i="41" s="1"/>
  <c r="P17" i="41" s="1"/>
  <c r="Q17" i="41" s="1"/>
  <c r="R17" i="41" s="1"/>
  <c r="S17" i="41" s="1"/>
  <c r="AB12" i="28"/>
  <c r="AC3" i="28"/>
  <c r="AE11" i="28"/>
  <c r="AD11" i="28"/>
  <c r="N50" i="41" l="1"/>
  <c r="O50" i="41" s="1"/>
  <c r="P50" i="41" s="1"/>
  <c r="Q50" i="41" s="1"/>
  <c r="R50" i="41" s="1"/>
  <c r="S50" i="41" s="1"/>
  <c r="T50" i="41" s="1"/>
  <c r="U50" i="41" s="1"/>
  <c r="V50" i="41" s="1"/>
  <c r="W50" i="41" s="1"/>
  <c r="X50" i="41" s="1"/>
  <c r="Y50" i="41" s="1"/>
  <c r="N37" i="41"/>
  <c r="N38" i="41" s="1"/>
  <c r="N40" i="41" s="1"/>
  <c r="N6" i="41"/>
  <c r="N8" i="41" s="1"/>
  <c r="AC12" i="28"/>
  <c r="AE12" i="28" s="1"/>
  <c r="AE3" i="28"/>
  <c r="AD3" i="28"/>
  <c r="AD12" i="28" s="1"/>
  <c r="O36" i="41" l="1"/>
  <c r="O38" i="41"/>
  <c r="AH9" i="41"/>
  <c r="AF9" i="41"/>
  <c r="AK9" i="41"/>
  <c r="M20" i="41" s="1"/>
  <c r="AD9" i="41"/>
  <c r="Z9" i="41"/>
  <c r="AB9" i="41"/>
  <c r="AJ9" i="41"/>
  <c r="L20" i="41" s="1"/>
  <c r="AC9" i="41"/>
  <c r="AE9" i="41"/>
  <c r="AA9" i="41"/>
  <c r="AG9" i="41"/>
  <c r="AI9" i="41"/>
  <c r="AG41" i="41"/>
  <c r="AH41" i="41"/>
  <c r="AD41" i="41"/>
  <c r="AJ41" i="41"/>
  <c r="Z41" i="41"/>
  <c r="AB41" i="41"/>
  <c r="AC41" i="41"/>
  <c r="AE41" i="41"/>
  <c r="AA41" i="41"/>
  <c r="AK41" i="41"/>
  <c r="M52" i="41" s="1"/>
  <c r="AI41" i="41"/>
  <c r="AF41" i="41"/>
  <c r="F37" i="28"/>
  <c r="D30" i="28"/>
  <c r="E9" i="28"/>
  <c r="E86" i="28"/>
  <c r="K20" i="41" l="1"/>
  <c r="J20" i="41"/>
  <c r="H52" i="41"/>
  <c r="L52" i="41"/>
  <c r="M63" i="41" s="1"/>
  <c r="G20" i="41"/>
  <c r="O4" i="41"/>
  <c r="N18" i="41"/>
  <c r="O6" i="41"/>
  <c r="E52" i="41"/>
  <c r="K31" i="41"/>
  <c r="E20" i="41"/>
  <c r="F20" i="41"/>
  <c r="G52" i="41"/>
  <c r="N63" i="41"/>
  <c r="J52" i="41"/>
  <c r="I20" i="41"/>
  <c r="L31" i="41"/>
  <c r="N31" i="41"/>
  <c r="M31" i="41"/>
  <c r="N80" i="24"/>
  <c r="N81" i="24" s="1"/>
  <c r="N75" i="24" s="1"/>
  <c r="M79" i="24"/>
  <c r="N49" i="41"/>
  <c r="K52" i="41"/>
  <c r="F52" i="41"/>
  <c r="D52" i="41"/>
  <c r="C51" i="41"/>
  <c r="I52" i="41"/>
  <c r="D20" i="41"/>
  <c r="H20" i="41"/>
  <c r="P36" i="41"/>
  <c r="K51" i="28"/>
  <c r="K50" i="28"/>
  <c r="K80" i="24" l="1"/>
  <c r="J31" i="41"/>
  <c r="M80" i="24"/>
  <c r="M81" i="24" s="1"/>
  <c r="M75" i="24" s="1"/>
  <c r="O49" i="41"/>
  <c r="I63" i="41"/>
  <c r="L79" i="24"/>
  <c r="K63" i="41"/>
  <c r="G31" i="41"/>
  <c r="L63" i="41"/>
  <c r="G63" i="41"/>
  <c r="E63" i="41"/>
  <c r="P59" i="41"/>
  <c r="Q36" i="41"/>
  <c r="I80" i="24"/>
  <c r="H79" i="24"/>
  <c r="H31" i="41"/>
  <c r="D63" i="41"/>
  <c r="G79" i="24"/>
  <c r="H63" i="41"/>
  <c r="L80" i="24"/>
  <c r="C53" i="41"/>
  <c r="E31" i="41"/>
  <c r="E79" i="24"/>
  <c r="F80" i="24"/>
  <c r="D31" i="41"/>
  <c r="D79" i="24"/>
  <c r="D81" i="24" s="1"/>
  <c r="D75" i="24" s="1"/>
  <c r="E80" i="24"/>
  <c r="G80" i="24"/>
  <c r="F63" i="41"/>
  <c r="I31" i="41"/>
  <c r="I79" i="24"/>
  <c r="J80" i="24"/>
  <c r="H80" i="24"/>
  <c r="K79" i="24"/>
  <c r="K81" i="24" s="1"/>
  <c r="K75" i="24" s="1"/>
  <c r="J63" i="41"/>
  <c r="J79" i="24"/>
  <c r="F31" i="41"/>
  <c r="F79" i="24"/>
  <c r="O18" i="41"/>
  <c r="P4" i="41"/>
  <c r="E87" i="28"/>
  <c r="C87" i="28"/>
  <c r="B87" i="28"/>
  <c r="K62" i="28"/>
  <c r="K61" i="28"/>
  <c r="L61" i="28" s="1"/>
  <c r="K60" i="28"/>
  <c r="K59" i="28"/>
  <c r="K58" i="28"/>
  <c r="K57" i="28"/>
  <c r="K56" i="28"/>
  <c r="D86" i="28" s="1"/>
  <c r="K55" i="28"/>
  <c r="K54" i="28"/>
  <c r="K53" i="28"/>
  <c r="K52" i="28"/>
  <c r="E41" i="28"/>
  <c r="D41" i="28"/>
  <c r="C41" i="28"/>
  <c r="G40" i="24" s="1"/>
  <c r="F39" i="28"/>
  <c r="E39" i="28"/>
  <c r="D39" i="28"/>
  <c r="C39" i="28"/>
  <c r="E37" i="28"/>
  <c r="C37" i="28"/>
  <c r="G34" i="28"/>
  <c r="I34" i="28" s="1"/>
  <c r="G33" i="28"/>
  <c r="G32" i="28"/>
  <c r="G31" i="28"/>
  <c r="G30" i="28"/>
  <c r="D37" i="28"/>
  <c r="G29" i="28"/>
  <c r="G27" i="28"/>
  <c r="G26" i="28"/>
  <c r="G25" i="28"/>
  <c r="G24" i="28"/>
  <c r="F21" i="28"/>
  <c r="E21" i="28"/>
  <c r="C21" i="28"/>
  <c r="G35" i="24" s="1"/>
  <c r="G19" i="28"/>
  <c r="F19" i="28"/>
  <c r="E19" i="28"/>
  <c r="C19" i="28"/>
  <c r="F17" i="28"/>
  <c r="C17" i="28"/>
  <c r="H16" i="28"/>
  <c r="I16" i="28" s="1"/>
  <c r="H15" i="28"/>
  <c r="F75" i="28" s="1"/>
  <c r="I14" i="28"/>
  <c r="H13" i="28"/>
  <c r="F74" i="28" s="1"/>
  <c r="H12" i="28"/>
  <c r="F73" i="28" s="1"/>
  <c r="H11" i="28"/>
  <c r="F72" i="28" s="1"/>
  <c r="H10" i="28"/>
  <c r="I10" i="28" s="1"/>
  <c r="H9" i="28"/>
  <c r="E17" i="28"/>
  <c r="H8" i="28"/>
  <c r="F70" i="28" s="1"/>
  <c r="G21" i="28"/>
  <c r="H6" i="28"/>
  <c r="F68" i="28" s="1"/>
  <c r="H5" i="28"/>
  <c r="F67" i="28" s="1"/>
  <c r="H4" i="28"/>
  <c r="F66" i="28" s="1"/>
  <c r="H3" i="28"/>
  <c r="F65" i="28" s="1"/>
  <c r="P49" i="41" l="1"/>
  <c r="L81" i="24"/>
  <c r="L75" i="24" s="1"/>
  <c r="J81" i="24"/>
  <c r="J75" i="24" s="1"/>
  <c r="I81" i="24"/>
  <c r="E81" i="24"/>
  <c r="P27" i="41"/>
  <c r="P18" i="41" s="1"/>
  <c r="Q4" i="41"/>
  <c r="D73" i="24"/>
  <c r="D76" i="24" s="1"/>
  <c r="G81" i="24"/>
  <c r="R36" i="41"/>
  <c r="Q59" i="41"/>
  <c r="F81" i="24"/>
  <c r="H81" i="24"/>
  <c r="D87" i="28"/>
  <c r="L62" i="28"/>
  <c r="I8" i="28"/>
  <c r="I13" i="28"/>
  <c r="I74" i="28"/>
  <c r="I11" i="28"/>
  <c r="L57" i="28"/>
  <c r="G39" i="28"/>
  <c r="L53" i="28"/>
  <c r="I68" i="28"/>
  <c r="I72" i="28"/>
  <c r="L60" i="28"/>
  <c r="E66" i="28"/>
  <c r="E70" i="28"/>
  <c r="E73" i="28"/>
  <c r="L51" i="28"/>
  <c r="L55" i="28"/>
  <c r="L58" i="28"/>
  <c r="I66" i="28"/>
  <c r="I70" i="28"/>
  <c r="I73" i="28"/>
  <c r="L59" i="28"/>
  <c r="E68" i="28"/>
  <c r="E72" i="28"/>
  <c r="E74" i="28"/>
  <c r="F78" i="28"/>
  <c r="F71" i="28"/>
  <c r="I71" i="28"/>
  <c r="L56" i="28"/>
  <c r="H71" i="28"/>
  <c r="D71" i="28"/>
  <c r="E71" i="28"/>
  <c r="G71" i="28"/>
  <c r="C71" i="28"/>
  <c r="I9" i="28"/>
  <c r="L52" i="28"/>
  <c r="I67" i="28"/>
  <c r="E75" i="28"/>
  <c r="C65" i="28"/>
  <c r="G65" i="28"/>
  <c r="C66" i="28"/>
  <c r="G66" i="28"/>
  <c r="C67" i="28"/>
  <c r="G67" i="28"/>
  <c r="C68" i="28"/>
  <c r="G68" i="28"/>
  <c r="C70" i="28"/>
  <c r="G70" i="28"/>
  <c r="C72" i="28"/>
  <c r="G72" i="28"/>
  <c r="C73" i="28"/>
  <c r="G73" i="28"/>
  <c r="C74" i="28"/>
  <c r="G74" i="28"/>
  <c r="C75" i="28"/>
  <c r="H75" i="28"/>
  <c r="L50" i="28"/>
  <c r="E65" i="28"/>
  <c r="I5" i="28"/>
  <c r="H7" i="28"/>
  <c r="H17" i="28" s="1"/>
  <c r="I12" i="28"/>
  <c r="I4" i="28"/>
  <c r="I6" i="28"/>
  <c r="I15" i="28"/>
  <c r="F41" i="28"/>
  <c r="D65" i="28"/>
  <c r="H65" i="28"/>
  <c r="D66" i="28"/>
  <c r="H66" i="28"/>
  <c r="D67" i="28"/>
  <c r="H67" i="28"/>
  <c r="D68" i="28"/>
  <c r="H68" i="28"/>
  <c r="D70" i="28"/>
  <c r="H70" i="28"/>
  <c r="D72" i="28"/>
  <c r="H72" i="28"/>
  <c r="D73" i="28"/>
  <c r="H73" i="28"/>
  <c r="D74" i="28"/>
  <c r="H74" i="28"/>
  <c r="D75" i="28"/>
  <c r="I75" i="28"/>
  <c r="H19" i="28"/>
  <c r="I65" i="28"/>
  <c r="E67" i="28"/>
  <c r="I3" i="28"/>
  <c r="G17" i="28"/>
  <c r="G28" i="28"/>
  <c r="L61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K50" i="27"/>
  <c r="D30" i="27"/>
  <c r="F28" i="27"/>
  <c r="G9" i="27"/>
  <c r="G7" i="27"/>
  <c r="E9" i="27"/>
  <c r="D86" i="27" l="1"/>
  <c r="Q49" i="41"/>
  <c r="H75" i="24"/>
  <c r="H73" i="24" s="1"/>
  <c r="H76" i="24" s="1"/>
  <c r="G75" i="24"/>
  <c r="G73" i="24" s="1"/>
  <c r="G76" i="24" s="1"/>
  <c r="E75" i="24"/>
  <c r="E73" i="24" s="1"/>
  <c r="E76" i="24" s="1"/>
  <c r="F75" i="24"/>
  <c r="F73" i="24" s="1"/>
  <c r="F76" i="24" s="1"/>
  <c r="I75" i="24"/>
  <c r="I73" i="24" s="1"/>
  <c r="I76" i="24" s="1"/>
  <c r="Q27" i="41"/>
  <c r="Q18" i="41" s="1"/>
  <c r="R4" i="41"/>
  <c r="S36" i="41"/>
  <c r="R59" i="41"/>
  <c r="J71" i="28"/>
  <c r="H30" i="28" s="1"/>
  <c r="I30" i="28" s="1"/>
  <c r="G41" i="28"/>
  <c r="I19" i="28"/>
  <c r="H78" i="28"/>
  <c r="J75" i="28"/>
  <c r="J73" i="28"/>
  <c r="H32" i="28" s="1"/>
  <c r="I32" i="28" s="1"/>
  <c r="J70" i="28"/>
  <c r="H29" i="28" s="1"/>
  <c r="I29" i="28" s="1"/>
  <c r="J67" i="28"/>
  <c r="C78" i="28"/>
  <c r="J65" i="28"/>
  <c r="D78" i="28"/>
  <c r="E78" i="28"/>
  <c r="G37" i="28"/>
  <c r="I78" i="28"/>
  <c r="J74" i="28"/>
  <c r="H33" i="28" s="1"/>
  <c r="I33" i="28" s="1"/>
  <c r="J72" i="28"/>
  <c r="H31" i="28" s="1"/>
  <c r="I31" i="28" s="1"/>
  <c r="J68" i="28"/>
  <c r="H27" i="28" s="1"/>
  <c r="I27" i="28" s="1"/>
  <c r="J66" i="28"/>
  <c r="H25" i="28" s="1"/>
  <c r="I25" i="28" s="1"/>
  <c r="F69" i="28"/>
  <c r="H69" i="28"/>
  <c r="H80" i="28" s="1"/>
  <c r="D69" i="28"/>
  <c r="D76" i="28" s="1"/>
  <c r="I69" i="28"/>
  <c r="I76" i="28" s="1"/>
  <c r="E69" i="28"/>
  <c r="E80" i="28" s="1"/>
  <c r="L54" i="28"/>
  <c r="L63" i="28" s="1"/>
  <c r="G69" i="28"/>
  <c r="G80" i="28" s="1"/>
  <c r="C69" i="28"/>
  <c r="C76" i="28" s="1"/>
  <c r="I7" i="28"/>
  <c r="I17" i="28" s="1"/>
  <c r="G78" i="28"/>
  <c r="G76" i="28"/>
  <c r="H21" i="28"/>
  <c r="R49" i="41" l="1"/>
  <c r="T36" i="41"/>
  <c r="S59" i="41"/>
  <c r="S4" i="41"/>
  <c r="R27" i="41"/>
  <c r="R18" i="41" s="1"/>
  <c r="D80" i="28"/>
  <c r="H76" i="28"/>
  <c r="F76" i="28"/>
  <c r="F80" i="28"/>
  <c r="J69" i="28"/>
  <c r="H28" i="28" s="1"/>
  <c r="I28" i="28" s="1"/>
  <c r="I80" i="28"/>
  <c r="E76" i="28"/>
  <c r="H26" i="28"/>
  <c r="J80" i="28"/>
  <c r="H24" i="28"/>
  <c r="J78" i="28"/>
  <c r="C80" i="28"/>
  <c r="I21" i="28"/>
  <c r="G41" i="24" s="1"/>
  <c r="E87" i="27"/>
  <c r="C87" i="27"/>
  <c r="B87" i="27"/>
  <c r="D87" i="27"/>
  <c r="F41" i="27"/>
  <c r="E41" i="27"/>
  <c r="D41" i="27"/>
  <c r="C41" i="27"/>
  <c r="F39" i="27"/>
  <c r="E39" i="27"/>
  <c r="D39" i="27"/>
  <c r="C39" i="27"/>
  <c r="F37" i="27"/>
  <c r="E37" i="27"/>
  <c r="C37" i="27"/>
  <c r="G34" i="27"/>
  <c r="I34" i="27" s="1"/>
  <c r="G33" i="27"/>
  <c r="G32" i="27"/>
  <c r="G31" i="27"/>
  <c r="G30" i="27"/>
  <c r="G29" i="27"/>
  <c r="G28" i="27"/>
  <c r="G27" i="27"/>
  <c r="G26" i="27"/>
  <c r="G25" i="27"/>
  <c r="G24" i="27"/>
  <c r="G21" i="27"/>
  <c r="F21" i="27"/>
  <c r="E21" i="27"/>
  <c r="C21" i="27"/>
  <c r="G19" i="27"/>
  <c r="F19" i="27"/>
  <c r="E19" i="27"/>
  <c r="C19" i="27"/>
  <c r="G17" i="27"/>
  <c r="F17" i="27"/>
  <c r="E17" i="27"/>
  <c r="C17" i="27"/>
  <c r="H16" i="27"/>
  <c r="I16" i="27" s="1"/>
  <c r="H15" i="27"/>
  <c r="I14" i="27"/>
  <c r="H13" i="27"/>
  <c r="H12" i="27"/>
  <c r="H11" i="27"/>
  <c r="H10" i="27"/>
  <c r="L57" i="27" s="1"/>
  <c r="H9" i="27"/>
  <c r="L56" i="27" s="1"/>
  <c r="H8" i="27"/>
  <c r="H7" i="27"/>
  <c r="L54" i="27" s="1"/>
  <c r="H6" i="27"/>
  <c r="H5" i="27"/>
  <c r="H4" i="27"/>
  <c r="H3" i="27"/>
  <c r="F70" i="27" l="1"/>
  <c r="L55" i="27"/>
  <c r="C65" i="27"/>
  <c r="L50" i="27"/>
  <c r="G72" i="27"/>
  <c r="F72" i="27"/>
  <c r="L58" i="27"/>
  <c r="C72" i="27"/>
  <c r="D72" i="27"/>
  <c r="F66" i="27"/>
  <c r="L51" i="27"/>
  <c r="F73" i="27"/>
  <c r="G73" i="27"/>
  <c r="L59" i="27"/>
  <c r="C67" i="27"/>
  <c r="L52" i="27"/>
  <c r="F74" i="27"/>
  <c r="G74" i="27"/>
  <c r="L60" i="27"/>
  <c r="F68" i="27"/>
  <c r="L53" i="27"/>
  <c r="L62" i="27"/>
  <c r="I75" i="27"/>
  <c r="H75" i="27"/>
  <c r="E75" i="27"/>
  <c r="F75" i="27"/>
  <c r="D75" i="27"/>
  <c r="C75" i="27"/>
  <c r="S49" i="41"/>
  <c r="T4" i="41"/>
  <c r="S27" i="41"/>
  <c r="S18" i="41" s="1"/>
  <c r="U36" i="41"/>
  <c r="T59" i="41"/>
  <c r="T49" i="41" s="1"/>
  <c r="H37" i="28"/>
  <c r="H39" i="28"/>
  <c r="I24" i="28"/>
  <c r="H41" i="28"/>
  <c r="I26" i="28"/>
  <c r="I41" i="28" s="1"/>
  <c r="G39" i="24" s="1"/>
  <c r="J76" i="28"/>
  <c r="C74" i="27"/>
  <c r="D74" i="27"/>
  <c r="C73" i="27"/>
  <c r="D73" i="27"/>
  <c r="G71" i="27"/>
  <c r="C71" i="27"/>
  <c r="D71" i="27"/>
  <c r="I10" i="27"/>
  <c r="D37" i="27"/>
  <c r="D65" i="27"/>
  <c r="H66" i="27"/>
  <c r="G68" i="27"/>
  <c r="G70" i="27"/>
  <c r="H73" i="27"/>
  <c r="C66" i="27"/>
  <c r="C78" i="27" s="1"/>
  <c r="H68" i="27"/>
  <c r="H70" i="27"/>
  <c r="I73" i="27"/>
  <c r="H74" i="27"/>
  <c r="D66" i="27"/>
  <c r="C68" i="27"/>
  <c r="C70" i="27"/>
  <c r="I12" i="27"/>
  <c r="G66" i="27"/>
  <c r="D68" i="27"/>
  <c r="D70" i="27"/>
  <c r="E73" i="27"/>
  <c r="F69" i="27"/>
  <c r="I69" i="27"/>
  <c r="E69" i="27"/>
  <c r="F71" i="27"/>
  <c r="I71" i="27"/>
  <c r="E71" i="27"/>
  <c r="C69" i="27"/>
  <c r="F67" i="27"/>
  <c r="I67" i="27"/>
  <c r="E67" i="27"/>
  <c r="I7" i="27"/>
  <c r="I15" i="27"/>
  <c r="H21" i="27"/>
  <c r="D67" i="27"/>
  <c r="D69" i="27"/>
  <c r="F65" i="27"/>
  <c r="I65" i="27"/>
  <c r="E65" i="27"/>
  <c r="H19" i="27"/>
  <c r="I5" i="27"/>
  <c r="I74" i="27"/>
  <c r="E74" i="27"/>
  <c r="I13" i="27"/>
  <c r="G65" i="27"/>
  <c r="G67" i="27"/>
  <c r="G69" i="27"/>
  <c r="I3" i="27"/>
  <c r="I9" i="27"/>
  <c r="I72" i="27"/>
  <c r="E72" i="27"/>
  <c r="I11" i="27"/>
  <c r="H17" i="27"/>
  <c r="G37" i="27"/>
  <c r="G41" i="27"/>
  <c r="H65" i="27"/>
  <c r="H67" i="27"/>
  <c r="H69" i="27"/>
  <c r="H71" i="27"/>
  <c r="H72" i="27"/>
  <c r="G39" i="27"/>
  <c r="E66" i="27"/>
  <c r="I66" i="27"/>
  <c r="E68" i="27"/>
  <c r="I68" i="27"/>
  <c r="E70" i="27"/>
  <c r="I70" i="27"/>
  <c r="I4" i="27"/>
  <c r="I6" i="27"/>
  <c r="I8" i="27"/>
  <c r="E26" i="24"/>
  <c r="F26" i="24" s="1"/>
  <c r="F48" i="24" s="1"/>
  <c r="G24" i="26"/>
  <c r="L63" i="27" l="1"/>
  <c r="U59" i="41"/>
  <c r="U49" i="41" s="1"/>
  <c r="V36" i="41"/>
  <c r="U4" i="41"/>
  <c r="T27" i="41"/>
  <c r="T17" i="41" s="1"/>
  <c r="I39" i="28"/>
  <c r="I37" i="28"/>
  <c r="D78" i="27"/>
  <c r="J73" i="27"/>
  <c r="H32" i="27" s="1"/>
  <c r="I32" i="27" s="1"/>
  <c r="C76" i="27"/>
  <c r="J74" i="27"/>
  <c r="H33" i="27" s="1"/>
  <c r="I33" i="27" s="1"/>
  <c r="J70" i="27"/>
  <c r="H29" i="27" s="1"/>
  <c r="I29" i="27" s="1"/>
  <c r="J66" i="27"/>
  <c r="H25" i="27" s="1"/>
  <c r="I25" i="27" s="1"/>
  <c r="C80" i="27"/>
  <c r="J68" i="27"/>
  <c r="H27" i="27" s="1"/>
  <c r="I27" i="27" s="1"/>
  <c r="J72" i="27"/>
  <c r="H31" i="27" s="1"/>
  <c r="I31" i="27" s="1"/>
  <c r="I19" i="27"/>
  <c r="I17" i="27"/>
  <c r="G78" i="27"/>
  <c r="G76" i="27"/>
  <c r="E78" i="27"/>
  <c r="E76" i="27"/>
  <c r="I80" i="27"/>
  <c r="I78" i="27"/>
  <c r="I76" i="27"/>
  <c r="D80" i="27"/>
  <c r="D76" i="27"/>
  <c r="F80" i="27"/>
  <c r="J71" i="27"/>
  <c r="H30" i="27" s="1"/>
  <c r="I30" i="27" s="1"/>
  <c r="J67" i="27"/>
  <c r="H80" i="27"/>
  <c r="I21" i="27"/>
  <c r="F78" i="27"/>
  <c r="F76" i="27"/>
  <c r="H78" i="27"/>
  <c r="H76" i="27"/>
  <c r="J75" i="27"/>
  <c r="G80" i="27"/>
  <c r="E80" i="27"/>
  <c r="J69" i="27"/>
  <c r="H28" i="27" s="1"/>
  <c r="I28" i="27" s="1"/>
  <c r="J65" i="27"/>
  <c r="T18" i="41" l="1"/>
  <c r="V4" i="41"/>
  <c r="U27" i="41"/>
  <c r="U17" i="41" s="1"/>
  <c r="W36" i="41"/>
  <c r="V59" i="41"/>
  <c r="V49" i="41" s="1"/>
  <c r="J80" i="27"/>
  <c r="H26" i="27"/>
  <c r="J78" i="27"/>
  <c r="J76" i="27"/>
  <c r="H24" i="27"/>
  <c r="B87" i="26"/>
  <c r="C87" i="26"/>
  <c r="E87" i="26"/>
  <c r="D86" i="26"/>
  <c r="D87" i="26" s="1"/>
  <c r="D86" i="25"/>
  <c r="D30" i="26"/>
  <c r="E9" i="26"/>
  <c r="X36" i="41" l="1"/>
  <c r="W59" i="41"/>
  <c r="W49" i="41" s="1"/>
  <c r="W4" i="41"/>
  <c r="V27" i="41"/>
  <c r="V17" i="41" s="1"/>
  <c r="U18" i="41"/>
  <c r="H41" i="27"/>
  <c r="I26" i="27"/>
  <c r="I41" i="27" s="1"/>
  <c r="H39" i="27"/>
  <c r="H37" i="27"/>
  <c r="I24" i="27"/>
  <c r="F75" i="26"/>
  <c r="F41" i="26"/>
  <c r="E41" i="26"/>
  <c r="D41" i="26"/>
  <c r="C41" i="26"/>
  <c r="E40" i="24" s="1"/>
  <c r="F39" i="26"/>
  <c r="E39" i="26"/>
  <c r="D39" i="26"/>
  <c r="C39" i="26"/>
  <c r="F37" i="26"/>
  <c r="E37" i="26"/>
  <c r="D37" i="26"/>
  <c r="C37" i="26"/>
  <c r="G34" i="26"/>
  <c r="I34" i="26" s="1"/>
  <c r="G33" i="26"/>
  <c r="G32" i="26"/>
  <c r="G31" i="26"/>
  <c r="G30" i="26"/>
  <c r="G29" i="26"/>
  <c r="G28" i="26"/>
  <c r="G27" i="26"/>
  <c r="G26" i="26"/>
  <c r="G25" i="26"/>
  <c r="G21" i="26"/>
  <c r="F21" i="26"/>
  <c r="E21" i="26"/>
  <c r="C21" i="26"/>
  <c r="E35" i="24" s="1"/>
  <c r="G19" i="26"/>
  <c r="F19" i="26"/>
  <c r="E19" i="26"/>
  <c r="C19" i="26"/>
  <c r="E13" i="24" s="1"/>
  <c r="G17" i="26"/>
  <c r="F17" i="26"/>
  <c r="C17" i="26"/>
  <c r="H16" i="26"/>
  <c r="I16" i="26" s="1"/>
  <c r="H15" i="26"/>
  <c r="H75" i="26" s="1"/>
  <c r="I14" i="26"/>
  <c r="H13" i="26"/>
  <c r="H74" i="26" s="1"/>
  <c r="H12" i="26"/>
  <c r="F73" i="26" s="1"/>
  <c r="H11" i="26"/>
  <c r="D73" i="26" s="1"/>
  <c r="H10" i="26"/>
  <c r="G72" i="26" s="1"/>
  <c r="H9" i="26"/>
  <c r="G71" i="26" s="1"/>
  <c r="H8" i="26"/>
  <c r="F70" i="26" s="1"/>
  <c r="H7" i="26"/>
  <c r="D69" i="26" s="1"/>
  <c r="H6" i="26"/>
  <c r="F68" i="26" s="1"/>
  <c r="H5" i="26"/>
  <c r="H4" i="26"/>
  <c r="F66" i="26" s="1"/>
  <c r="H3" i="26"/>
  <c r="D65" i="26" s="1"/>
  <c r="I10" i="26" l="1"/>
  <c r="C72" i="26"/>
  <c r="W27" i="41"/>
  <c r="W17" i="41" s="1"/>
  <c r="X4" i="41"/>
  <c r="V18" i="41"/>
  <c r="Y36" i="41"/>
  <c r="X59" i="41"/>
  <c r="I39" i="27"/>
  <c r="I37" i="27"/>
  <c r="C74" i="26"/>
  <c r="G75" i="26"/>
  <c r="G70" i="26"/>
  <c r="H70" i="26"/>
  <c r="H71" i="26"/>
  <c r="I9" i="26"/>
  <c r="G69" i="26"/>
  <c r="D66" i="26"/>
  <c r="D78" i="26" s="1"/>
  <c r="G66" i="26"/>
  <c r="D68" i="26"/>
  <c r="G68" i="26"/>
  <c r="H69" i="26"/>
  <c r="E73" i="26"/>
  <c r="D74" i="26"/>
  <c r="I7" i="26"/>
  <c r="I12" i="26"/>
  <c r="I15" i="26"/>
  <c r="H66" i="26"/>
  <c r="H68" i="26"/>
  <c r="C70" i="26"/>
  <c r="D71" i="26"/>
  <c r="D72" i="26"/>
  <c r="H73" i="26"/>
  <c r="G74" i="26"/>
  <c r="C66" i="26"/>
  <c r="C68" i="26"/>
  <c r="D70" i="26"/>
  <c r="I73" i="26"/>
  <c r="F67" i="26"/>
  <c r="I67" i="26"/>
  <c r="E67" i="26"/>
  <c r="H21" i="26"/>
  <c r="D67" i="26"/>
  <c r="F65" i="26"/>
  <c r="I65" i="26"/>
  <c r="E65" i="26"/>
  <c r="H19" i="26"/>
  <c r="I5" i="26"/>
  <c r="F74" i="26"/>
  <c r="I74" i="26"/>
  <c r="E74" i="26"/>
  <c r="I13" i="26"/>
  <c r="G65" i="26"/>
  <c r="G67" i="26"/>
  <c r="G80" i="26" s="1"/>
  <c r="C75" i="26"/>
  <c r="I3" i="26"/>
  <c r="F72" i="26"/>
  <c r="J72" i="26" s="1"/>
  <c r="H31" i="26" s="1"/>
  <c r="I31" i="26" s="1"/>
  <c r="I72" i="26"/>
  <c r="E72" i="26"/>
  <c r="I11" i="26"/>
  <c r="H17" i="26"/>
  <c r="G37" i="26"/>
  <c r="G41" i="26"/>
  <c r="H65" i="26"/>
  <c r="H67" i="26"/>
  <c r="H72" i="26"/>
  <c r="G73" i="26"/>
  <c r="D75" i="26"/>
  <c r="F69" i="26"/>
  <c r="I69" i="26"/>
  <c r="E69" i="26"/>
  <c r="F71" i="26"/>
  <c r="I71" i="26"/>
  <c r="E71" i="26"/>
  <c r="I75" i="26"/>
  <c r="E75" i="26"/>
  <c r="E17" i="26"/>
  <c r="C65" i="26"/>
  <c r="C67" i="26"/>
  <c r="C69" i="26"/>
  <c r="C71" i="26"/>
  <c r="C73" i="26"/>
  <c r="G39" i="26"/>
  <c r="E66" i="26"/>
  <c r="I66" i="26"/>
  <c r="E68" i="26"/>
  <c r="I68" i="26"/>
  <c r="E70" i="26"/>
  <c r="I70" i="26"/>
  <c r="I4" i="26"/>
  <c r="I6" i="26"/>
  <c r="I8" i="26"/>
  <c r="W18" i="41" l="1"/>
  <c r="Y59" i="41"/>
  <c r="AA39" i="41"/>
  <c r="Z42" i="41" s="1"/>
  <c r="Y4" i="41"/>
  <c r="X27" i="41"/>
  <c r="X17" i="41" s="1"/>
  <c r="X49" i="41"/>
  <c r="J74" i="26"/>
  <c r="H33" i="26" s="1"/>
  <c r="I33" i="26" s="1"/>
  <c r="J70" i="26"/>
  <c r="H29" i="26" s="1"/>
  <c r="I29" i="26" s="1"/>
  <c r="D80" i="26"/>
  <c r="J68" i="26"/>
  <c r="H27" i="26" s="1"/>
  <c r="I27" i="26" s="1"/>
  <c r="J66" i="26"/>
  <c r="H25" i="26" s="1"/>
  <c r="I25" i="26" s="1"/>
  <c r="J73" i="26"/>
  <c r="H32" i="26" s="1"/>
  <c r="I32" i="26" s="1"/>
  <c r="I21" i="26"/>
  <c r="E41" i="24" s="1"/>
  <c r="F78" i="26"/>
  <c r="F76" i="26"/>
  <c r="J71" i="26"/>
  <c r="H30" i="26" s="1"/>
  <c r="I30" i="26" s="1"/>
  <c r="J67" i="26"/>
  <c r="C80" i="26"/>
  <c r="H80" i="26"/>
  <c r="E80" i="26"/>
  <c r="D76" i="26"/>
  <c r="H78" i="26"/>
  <c r="H76" i="26"/>
  <c r="I19" i="26"/>
  <c r="I17" i="26"/>
  <c r="G78" i="26"/>
  <c r="G76" i="26"/>
  <c r="E78" i="26"/>
  <c r="E76" i="26"/>
  <c r="I80" i="26"/>
  <c r="J69" i="26"/>
  <c r="H28" i="26" s="1"/>
  <c r="I28" i="26" s="1"/>
  <c r="J65" i="26"/>
  <c r="C76" i="26"/>
  <c r="C78" i="26"/>
  <c r="J75" i="26"/>
  <c r="I78" i="26"/>
  <c r="I76" i="26"/>
  <c r="F80" i="26"/>
  <c r="D30" i="25"/>
  <c r="D37" i="25" s="1"/>
  <c r="X18" i="41" l="1"/>
  <c r="AA42" i="41"/>
  <c r="AB42" i="41" s="1"/>
  <c r="AC42" i="41" s="1"/>
  <c r="AD42" i="41" s="1"/>
  <c r="AE42" i="41" s="1"/>
  <c r="AF42" i="41" s="1"/>
  <c r="AG42" i="41" s="1"/>
  <c r="AH42" i="41" s="1"/>
  <c r="AI42" i="41" s="1"/>
  <c r="AJ42" i="41" s="1"/>
  <c r="AK42" i="41" s="1"/>
  <c r="AA7" i="41"/>
  <c r="Z10" i="41" s="1"/>
  <c r="Y27" i="41"/>
  <c r="Y17" i="41" s="1"/>
  <c r="Y49" i="41"/>
  <c r="J80" i="26"/>
  <c r="H26" i="26"/>
  <c r="J78" i="26"/>
  <c r="J76" i="26"/>
  <c r="H24" i="26"/>
  <c r="I24" i="26" s="1"/>
  <c r="I39" i="26" s="1"/>
  <c r="AA10" i="41" l="1"/>
  <c r="AB10" i="41" s="1"/>
  <c r="AC10" i="41" s="1"/>
  <c r="AD10" i="41" s="1"/>
  <c r="AE10" i="41" s="1"/>
  <c r="AF10" i="41" s="1"/>
  <c r="AG10" i="41" s="1"/>
  <c r="AH10" i="41" s="1"/>
  <c r="AI10" i="41" s="1"/>
  <c r="AJ10" i="41" s="1"/>
  <c r="AK10" i="41" s="1"/>
  <c r="Y18" i="41"/>
  <c r="H39" i="26"/>
  <c r="H37" i="26"/>
  <c r="H41" i="26"/>
  <c r="I26" i="26"/>
  <c r="I41" i="26" s="1"/>
  <c r="E39" i="24" s="1"/>
  <c r="E9" i="25"/>
  <c r="E17" i="24" l="1"/>
  <c r="I37" i="26"/>
  <c r="J48" i="24"/>
  <c r="K48" i="24"/>
  <c r="M48" i="24"/>
  <c r="N48" i="24"/>
  <c r="O48" i="24"/>
  <c r="F41" i="24"/>
  <c r="F40" i="24"/>
  <c r="F39" i="24"/>
  <c r="F35" i="24"/>
  <c r="G18" i="24"/>
  <c r="F18" i="24"/>
  <c r="E18" i="24"/>
  <c r="G17" i="24"/>
  <c r="F17" i="24"/>
  <c r="G19" i="24"/>
  <c r="F19" i="24"/>
  <c r="E19" i="24"/>
  <c r="G13" i="24"/>
  <c r="F13" i="24"/>
  <c r="E87" i="25"/>
  <c r="D87" i="25"/>
  <c r="C87" i="25"/>
  <c r="B87" i="25"/>
  <c r="F75" i="25"/>
  <c r="F41" i="25"/>
  <c r="E41" i="25"/>
  <c r="D41" i="25"/>
  <c r="C41" i="25"/>
  <c r="D40" i="24" s="1"/>
  <c r="F39" i="25"/>
  <c r="E39" i="25"/>
  <c r="D39" i="25"/>
  <c r="C39" i="25"/>
  <c r="D18" i="24" s="1"/>
  <c r="F37" i="25"/>
  <c r="E37" i="25"/>
  <c r="C37" i="25"/>
  <c r="G34" i="25"/>
  <c r="I34" i="25" s="1"/>
  <c r="G33" i="25"/>
  <c r="G32" i="25"/>
  <c r="G31" i="25"/>
  <c r="G30" i="25"/>
  <c r="G29" i="25"/>
  <c r="G28" i="25"/>
  <c r="G27" i="25"/>
  <c r="G26" i="25"/>
  <c r="G25" i="25"/>
  <c r="G24" i="25"/>
  <c r="G21" i="25"/>
  <c r="F21" i="25"/>
  <c r="E21" i="25"/>
  <c r="C21" i="25"/>
  <c r="D35" i="24" s="1"/>
  <c r="G19" i="25"/>
  <c r="F19" i="25"/>
  <c r="E19" i="25"/>
  <c r="C19" i="25"/>
  <c r="D13" i="24" s="1"/>
  <c r="G17" i="25"/>
  <c r="F17" i="25"/>
  <c r="C17" i="25"/>
  <c r="H16" i="25"/>
  <c r="I16" i="25" s="1"/>
  <c r="H15" i="25"/>
  <c r="I75" i="25" s="1"/>
  <c r="I14" i="25"/>
  <c r="H13" i="25"/>
  <c r="I74" i="25" s="1"/>
  <c r="H12" i="25"/>
  <c r="I73" i="25" s="1"/>
  <c r="H11" i="25"/>
  <c r="I72" i="25" s="1"/>
  <c r="H10" i="25"/>
  <c r="G72" i="25" s="1"/>
  <c r="H9" i="25"/>
  <c r="E17" i="25"/>
  <c r="H8" i="25"/>
  <c r="I70" i="25" s="1"/>
  <c r="H7" i="25"/>
  <c r="I69" i="25" s="1"/>
  <c r="H6" i="25"/>
  <c r="I68" i="25" s="1"/>
  <c r="H5" i="25"/>
  <c r="I67" i="25" s="1"/>
  <c r="H4" i="25"/>
  <c r="I66" i="25" s="1"/>
  <c r="H3" i="25"/>
  <c r="I65" i="25" s="1"/>
  <c r="C73" i="25" l="1"/>
  <c r="I11" i="25"/>
  <c r="G73" i="25"/>
  <c r="I71" i="25"/>
  <c r="I76" i="25" s="1"/>
  <c r="G41" i="25"/>
  <c r="G39" i="25"/>
  <c r="G75" i="25"/>
  <c r="F69" i="25"/>
  <c r="C67" i="25"/>
  <c r="G67" i="25"/>
  <c r="F65" i="25"/>
  <c r="G71" i="25"/>
  <c r="I9" i="25"/>
  <c r="C65" i="25"/>
  <c r="F67" i="25"/>
  <c r="G69" i="25"/>
  <c r="F72" i="25"/>
  <c r="F74" i="25"/>
  <c r="C71" i="25"/>
  <c r="C75" i="25"/>
  <c r="I13" i="25"/>
  <c r="G65" i="25"/>
  <c r="C69" i="25"/>
  <c r="F71" i="25"/>
  <c r="F73" i="25"/>
  <c r="I78" i="25"/>
  <c r="I80" i="25"/>
  <c r="F66" i="25"/>
  <c r="I4" i="25"/>
  <c r="C66" i="25"/>
  <c r="C70" i="25"/>
  <c r="G74" i="25"/>
  <c r="I10" i="25"/>
  <c r="I12" i="25"/>
  <c r="H17" i="25"/>
  <c r="H21" i="25"/>
  <c r="D65" i="25"/>
  <c r="H65" i="25"/>
  <c r="D66" i="25"/>
  <c r="H66" i="25"/>
  <c r="D67" i="25"/>
  <c r="H67" i="25"/>
  <c r="D68" i="25"/>
  <c r="H68" i="25"/>
  <c r="D69" i="25"/>
  <c r="H69" i="25"/>
  <c r="D70" i="25"/>
  <c r="H70" i="25"/>
  <c r="D71" i="25"/>
  <c r="H71" i="25"/>
  <c r="D72" i="25"/>
  <c r="H72" i="25"/>
  <c r="D73" i="25"/>
  <c r="H73" i="25"/>
  <c r="D74" i="25"/>
  <c r="H74" i="25"/>
  <c r="D75" i="25"/>
  <c r="H75" i="25"/>
  <c r="H19" i="25"/>
  <c r="G37" i="25"/>
  <c r="F68" i="25"/>
  <c r="F70" i="25"/>
  <c r="I6" i="25"/>
  <c r="I8" i="25"/>
  <c r="G66" i="25"/>
  <c r="C68" i="25"/>
  <c r="G68" i="25"/>
  <c r="G70" i="25"/>
  <c r="C72" i="25"/>
  <c r="C74" i="25"/>
  <c r="I3" i="25"/>
  <c r="I5" i="25"/>
  <c r="I7" i="25"/>
  <c r="I15" i="25"/>
  <c r="E65" i="25"/>
  <c r="E66" i="25"/>
  <c r="E67" i="25"/>
  <c r="E68" i="25"/>
  <c r="E69" i="25"/>
  <c r="E70" i="25"/>
  <c r="E71" i="25"/>
  <c r="E72" i="25"/>
  <c r="E73" i="25"/>
  <c r="E74" i="25"/>
  <c r="E75" i="25"/>
  <c r="G78" i="25" l="1"/>
  <c r="F80" i="25"/>
  <c r="I21" i="25"/>
  <c r="D41" i="24" s="1"/>
  <c r="C78" i="25"/>
  <c r="G76" i="25"/>
  <c r="F76" i="25"/>
  <c r="G80" i="25"/>
  <c r="J68" i="25"/>
  <c r="H27" i="25" s="1"/>
  <c r="I27" i="25" s="1"/>
  <c r="H80" i="25"/>
  <c r="H78" i="25"/>
  <c r="H76" i="25"/>
  <c r="J74" i="25"/>
  <c r="H33" i="25" s="1"/>
  <c r="I33" i="25" s="1"/>
  <c r="F78" i="25"/>
  <c r="E80" i="25"/>
  <c r="C76" i="25"/>
  <c r="J70" i="25"/>
  <c r="H29" i="25" s="1"/>
  <c r="I29" i="25" s="1"/>
  <c r="E78" i="25"/>
  <c r="E76" i="25"/>
  <c r="I17" i="25"/>
  <c r="I19" i="25"/>
  <c r="D19" i="24" s="1"/>
  <c r="J72" i="25"/>
  <c r="H31" i="25" s="1"/>
  <c r="I31" i="25" s="1"/>
  <c r="J75" i="25"/>
  <c r="J73" i="25"/>
  <c r="H32" i="25" s="1"/>
  <c r="I32" i="25" s="1"/>
  <c r="J71" i="25"/>
  <c r="H30" i="25" s="1"/>
  <c r="I30" i="25" s="1"/>
  <c r="J69" i="25"/>
  <c r="H28" i="25" s="1"/>
  <c r="I28" i="25" s="1"/>
  <c r="D80" i="25"/>
  <c r="J67" i="25"/>
  <c r="D78" i="25"/>
  <c r="D76" i="25"/>
  <c r="J65" i="25"/>
  <c r="J66" i="25"/>
  <c r="H25" i="25" s="1"/>
  <c r="I25" i="25" s="1"/>
  <c r="C80" i="25"/>
  <c r="H26" i="25" l="1"/>
  <c r="J80" i="25"/>
  <c r="H24" i="25"/>
  <c r="J78" i="25"/>
  <c r="J76" i="25"/>
  <c r="H39" i="25" l="1"/>
  <c r="H37" i="25"/>
  <c r="I24" i="25"/>
  <c r="H41" i="25"/>
  <c r="I26" i="25"/>
  <c r="I41" i="25" s="1"/>
  <c r="D39" i="24" s="1"/>
  <c r="I37" i="25" l="1"/>
  <c r="I39" i="25"/>
  <c r="D17" i="24" s="1"/>
  <c r="M19" i="24" l="1"/>
  <c r="L19" i="24"/>
  <c r="K19" i="24"/>
  <c r="J19" i="24"/>
  <c r="M18" i="24"/>
  <c r="L18" i="24"/>
  <c r="K18" i="24"/>
  <c r="J18" i="24"/>
  <c r="M17" i="24"/>
  <c r="L17" i="24"/>
  <c r="K17" i="24"/>
  <c r="M13" i="24"/>
  <c r="L13" i="24"/>
  <c r="K13" i="24"/>
  <c r="J13" i="24"/>
  <c r="I18" i="24"/>
  <c r="I13" i="24"/>
  <c r="J17" i="24" l="1"/>
  <c r="I19" i="24"/>
  <c r="I48" i="24"/>
  <c r="I17" i="24" l="1"/>
  <c r="O18" i="24" l="1"/>
  <c r="O13" i="24"/>
  <c r="O19" i="24" l="1"/>
  <c r="O17" i="24" l="1"/>
  <c r="N18" i="24" l="1"/>
  <c r="N13" i="24"/>
  <c r="N19" i="24" l="1"/>
  <c r="N17" i="24" l="1"/>
  <c r="H19" i="24" l="1"/>
  <c r="H18" i="24"/>
  <c r="H17" i="24"/>
  <c r="H13" i="24"/>
  <c r="D43" i="24" l="1"/>
  <c r="D21" i="24"/>
  <c r="D22" i="24" s="1"/>
  <c r="D23" i="24" s="1"/>
  <c r="E48" i="24"/>
  <c r="D44" i="24" l="1"/>
  <c r="D45" i="24" l="1"/>
  <c r="E21" i="24"/>
  <c r="E22" i="24" s="1"/>
  <c r="E23" i="24" l="1"/>
  <c r="C53" i="24"/>
  <c r="C51" i="24"/>
  <c r="D48" i="24"/>
  <c r="M42" i="24"/>
  <c r="M43" i="24" s="1"/>
  <c r="I42" i="24"/>
  <c r="I43" i="24" s="1"/>
  <c r="E43" i="24"/>
  <c r="A40" i="24"/>
  <c r="A36" i="24"/>
  <c r="A37" i="24" s="1"/>
  <c r="C29" i="24"/>
  <c r="C22" i="24"/>
  <c r="C21" i="24"/>
  <c r="N20" i="24"/>
  <c r="N21" i="24" s="1"/>
  <c r="J20" i="24"/>
  <c r="J21" i="24" s="1"/>
  <c r="F21" i="24"/>
  <c r="A14" i="24"/>
  <c r="E7" i="24"/>
  <c r="D4" i="24"/>
  <c r="E4" i="24" s="1"/>
  <c r="F4" i="24" s="1"/>
  <c r="G4" i="24" s="1"/>
  <c r="H4" i="24" s="1"/>
  <c r="I4" i="24" s="1"/>
  <c r="J4" i="24" s="1"/>
  <c r="K4" i="24" s="1"/>
  <c r="L4" i="24" s="1"/>
  <c r="M4" i="24" s="1"/>
  <c r="N4" i="24" s="1"/>
  <c r="O4" i="24" s="1"/>
  <c r="D22" i="16"/>
  <c r="D12" i="16"/>
  <c r="E12" i="16"/>
  <c r="F10" i="18"/>
  <c r="J10" i="18"/>
  <c r="N10" i="18"/>
  <c r="D14" i="18"/>
  <c r="A22" i="18"/>
  <c r="A23" i="18" s="1"/>
  <c r="A24" i="18" s="1"/>
  <c r="A26" i="18" s="1"/>
  <c r="A27" i="18" s="1"/>
  <c r="A9" i="18"/>
  <c r="A10" i="18" s="1"/>
  <c r="A11" i="18" s="1"/>
  <c r="C14" i="16"/>
  <c r="F7" i="24" l="1"/>
  <c r="E55" i="24"/>
  <c r="E44" i="24"/>
  <c r="E45" i="24" s="1"/>
  <c r="H14" i="18"/>
  <c r="L14" i="18"/>
  <c r="E10" i="18"/>
  <c r="A15" i="24"/>
  <c r="C24" i="24" s="1"/>
  <c r="C15" i="24"/>
  <c r="I10" i="18"/>
  <c r="C24" i="18"/>
  <c r="H20" i="24"/>
  <c r="H21" i="24" s="1"/>
  <c r="H22" i="24" s="1"/>
  <c r="H23" i="24" s="1"/>
  <c r="L20" i="24"/>
  <c r="L21" i="24" s="1"/>
  <c r="L22" i="24" s="1"/>
  <c r="L23" i="24" s="1"/>
  <c r="G43" i="24"/>
  <c r="G44" i="24" s="1"/>
  <c r="G45" i="24" s="1"/>
  <c r="K42" i="24"/>
  <c r="K43" i="24" s="1"/>
  <c r="K44" i="24" s="1"/>
  <c r="K45" i="24" s="1"/>
  <c r="O42" i="24"/>
  <c r="O43" i="24" s="1"/>
  <c r="O44" i="24" s="1"/>
  <c r="O45" i="24" s="1"/>
  <c r="O10" i="18"/>
  <c r="K10" i="18"/>
  <c r="G10" i="18"/>
  <c r="O14" i="18"/>
  <c r="K14" i="18"/>
  <c r="G14" i="18"/>
  <c r="I20" i="24"/>
  <c r="I21" i="24" s="1"/>
  <c r="I22" i="24" s="1"/>
  <c r="I23" i="24" s="1"/>
  <c r="M20" i="24"/>
  <c r="C37" i="24"/>
  <c r="H42" i="24"/>
  <c r="H43" i="24" s="1"/>
  <c r="H44" i="24" s="1"/>
  <c r="H45" i="24" s="1"/>
  <c r="L42" i="24"/>
  <c r="L43" i="24" s="1"/>
  <c r="L44" i="24" s="1"/>
  <c r="L45" i="24" s="1"/>
  <c r="M10" i="18"/>
  <c r="G21" i="24"/>
  <c r="G22" i="24" s="1"/>
  <c r="G23" i="24" s="1"/>
  <c r="K20" i="24"/>
  <c r="K21" i="24" s="1"/>
  <c r="K22" i="24" s="1"/>
  <c r="K23" i="24" s="1"/>
  <c r="O20" i="24"/>
  <c r="O21" i="24" s="1"/>
  <c r="O22" i="24" s="1"/>
  <c r="O23" i="24" s="1"/>
  <c r="F43" i="24"/>
  <c r="F44" i="24" s="1"/>
  <c r="F45" i="24" s="1"/>
  <c r="J42" i="24"/>
  <c r="J43" i="24" s="1"/>
  <c r="J44" i="24" s="1"/>
  <c r="J45" i="24" s="1"/>
  <c r="N42" i="24"/>
  <c r="N43" i="24" s="1"/>
  <c r="N44" i="24" s="1"/>
  <c r="N45" i="24" s="1"/>
  <c r="F22" i="24"/>
  <c r="F23" i="24" s="1"/>
  <c r="J22" i="24"/>
  <c r="J23" i="24" s="1"/>
  <c r="N22" i="24"/>
  <c r="N23" i="24" s="1"/>
  <c r="I44" i="24"/>
  <c r="I45" i="24" s="1"/>
  <c r="M44" i="24"/>
  <c r="M45" i="24" s="1"/>
  <c r="P13" i="24"/>
  <c r="P35" i="24"/>
  <c r="A41" i="24"/>
  <c r="P40" i="24"/>
  <c r="P18" i="24"/>
  <c r="D23" i="16"/>
  <c r="D10" i="18"/>
  <c r="C28" i="18"/>
  <c r="A28" i="18"/>
  <c r="G7" i="24" l="1"/>
  <c r="F55" i="24"/>
  <c r="M21" i="24"/>
  <c r="M22" i="24" s="1"/>
  <c r="M23" i="24" s="1"/>
  <c r="E14" i="18"/>
  <c r="J14" i="18"/>
  <c r="N14" i="18"/>
  <c r="H10" i="18"/>
  <c r="L10" i="18"/>
  <c r="F14" i="18"/>
  <c r="E22" i="16"/>
  <c r="M14" i="18"/>
  <c r="D10" i="16"/>
  <c r="D14" i="16" s="1"/>
  <c r="P19" i="24"/>
  <c r="I14" i="18"/>
  <c r="P41" i="24"/>
  <c r="P43" i="24"/>
  <c r="A42" i="24"/>
  <c r="A43" i="24" s="1"/>
  <c r="E10" i="16"/>
  <c r="E14" i="16" s="1"/>
  <c r="H7" i="24" l="1"/>
  <c r="G55" i="24"/>
  <c r="P10" i="18"/>
  <c r="O11" i="18" s="1"/>
  <c r="D21" i="16"/>
  <c r="D24" i="16" s="1"/>
  <c r="G11" i="18"/>
  <c r="L11" i="18"/>
  <c r="N11" i="18"/>
  <c r="J11" i="18"/>
  <c r="E11" i="18"/>
  <c r="H11" i="18"/>
  <c r="M11" i="18"/>
  <c r="P21" i="24"/>
  <c r="P14" i="18"/>
  <c r="P23" i="18"/>
  <c r="A44" i="24"/>
  <c r="C46" i="24" s="1"/>
  <c r="C44" i="24"/>
  <c r="G48" i="24"/>
  <c r="C43" i="24"/>
  <c r="P27" i="18"/>
  <c r="E21" i="16"/>
  <c r="E24" i="16" s="1"/>
  <c r="K11" i="18" l="1"/>
  <c r="I7" i="24"/>
  <c r="H55" i="24"/>
  <c r="O24" i="18"/>
  <c r="O14" i="24" s="1"/>
  <c r="O15" i="24" s="1"/>
  <c r="O24" i="24" s="1"/>
  <c r="O25" i="24" s="1"/>
  <c r="I11" i="18"/>
  <c r="D11" i="18"/>
  <c r="D24" i="18" s="1"/>
  <c r="D15" i="24" s="1"/>
  <c r="D24" i="24" s="1"/>
  <c r="D25" i="24" s="1"/>
  <c r="F11" i="18"/>
  <c r="K24" i="18"/>
  <c r="K14" i="24" s="1"/>
  <c r="K15" i="24" s="1"/>
  <c r="K24" i="24" s="1"/>
  <c r="K25" i="24" s="1"/>
  <c r="K57" i="24" s="1"/>
  <c r="K26" i="41" s="1"/>
  <c r="K29" i="41" s="1"/>
  <c r="E24" i="18"/>
  <c r="E15" i="24" s="1"/>
  <c r="E24" i="24" s="1"/>
  <c r="E25" i="24" s="1"/>
  <c r="L24" i="18"/>
  <c r="L14" i="24" s="1"/>
  <c r="L15" i="24" s="1"/>
  <c r="L24" i="24" s="1"/>
  <c r="M24" i="18"/>
  <c r="M14" i="24" s="1"/>
  <c r="M15" i="24" s="1"/>
  <c r="M24" i="24" s="1"/>
  <c r="M25" i="24" s="1"/>
  <c r="J24" i="18"/>
  <c r="J14" i="24" s="1"/>
  <c r="J15" i="24" s="1"/>
  <c r="J24" i="24" s="1"/>
  <c r="J25" i="24" s="1"/>
  <c r="J57" i="24" s="1"/>
  <c r="I24" i="18"/>
  <c r="I14" i="24" s="1"/>
  <c r="I15" i="24" s="1"/>
  <c r="I24" i="24" s="1"/>
  <c r="N24" i="18"/>
  <c r="N14" i="24" s="1"/>
  <c r="N15" i="24" s="1"/>
  <c r="N24" i="24" s="1"/>
  <c r="H24" i="18"/>
  <c r="H14" i="24" s="1"/>
  <c r="H15" i="24" s="1"/>
  <c r="H24" i="24" s="1"/>
  <c r="G24" i="18"/>
  <c r="G15" i="24" s="1"/>
  <c r="G24" i="24" s="1"/>
  <c r="I15" i="18"/>
  <c r="I28" i="18" s="1"/>
  <c r="I36" i="24" s="1"/>
  <c r="I37" i="24" s="1"/>
  <c r="I46" i="24" s="1"/>
  <c r="G15" i="18"/>
  <c r="G28" i="18" s="1"/>
  <c r="G37" i="24" s="1"/>
  <c r="G46" i="24" s="1"/>
  <c r="G47" i="24" s="1"/>
  <c r="O15" i="18"/>
  <c r="O28" i="18" s="1"/>
  <c r="O36" i="24" s="1"/>
  <c r="O37" i="24" s="1"/>
  <c r="O46" i="24" s="1"/>
  <c r="K15" i="18"/>
  <c r="K28" i="18" s="1"/>
  <c r="K36" i="24" s="1"/>
  <c r="K37" i="24" s="1"/>
  <c r="K46" i="24" s="1"/>
  <c r="L15" i="18"/>
  <c r="L28" i="18" s="1"/>
  <c r="L36" i="24" s="1"/>
  <c r="L37" i="24" s="1"/>
  <c r="L46" i="24" s="1"/>
  <c r="E15" i="18"/>
  <c r="E28" i="18" s="1"/>
  <c r="E37" i="24" s="1"/>
  <c r="E46" i="24" s="1"/>
  <c r="E47" i="24" s="1"/>
  <c r="H15" i="18"/>
  <c r="H28" i="18" s="1"/>
  <c r="H36" i="24" s="1"/>
  <c r="H37" i="24" s="1"/>
  <c r="H46" i="24" s="1"/>
  <c r="H47" i="24" s="1"/>
  <c r="J15" i="18"/>
  <c r="J28" i="18" s="1"/>
  <c r="J36" i="24" s="1"/>
  <c r="J37" i="24" s="1"/>
  <c r="J46" i="24" s="1"/>
  <c r="D15" i="18"/>
  <c r="F15" i="18"/>
  <c r="F28" i="18" s="1"/>
  <c r="F37" i="24" s="1"/>
  <c r="F46" i="24" s="1"/>
  <c r="F47" i="24" s="1"/>
  <c r="N15" i="18"/>
  <c r="N28" i="18" s="1"/>
  <c r="N36" i="24" s="1"/>
  <c r="N37" i="24" s="1"/>
  <c r="N46" i="24" s="1"/>
  <c r="M15" i="18"/>
  <c r="M28" i="18" s="1"/>
  <c r="M36" i="24" s="1"/>
  <c r="M37" i="24" s="1"/>
  <c r="M46" i="24" s="1"/>
  <c r="F24" i="18"/>
  <c r="P44" i="24"/>
  <c r="P45" i="24" s="1"/>
  <c r="P39" i="24"/>
  <c r="D28" i="18"/>
  <c r="L25" i="24" l="1"/>
  <c r="L57" i="24"/>
  <c r="P11" i="18"/>
  <c r="O57" i="24"/>
  <c r="O26" i="41" s="1"/>
  <c r="N25" i="24"/>
  <c r="N57" i="24" s="1"/>
  <c r="M57" i="24"/>
  <c r="M26" i="41" s="1"/>
  <c r="M29" i="41" s="1"/>
  <c r="J26" i="41"/>
  <c r="J29" i="41" s="1"/>
  <c r="G25" i="24"/>
  <c r="G57" i="24" s="1"/>
  <c r="G26" i="41" s="1"/>
  <c r="G29" i="41" s="1"/>
  <c r="J7" i="24"/>
  <c r="I55" i="24"/>
  <c r="I25" i="24"/>
  <c r="I57" i="24" s="1"/>
  <c r="H25" i="24"/>
  <c r="H57" i="24" s="1"/>
  <c r="P24" i="18"/>
  <c r="D37" i="24"/>
  <c r="D46" i="24" s="1"/>
  <c r="F15" i="24"/>
  <c r="F24" i="24" s="1"/>
  <c r="E57" i="24"/>
  <c r="N47" i="24"/>
  <c r="N65" i="24" s="1"/>
  <c r="N58" i="41" s="1"/>
  <c r="N61" i="41" s="1"/>
  <c r="M47" i="24"/>
  <c r="M65" i="24" s="1"/>
  <c r="M58" i="41" s="1"/>
  <c r="M61" i="41" s="1"/>
  <c r="L47" i="24"/>
  <c r="K47" i="24"/>
  <c r="K65" i="24" s="1"/>
  <c r="K58" i="41" s="1"/>
  <c r="K61" i="41" s="1"/>
  <c r="J47" i="24"/>
  <c r="J65" i="24" s="1"/>
  <c r="J58" i="41" s="1"/>
  <c r="J61" i="41" s="1"/>
  <c r="I47" i="24"/>
  <c r="I65" i="24" s="1"/>
  <c r="H65" i="24"/>
  <c r="G65" i="24"/>
  <c r="G58" i="41" s="1"/>
  <c r="G61" i="41" s="1"/>
  <c r="O47" i="24"/>
  <c r="O65" i="24" s="1"/>
  <c r="O58" i="41" s="1"/>
  <c r="P15" i="18"/>
  <c r="F65" i="24"/>
  <c r="P17" i="24"/>
  <c r="P28" i="18"/>
  <c r="I58" i="41" l="1"/>
  <c r="I61" i="41" s="1"/>
  <c r="H26" i="41"/>
  <c r="H29" i="41" s="1"/>
  <c r="F58" i="41"/>
  <c r="F61" i="41" s="1"/>
  <c r="I26" i="41"/>
  <c r="I29" i="41" s="1"/>
  <c r="H58" i="41"/>
  <c r="H61" i="41" s="1"/>
  <c r="L26" i="41"/>
  <c r="L29" i="41" s="1"/>
  <c r="E26" i="41"/>
  <c r="E29" i="41" s="1"/>
  <c r="L65" i="24"/>
  <c r="L58" i="41" s="1"/>
  <c r="L61" i="41" s="1"/>
  <c r="N26" i="41"/>
  <c r="N29" i="41" s="1"/>
  <c r="D47" i="24"/>
  <c r="D49" i="24" s="1"/>
  <c r="K7" i="24"/>
  <c r="J55" i="24"/>
  <c r="F25" i="24"/>
  <c r="F57" i="24" s="1"/>
  <c r="E65" i="24"/>
  <c r="P14" i="24"/>
  <c r="P15" i="24"/>
  <c r="P22" i="24"/>
  <c r="P23" i="24" s="1"/>
  <c r="P47" i="24" l="1"/>
  <c r="E58" i="41"/>
  <c r="E61" i="41" s="1"/>
  <c r="F26" i="41"/>
  <c r="F29" i="41" s="1"/>
  <c r="L7" i="24"/>
  <c r="K55" i="24"/>
  <c r="P36" i="24"/>
  <c r="P25" i="24"/>
  <c r="M7" i="24" l="1"/>
  <c r="L55" i="24"/>
  <c r="P24" i="24"/>
  <c r="D57" i="24"/>
  <c r="P37" i="24"/>
  <c r="D65" i="24"/>
  <c r="D27" i="24"/>
  <c r="D58" i="41" l="1"/>
  <c r="D61" i="41" s="1"/>
  <c r="D26" i="41"/>
  <c r="D15" i="41"/>
  <c r="D29" i="41"/>
  <c r="N7" i="24"/>
  <c r="M55" i="24"/>
  <c r="D29" i="24"/>
  <c r="E27" i="24" s="1"/>
  <c r="E28" i="24" s="1"/>
  <c r="D58" i="24"/>
  <c r="D60" i="24" s="1"/>
  <c r="D59" i="24"/>
  <c r="P46" i="24"/>
  <c r="D28" i="24"/>
  <c r="D47" i="41" l="1"/>
  <c r="E47" i="41" s="1"/>
  <c r="O7" i="24"/>
  <c r="O55" i="24" s="1"/>
  <c r="N55" i="24"/>
  <c r="E15" i="41"/>
  <c r="D28" i="41"/>
  <c r="D30" i="41" s="1"/>
  <c r="D21" i="41"/>
  <c r="E59" i="24"/>
  <c r="E29" i="24"/>
  <c r="F27" i="24" s="1"/>
  <c r="F58" i="24" s="1"/>
  <c r="D51" i="24"/>
  <c r="D66" i="24"/>
  <c r="D68" i="24" s="1"/>
  <c r="D67" i="24"/>
  <c r="E58" i="24"/>
  <c r="E60" i="24" s="1"/>
  <c r="D50" i="24"/>
  <c r="E60" i="41" l="1"/>
  <c r="E62" i="41" s="1"/>
  <c r="D53" i="41"/>
  <c r="D60" i="41"/>
  <c r="D62" i="41" s="1"/>
  <c r="F15" i="41"/>
  <c r="E21" i="41"/>
  <c r="F28" i="41"/>
  <c r="F30" i="41" s="1"/>
  <c r="E28" i="41"/>
  <c r="E30" i="41" s="1"/>
  <c r="D53" i="24"/>
  <c r="E49" i="24"/>
  <c r="F47" i="41"/>
  <c r="F60" i="41"/>
  <c r="F62" i="41" s="1"/>
  <c r="E53" i="41"/>
  <c r="F59" i="24"/>
  <c r="F60" i="24" s="1"/>
  <c r="F28" i="24"/>
  <c r="F29" i="24"/>
  <c r="G27" i="24" s="1"/>
  <c r="G47" i="41" l="1"/>
  <c r="G60" i="41" s="1"/>
  <c r="G62" i="41" s="1"/>
  <c r="F53" i="41"/>
  <c r="G15" i="41"/>
  <c r="F21" i="41"/>
  <c r="G28" i="24"/>
  <c r="G59" i="24"/>
  <c r="G58" i="24"/>
  <c r="E66" i="24"/>
  <c r="E68" i="24" s="1"/>
  <c r="E50" i="24"/>
  <c r="E51" i="24"/>
  <c r="E53" i="24" s="1"/>
  <c r="E67" i="24"/>
  <c r="G29" i="24"/>
  <c r="H27" i="24" s="1"/>
  <c r="H59" i="24" s="1"/>
  <c r="H15" i="41" l="1"/>
  <c r="G21" i="41"/>
  <c r="H28" i="41"/>
  <c r="H30" i="41" s="1"/>
  <c r="G28" i="41"/>
  <c r="G30" i="41" s="1"/>
  <c r="H47" i="41"/>
  <c r="H60" i="41" s="1"/>
  <c r="H62" i="41" s="1"/>
  <c r="G53" i="41"/>
  <c r="G60" i="24"/>
  <c r="F49" i="24"/>
  <c r="F66" i="24" s="1"/>
  <c r="H28" i="24"/>
  <c r="H29" i="24"/>
  <c r="I27" i="24" s="1"/>
  <c r="I28" i="24" s="1"/>
  <c r="H58" i="24"/>
  <c r="H60" i="24" s="1"/>
  <c r="I47" i="41" l="1"/>
  <c r="I60" i="41" s="1"/>
  <c r="I62" i="41" s="1"/>
  <c r="H53" i="41"/>
  <c r="I15" i="41"/>
  <c r="H21" i="41"/>
  <c r="F51" i="24"/>
  <c r="F53" i="24" s="1"/>
  <c r="F50" i="24"/>
  <c r="F67" i="24"/>
  <c r="F68" i="24" s="1"/>
  <c r="I59" i="24"/>
  <c r="I29" i="24"/>
  <c r="J27" i="24" s="1"/>
  <c r="J59" i="24" s="1"/>
  <c r="I58" i="24"/>
  <c r="I60" i="24" l="1"/>
  <c r="J15" i="41"/>
  <c r="J28" i="41" s="1"/>
  <c r="J30" i="41" s="1"/>
  <c r="I21" i="41"/>
  <c r="I28" i="41"/>
  <c r="I30" i="41" s="1"/>
  <c r="J47" i="41"/>
  <c r="J60" i="41" s="1"/>
  <c r="J62" i="41" s="1"/>
  <c r="I53" i="41"/>
  <c r="G49" i="24"/>
  <c r="J58" i="24"/>
  <c r="J60" i="24" s="1"/>
  <c r="J28" i="24"/>
  <c r="J29" i="24"/>
  <c r="K27" i="24" s="1"/>
  <c r="K28" i="24" s="1"/>
  <c r="K47" i="41" l="1"/>
  <c r="K60" i="41" s="1"/>
  <c r="K62" i="41" s="1"/>
  <c r="J53" i="41"/>
  <c r="K15" i="41"/>
  <c r="J21" i="41"/>
  <c r="G67" i="24"/>
  <c r="G66" i="24"/>
  <c r="G50" i="24"/>
  <c r="G51" i="24"/>
  <c r="H49" i="24" s="1"/>
  <c r="H50" i="24" s="1"/>
  <c r="K58" i="24"/>
  <c r="K59" i="24"/>
  <c r="K29" i="24"/>
  <c r="L27" i="24" s="1"/>
  <c r="L59" i="24" l="1"/>
  <c r="L60" i="24" s="1"/>
  <c r="L58" i="24"/>
  <c r="K60" i="24"/>
  <c r="L15" i="41"/>
  <c r="L28" i="41" s="1"/>
  <c r="L30" i="41" s="1"/>
  <c r="K21" i="41"/>
  <c r="K28" i="41"/>
  <c r="K30" i="41" s="1"/>
  <c r="L47" i="41"/>
  <c r="L60" i="41" s="1"/>
  <c r="L62" i="41" s="1"/>
  <c r="K53" i="41"/>
  <c r="G68" i="24"/>
  <c r="G53" i="24"/>
  <c r="H66" i="24"/>
  <c r="H67" i="24"/>
  <c r="H51" i="24"/>
  <c r="I49" i="24" s="1"/>
  <c r="L29" i="24"/>
  <c r="M27" i="24" s="1"/>
  <c r="L28" i="24"/>
  <c r="H68" i="24" l="1"/>
  <c r="M59" i="24"/>
  <c r="M58" i="24"/>
  <c r="M47" i="41"/>
  <c r="M60" i="41" s="1"/>
  <c r="M62" i="41" s="1"/>
  <c r="L53" i="41"/>
  <c r="M15" i="41"/>
  <c r="L21" i="41"/>
  <c r="H53" i="24"/>
  <c r="M28" i="24"/>
  <c r="M29" i="24"/>
  <c r="N27" i="24" s="1"/>
  <c r="I51" i="24"/>
  <c r="J49" i="24" s="1"/>
  <c r="I67" i="24"/>
  <c r="I66" i="24"/>
  <c r="I68" i="24" s="1"/>
  <c r="I50" i="24"/>
  <c r="M60" i="24" l="1"/>
  <c r="N28" i="24"/>
  <c r="N58" i="24"/>
  <c r="N59" i="24"/>
  <c r="N15" i="41"/>
  <c r="N28" i="41" s="1"/>
  <c r="N30" i="41" s="1"/>
  <c r="M21" i="41"/>
  <c r="M28" i="41"/>
  <c r="M30" i="41" s="1"/>
  <c r="N47" i="41"/>
  <c r="N60" i="41" s="1"/>
  <c r="N62" i="41" s="1"/>
  <c r="M53" i="41"/>
  <c r="N29" i="24"/>
  <c r="O27" i="24" s="1"/>
  <c r="I53" i="24"/>
  <c r="J51" i="24"/>
  <c r="J53" i="24" s="1"/>
  <c r="J67" i="24"/>
  <c r="J66" i="24"/>
  <c r="J50" i="24"/>
  <c r="O59" i="24" l="1"/>
  <c r="O58" i="24"/>
  <c r="J68" i="24"/>
  <c r="N60" i="24"/>
  <c r="O47" i="41"/>
  <c r="N53" i="41"/>
  <c r="O15" i="41"/>
  <c r="N21" i="41"/>
  <c r="O29" i="24"/>
  <c r="K49" i="24"/>
  <c r="K66" i="24" s="1"/>
  <c r="O28" i="24"/>
  <c r="P27" i="24"/>
  <c r="O60" i="24" l="1"/>
  <c r="P16" i="41"/>
  <c r="P48" i="41"/>
  <c r="K67" i="24"/>
  <c r="K68" i="24" s="1"/>
  <c r="K50" i="24"/>
  <c r="K51" i="24"/>
  <c r="K53" i="24" s="1"/>
  <c r="P28" i="24"/>
  <c r="Q48" i="41" l="1"/>
  <c r="Q16" i="41"/>
  <c r="L49" i="24"/>
  <c r="L66" i="24" l="1"/>
  <c r="L68" i="24" s="1"/>
  <c r="L67" i="24"/>
  <c r="R16" i="41"/>
  <c r="R48" i="41"/>
  <c r="L51" i="24"/>
  <c r="L53" i="24" s="1"/>
  <c r="L50" i="24"/>
  <c r="S48" i="41" l="1"/>
  <c r="S16" i="41"/>
  <c r="M49" i="24"/>
  <c r="M67" i="24" l="1"/>
  <c r="M66" i="24"/>
  <c r="T16" i="41"/>
  <c r="T48" i="41"/>
  <c r="M50" i="24"/>
  <c r="M51" i="24"/>
  <c r="M53" i="24" s="1"/>
  <c r="M68" i="24" l="1"/>
  <c r="U48" i="41"/>
  <c r="U16" i="41"/>
  <c r="N49" i="24"/>
  <c r="N66" i="24" l="1"/>
  <c r="N67" i="24"/>
  <c r="V16" i="41"/>
  <c r="V48" i="41"/>
  <c r="N50" i="24"/>
  <c r="N51" i="24"/>
  <c r="O49" i="24" s="1"/>
  <c r="N68" i="24" l="1"/>
  <c r="O67" i="24"/>
  <c r="O66" i="24"/>
  <c r="W48" i="41"/>
  <c r="W16" i="41"/>
  <c r="N53" i="24"/>
  <c r="O51" i="24"/>
  <c r="O53" i="24" s="1"/>
  <c r="O50" i="24"/>
  <c r="P49" i="24"/>
  <c r="P50" i="24" s="1"/>
  <c r="O68" i="24" l="1"/>
  <c r="X16" i="41"/>
  <c r="X48" i="41"/>
  <c r="Y48" i="41" l="1"/>
  <c r="Y16" i="41"/>
  <c r="Z5" i="41" l="1"/>
  <c r="Z6" i="41" s="1"/>
  <c r="Z8" i="41" s="1"/>
  <c r="Z37" i="41"/>
  <c r="Z38" i="41" l="1"/>
  <c r="Z40" i="41" s="1"/>
  <c r="Z4" i="41"/>
  <c r="AW9" i="41"/>
  <c r="AR9" i="41"/>
  <c r="AM9" i="41"/>
  <c r="AT9" i="41"/>
  <c r="AS9" i="41"/>
  <c r="AN9" i="41"/>
  <c r="AV9" i="41"/>
  <c r="AP9" i="41"/>
  <c r="AO9" i="41"/>
  <c r="AU9" i="41"/>
  <c r="AL9" i="41"/>
  <c r="AQ9" i="41"/>
  <c r="AA4" i="41" l="1"/>
  <c r="AA6" i="41"/>
  <c r="Z27" i="41"/>
  <c r="AR41" i="41"/>
  <c r="AW41" i="41"/>
  <c r="AT41" i="41"/>
  <c r="AQ41" i="41"/>
  <c r="AO41" i="41"/>
  <c r="AN41" i="41"/>
  <c r="AL41" i="41"/>
  <c r="AP41" i="41"/>
  <c r="AV41" i="41"/>
  <c r="AM41" i="41"/>
  <c r="AS41" i="41"/>
  <c r="AU41" i="41"/>
  <c r="U11" i="41"/>
  <c r="P11" i="41"/>
  <c r="V11" i="41"/>
  <c r="Y11" i="41"/>
  <c r="Q11" i="41"/>
  <c r="X11" i="41"/>
  <c r="O11" i="41"/>
  <c r="O12" i="41" s="1"/>
  <c r="W11" i="41"/>
  <c r="T11" i="41"/>
  <c r="R11" i="41"/>
  <c r="S11" i="41"/>
  <c r="Z36" i="41"/>
  <c r="R12" i="41" l="1"/>
  <c r="R20" i="41" s="1"/>
  <c r="X12" i="41"/>
  <c r="X20" i="41" s="1"/>
  <c r="P12" i="41"/>
  <c r="P20" i="41" s="1"/>
  <c r="P21" i="41" s="1"/>
  <c r="T12" i="41"/>
  <c r="T20" i="41" s="1"/>
  <c r="Q12" i="41"/>
  <c r="Q20" i="41" s="1"/>
  <c r="U12" i="41"/>
  <c r="U20" i="41" s="1"/>
  <c r="W12" i="41"/>
  <c r="W20" i="41" s="1"/>
  <c r="W21" i="41" s="1"/>
  <c r="Y12" i="41"/>
  <c r="Y20" i="41" s="1"/>
  <c r="S12" i="41"/>
  <c r="S20" i="41" s="1"/>
  <c r="S21" i="41" s="1"/>
  <c r="V12" i="41"/>
  <c r="V20" i="41" s="1"/>
  <c r="O19" i="41"/>
  <c r="Z17" i="41"/>
  <c r="Z18" i="41"/>
  <c r="AA38" i="41"/>
  <c r="Z59" i="41"/>
  <c r="AA36" i="41"/>
  <c r="V43" i="41"/>
  <c r="U43" i="41"/>
  <c r="R43" i="41"/>
  <c r="S43" i="41"/>
  <c r="Q43" i="41"/>
  <c r="Y43" i="41"/>
  <c r="W43" i="41"/>
  <c r="O43" i="41"/>
  <c r="O44" i="41" s="1"/>
  <c r="X43" i="41"/>
  <c r="T43" i="41"/>
  <c r="P43" i="41"/>
  <c r="AB4" i="41"/>
  <c r="AA27" i="41"/>
  <c r="Q31" i="41" l="1"/>
  <c r="Q29" i="41" s="1"/>
  <c r="Q21" i="41"/>
  <c r="R21" i="41"/>
  <c r="S31" i="41"/>
  <c r="S29" i="41" s="1"/>
  <c r="R31" i="41"/>
  <c r="R29" i="41" s="1"/>
  <c r="U31" i="41"/>
  <c r="U29" i="41" s="1"/>
  <c r="U21" i="41"/>
  <c r="Z31" i="41"/>
  <c r="Z29" i="41" s="1"/>
  <c r="Y31" i="41"/>
  <c r="Y29" i="41" s="1"/>
  <c r="Y21" i="41"/>
  <c r="V31" i="41"/>
  <c r="V29" i="41" s="1"/>
  <c r="V21" i="41"/>
  <c r="W31" i="41"/>
  <c r="W29" i="41" s="1"/>
  <c r="X31" i="41"/>
  <c r="X29" i="41" s="1"/>
  <c r="X21" i="41"/>
  <c r="T31" i="41"/>
  <c r="T29" i="41" s="1"/>
  <c r="T21" i="41"/>
  <c r="T44" i="41"/>
  <c r="T52" i="41" s="1"/>
  <c r="Y44" i="41"/>
  <c r="Y52" i="41" s="1"/>
  <c r="U44" i="41"/>
  <c r="U52" i="41" s="1"/>
  <c r="X44" i="41"/>
  <c r="X52" i="41" s="1"/>
  <c r="Q44" i="41"/>
  <c r="Q52" i="41" s="1"/>
  <c r="V44" i="41"/>
  <c r="V52" i="41" s="1"/>
  <c r="S44" i="41"/>
  <c r="S52" i="41" s="1"/>
  <c r="P44" i="41"/>
  <c r="P52" i="41" s="1"/>
  <c r="P53" i="41" s="1"/>
  <c r="W44" i="41"/>
  <c r="W52" i="41" s="1"/>
  <c r="W53" i="41" s="1"/>
  <c r="R44" i="41"/>
  <c r="R52" i="41" s="1"/>
  <c r="O51" i="41"/>
  <c r="O31" i="41"/>
  <c r="O29" i="41" s="1"/>
  <c r="O21" i="41"/>
  <c r="P31" i="41"/>
  <c r="P29" i="41" s="1"/>
  <c r="Z21" i="41"/>
  <c r="AA18" i="41"/>
  <c r="Z49" i="41"/>
  <c r="Z50" i="41"/>
  <c r="L84" i="24"/>
  <c r="U28" i="41"/>
  <c r="U30" i="41" s="1"/>
  <c r="J85" i="24"/>
  <c r="K84" i="24"/>
  <c r="AA17" i="41"/>
  <c r="AA29" i="41"/>
  <c r="AC4" i="41"/>
  <c r="AB27" i="41"/>
  <c r="AB36" i="41"/>
  <c r="AA59" i="41"/>
  <c r="AA61" i="41" s="1"/>
  <c r="Q28" i="41" l="1"/>
  <c r="Q30" i="41" s="1"/>
  <c r="V28" i="41"/>
  <c r="V30" i="41" s="1"/>
  <c r="S28" i="41"/>
  <c r="S30" i="41" s="1"/>
  <c r="R28" i="41"/>
  <c r="R30" i="41" s="1"/>
  <c r="W28" i="41"/>
  <c r="W30" i="41" s="1"/>
  <c r="T63" i="41"/>
  <c r="T61" i="41" s="1"/>
  <c r="T53" i="41"/>
  <c r="U63" i="41"/>
  <c r="U61" i="41" s="1"/>
  <c r="U53" i="41"/>
  <c r="V53" i="41"/>
  <c r="V63" i="41"/>
  <c r="V61" i="41" s="1"/>
  <c r="R63" i="41"/>
  <c r="R61" i="41" s="1"/>
  <c r="R53" i="41"/>
  <c r="Q63" i="41"/>
  <c r="Q61" i="41" s="1"/>
  <c r="Y63" i="41"/>
  <c r="Y61" i="41" s="1"/>
  <c r="Y53" i="41"/>
  <c r="Z63" i="41"/>
  <c r="Z61" i="41" s="1"/>
  <c r="S63" i="41"/>
  <c r="S61" i="41" s="1"/>
  <c r="X63" i="41"/>
  <c r="X61" i="41" s="1"/>
  <c r="X53" i="41"/>
  <c r="S53" i="41"/>
  <c r="W63" i="41"/>
  <c r="W61" i="41" s="1"/>
  <c r="X28" i="41"/>
  <c r="X30" i="41" s="1"/>
  <c r="Q53" i="41"/>
  <c r="T28" i="41"/>
  <c r="T30" i="41" s="1"/>
  <c r="Z28" i="41"/>
  <c r="Z30" i="41" s="1"/>
  <c r="Y28" i="41"/>
  <c r="Y30" i="41" s="1"/>
  <c r="O28" i="41"/>
  <c r="O30" i="41" s="1"/>
  <c r="O53" i="41"/>
  <c r="O83" i="24"/>
  <c r="O63" i="41"/>
  <c r="O61" i="41" s="1"/>
  <c r="M84" i="24"/>
  <c r="O84" i="24"/>
  <c r="P63" i="41"/>
  <c r="P61" i="41" s="1"/>
  <c r="N84" i="24"/>
  <c r="P28" i="41"/>
  <c r="P30" i="41" s="1"/>
  <c r="AB18" i="41"/>
  <c r="Z53" i="41"/>
  <c r="AA50" i="41"/>
  <c r="U60" i="41"/>
  <c r="U62" i="41" s="1"/>
  <c r="T60" i="41"/>
  <c r="T62" i="41" s="1"/>
  <c r="K85" i="24"/>
  <c r="K74" i="24" s="1"/>
  <c r="K73" i="24" s="1"/>
  <c r="K76" i="24" s="1"/>
  <c r="J74" i="24"/>
  <c r="J73" i="24" s="1"/>
  <c r="J76" i="24" s="1"/>
  <c r="AB17" i="41"/>
  <c r="AB29" i="41"/>
  <c r="AA49" i="41"/>
  <c r="AD4" i="41"/>
  <c r="AC27" i="41"/>
  <c r="AC36" i="41"/>
  <c r="AB59" i="41"/>
  <c r="AB61" i="41" s="1"/>
  <c r="AA21" i="41"/>
  <c r="AA28" i="41"/>
  <c r="AA30" i="41" s="1"/>
  <c r="R60" i="41"/>
  <c r="R62" i="41" s="1"/>
  <c r="X60" i="41" l="1"/>
  <c r="X62" i="41" s="1"/>
  <c r="Y60" i="41"/>
  <c r="Y62" i="41" s="1"/>
  <c r="V60" i="41"/>
  <c r="V62" i="41" s="1"/>
  <c r="Q60" i="41"/>
  <c r="Q62" i="41" s="1"/>
  <c r="S60" i="41"/>
  <c r="S62" i="41" s="1"/>
  <c r="Z60" i="41"/>
  <c r="Z62" i="41" s="1"/>
  <c r="W60" i="41"/>
  <c r="W62" i="41" s="1"/>
  <c r="O60" i="41"/>
  <c r="O62" i="41" s="1"/>
  <c r="P60" i="41"/>
  <c r="P62" i="41" s="1"/>
  <c r="N85" i="24"/>
  <c r="N74" i="24" s="1"/>
  <c r="N73" i="24" s="1"/>
  <c r="N76" i="24" s="1"/>
  <c r="L85" i="24"/>
  <c r="L74" i="24" s="1"/>
  <c r="L73" i="24" s="1"/>
  <c r="L76" i="24" s="1"/>
  <c r="O85" i="24"/>
  <c r="O74" i="24" s="1"/>
  <c r="O73" i="24" s="1"/>
  <c r="O76" i="24" s="1"/>
  <c r="M85" i="24"/>
  <c r="M74" i="24" s="1"/>
  <c r="M73" i="24" s="1"/>
  <c r="M76" i="24" s="1"/>
  <c r="AC18" i="41"/>
  <c r="AB28" i="41"/>
  <c r="AB30" i="41" s="1"/>
  <c r="AB50" i="41"/>
  <c r="AB49" i="41"/>
  <c r="AA53" i="41"/>
  <c r="AA60" i="41"/>
  <c r="AA62" i="41" s="1"/>
  <c r="AE4" i="41"/>
  <c r="AD27" i="41"/>
  <c r="AC59" i="41"/>
  <c r="AC61" i="41" s="1"/>
  <c r="AD36" i="41"/>
  <c r="AC17" i="41"/>
  <c r="AC29" i="41"/>
  <c r="AB21" i="41"/>
  <c r="AC28" i="41" l="1"/>
  <c r="AC30" i="41" s="1"/>
  <c r="AD18" i="41"/>
  <c r="AB60" i="41"/>
  <c r="AB62" i="41" s="1"/>
  <c r="AC50" i="41"/>
  <c r="AD59" i="41"/>
  <c r="AD61" i="41" s="1"/>
  <c r="AE36" i="41"/>
  <c r="AD17" i="41"/>
  <c r="AD29" i="41"/>
  <c r="AC21" i="41"/>
  <c r="AF4" i="41"/>
  <c r="AE27" i="41"/>
  <c r="AC49" i="41"/>
  <c r="AC60" i="41" s="1"/>
  <c r="AC62" i="41" s="1"/>
  <c r="AB53" i="41"/>
  <c r="AE18" i="41" l="1"/>
  <c r="AD50" i="41"/>
  <c r="AF27" i="41"/>
  <c r="AG4" i="41"/>
  <c r="AD21" i="41"/>
  <c r="AD28" i="41"/>
  <c r="AD30" i="41" s="1"/>
  <c r="AE59" i="41"/>
  <c r="AE61" i="41" s="1"/>
  <c r="AF36" i="41"/>
  <c r="AE17" i="41"/>
  <c r="AE29" i="41"/>
  <c r="AD49" i="41"/>
  <c r="AC53" i="41"/>
  <c r="AF18" i="41" l="1"/>
  <c r="AD60" i="41"/>
  <c r="AD62" i="41" s="1"/>
  <c r="AE50" i="41"/>
  <c r="AE21" i="41"/>
  <c r="AG36" i="41"/>
  <c r="AF59" i="41"/>
  <c r="AE28" i="41"/>
  <c r="AE30" i="41" s="1"/>
  <c r="AE49" i="41"/>
  <c r="AD53" i="41"/>
  <c r="AG27" i="41"/>
  <c r="AH4" i="41"/>
  <c r="AF17" i="41"/>
  <c r="AF29" i="41"/>
  <c r="AG18" i="41" l="1"/>
  <c r="AE60" i="41"/>
  <c r="AE62" i="41" s="1"/>
  <c r="AF50" i="41"/>
  <c r="AF21" i="41"/>
  <c r="AH36" i="41"/>
  <c r="AG59" i="41"/>
  <c r="AF49" i="41"/>
  <c r="AF60" i="41" s="1"/>
  <c r="AF62" i="41" s="1"/>
  <c r="AF61" i="41"/>
  <c r="AI4" i="41"/>
  <c r="AH27" i="41"/>
  <c r="AE53" i="41"/>
  <c r="AF28" i="41"/>
  <c r="AF30" i="41" s="1"/>
  <c r="AG17" i="41"/>
  <c r="AG29" i="41"/>
  <c r="AH18" i="41" l="1"/>
  <c r="AG50" i="41"/>
  <c r="AJ4" i="41"/>
  <c r="AI27" i="41"/>
  <c r="AI36" i="41"/>
  <c r="AH59" i="41"/>
  <c r="AG21" i="41"/>
  <c r="AG28" i="41"/>
  <c r="AG30" i="41" s="1"/>
  <c r="AH17" i="41"/>
  <c r="AH29" i="41"/>
  <c r="AG49" i="41"/>
  <c r="AG61" i="41"/>
  <c r="AF53" i="41"/>
  <c r="AH50" i="41" l="1"/>
  <c r="AI18" i="41"/>
  <c r="AG60" i="41"/>
  <c r="AG62" i="41" s="1"/>
  <c r="AH21" i="41"/>
  <c r="AJ36" i="41"/>
  <c r="AI59" i="41"/>
  <c r="AH49" i="41"/>
  <c r="AH61" i="41"/>
  <c r="AG53" i="41"/>
  <c r="AH28" i="41"/>
  <c r="AH30" i="41" s="1"/>
  <c r="AI17" i="41"/>
  <c r="AI29" i="41"/>
  <c r="AK4" i="41"/>
  <c r="AJ27" i="41"/>
  <c r="AJ18" i="41" s="1"/>
  <c r="AH60" i="41" l="1"/>
  <c r="AH62" i="41" s="1"/>
  <c r="AI50" i="41"/>
  <c r="AJ59" i="41"/>
  <c r="AK36" i="41"/>
  <c r="AM7" i="41"/>
  <c r="AL10" i="41" s="1"/>
  <c r="AM10" i="41" s="1"/>
  <c r="AN10" i="41" s="1"/>
  <c r="AO10" i="41" s="1"/>
  <c r="AP10" i="41" s="1"/>
  <c r="AQ10" i="41" s="1"/>
  <c r="AR10" i="41" s="1"/>
  <c r="AS10" i="41" s="1"/>
  <c r="AT10" i="41" s="1"/>
  <c r="AU10" i="41" s="1"/>
  <c r="AV10" i="41" s="1"/>
  <c r="AW10" i="41" s="1"/>
  <c r="AK27" i="41"/>
  <c r="AK18" i="41" s="1"/>
  <c r="AI49" i="41"/>
  <c r="AI61" i="41"/>
  <c r="AI21" i="41"/>
  <c r="AI28" i="41"/>
  <c r="AI30" i="41" s="1"/>
  <c r="AJ17" i="41"/>
  <c r="AJ28" i="41" s="1"/>
  <c r="AJ30" i="41" s="1"/>
  <c r="AJ29" i="41"/>
  <c r="AH53" i="41"/>
  <c r="AI60" i="41" l="1"/>
  <c r="AI62" i="41" s="1"/>
  <c r="AJ50" i="41"/>
  <c r="AK17" i="41"/>
  <c r="AK28" i="41" s="1"/>
  <c r="AK30" i="41" s="1"/>
  <c r="AK29" i="41"/>
  <c r="AJ21" i="41"/>
  <c r="AM39" i="41"/>
  <c r="AL42" i="41" s="1"/>
  <c r="AM42" i="41" s="1"/>
  <c r="AN42" i="41" s="1"/>
  <c r="AO42" i="41" s="1"/>
  <c r="AP42" i="41" s="1"/>
  <c r="AQ42" i="41" s="1"/>
  <c r="AR42" i="41" s="1"/>
  <c r="AS42" i="41" s="1"/>
  <c r="AT42" i="41" s="1"/>
  <c r="AU42" i="41" s="1"/>
  <c r="AV42" i="41" s="1"/>
  <c r="AW42" i="41" s="1"/>
  <c r="AK59" i="41"/>
  <c r="AI53" i="41"/>
  <c r="AJ49" i="41"/>
  <c r="AJ61" i="41"/>
  <c r="AJ60" i="41" l="1"/>
  <c r="AJ62" i="41" s="1"/>
  <c r="AK50" i="41"/>
  <c r="AJ53" i="41"/>
  <c r="AK49" i="41"/>
  <c r="AK61" i="41"/>
  <c r="AK21" i="41"/>
  <c r="AL5" i="41"/>
  <c r="AL37" i="41" l="1"/>
  <c r="AL38" i="41" s="1"/>
  <c r="AL40" i="41" s="1"/>
  <c r="AL36" i="41" s="1"/>
  <c r="AK53" i="41"/>
  <c r="AK60" i="41"/>
  <c r="AK62" i="41" s="1"/>
  <c r="AL6" i="41"/>
  <c r="AL8" i="41" s="1"/>
  <c r="AL4" i="41" s="1"/>
  <c r="AM6" i="41" l="1"/>
  <c r="AM4" i="41"/>
  <c r="AL27" i="41"/>
  <c r="AL59" i="41"/>
  <c r="AL49" i="41" s="1"/>
  <c r="AM38" i="41"/>
  <c r="AM36" i="41"/>
  <c r="AL61" i="41" l="1"/>
  <c r="AL50" i="41"/>
  <c r="AL18" i="41"/>
  <c r="AL29" i="41"/>
  <c r="AL17" i="41"/>
  <c r="AN4" i="41"/>
  <c r="AM27" i="41"/>
  <c r="AM29" i="41" s="1"/>
  <c r="AM59" i="41"/>
  <c r="AM61" i="41" s="1"/>
  <c r="AN36" i="41"/>
  <c r="AM18" i="41" l="1"/>
  <c r="AM49" i="41"/>
  <c r="AO4" i="41"/>
  <c r="AN27" i="41"/>
  <c r="AM50" i="41"/>
  <c r="AL60" i="41"/>
  <c r="AL62" i="41" s="1"/>
  <c r="AL53" i="41"/>
  <c r="AN59" i="41"/>
  <c r="AN61" i="41" s="1"/>
  <c r="AO36" i="41"/>
  <c r="AM17" i="41"/>
  <c r="AL21" i="41"/>
  <c r="AL28" i="41"/>
  <c r="AL30" i="41" s="1"/>
  <c r="AN49" i="41" l="1"/>
  <c r="AM60" i="41"/>
  <c r="AM62" i="41" s="1"/>
  <c r="AN17" i="41"/>
  <c r="AM21" i="41"/>
  <c r="AP4" i="41"/>
  <c r="AO27" i="41"/>
  <c r="AO29" i="41" s="1"/>
  <c r="AO59" i="41"/>
  <c r="AP36" i="41"/>
  <c r="AN18" i="41"/>
  <c r="AN29" i="41"/>
  <c r="AM28" i="41"/>
  <c r="AM30" i="41" s="1"/>
  <c r="AN50" i="41"/>
  <c r="AM53" i="41"/>
  <c r="AO18" i="41" l="1"/>
  <c r="AN60" i="41"/>
  <c r="AN62" i="41" s="1"/>
  <c r="AO50" i="41"/>
  <c r="AN53" i="41"/>
  <c r="AP59" i="41"/>
  <c r="AP61" i="41" s="1"/>
  <c r="AQ36" i="41"/>
  <c r="AN28" i="41"/>
  <c r="AN30" i="41" s="1"/>
  <c r="AQ4" i="41"/>
  <c r="AP27" i="41"/>
  <c r="AO49" i="41"/>
  <c r="AO61" i="41"/>
  <c r="AO17" i="41"/>
  <c r="AN21" i="41"/>
  <c r="AO28" i="41" l="1"/>
  <c r="AO30" i="41" s="1"/>
  <c r="AO60" i="41"/>
  <c r="AO62" i="41" s="1"/>
  <c r="AR4" i="41"/>
  <c r="AQ27" i="41"/>
  <c r="AP18" i="41"/>
  <c r="AP29" i="41"/>
  <c r="AP17" i="41"/>
  <c r="AO21" i="41"/>
  <c r="AP49" i="41"/>
  <c r="AO53" i="41"/>
  <c r="AQ59" i="41"/>
  <c r="AQ61" i="41" s="1"/>
  <c r="AR36" i="41"/>
  <c r="AP50" i="41"/>
  <c r="AQ50" i="41" l="1"/>
  <c r="AP28" i="41"/>
  <c r="AP30" i="41" s="1"/>
  <c r="AS36" i="41"/>
  <c r="AR59" i="41"/>
  <c r="AR61" i="41" s="1"/>
  <c r="AQ49" i="41"/>
  <c r="AQ60" i="41" s="1"/>
  <c r="AQ62" i="41" s="1"/>
  <c r="AP53" i="41"/>
  <c r="AQ18" i="41"/>
  <c r="AQ29" i="41"/>
  <c r="AP60" i="41"/>
  <c r="AP62" i="41" s="1"/>
  <c r="AQ17" i="41"/>
  <c r="AP21" i="41"/>
  <c r="AR27" i="41"/>
  <c r="AS4" i="41"/>
  <c r="AQ28" i="41" l="1"/>
  <c r="AQ30" i="41" s="1"/>
  <c r="AR50" i="41"/>
  <c r="AR49" i="41"/>
  <c r="AQ53" i="41"/>
  <c r="AT4" i="41"/>
  <c r="AS27" i="41"/>
  <c r="AS29" i="41" s="1"/>
  <c r="AR17" i="41"/>
  <c r="AQ21" i="41"/>
  <c r="AR18" i="41"/>
  <c r="AR29" i="41"/>
  <c r="AT36" i="41"/>
  <c r="AS59" i="41"/>
  <c r="AS61" i="41" s="1"/>
  <c r="AS18" i="41" l="1"/>
  <c r="AR60" i="41"/>
  <c r="AR62" i="41" s="1"/>
  <c r="AR28" i="41"/>
  <c r="AR30" i="41" s="1"/>
  <c r="AS17" i="41"/>
  <c r="AR21" i="41"/>
  <c r="AT27" i="41"/>
  <c r="AT29" i="41" s="1"/>
  <c r="AU4" i="41"/>
  <c r="AT59" i="41"/>
  <c r="AT61" i="41" s="1"/>
  <c r="AU36" i="41"/>
  <c r="AS49" i="41"/>
  <c r="AR53" i="41"/>
  <c r="AS50" i="41"/>
  <c r="AT50" i="41" l="1"/>
  <c r="AS28" i="41"/>
  <c r="AS30" i="41" s="1"/>
  <c r="AT18" i="41"/>
  <c r="AV4" i="41"/>
  <c r="AU27" i="41"/>
  <c r="AV36" i="41"/>
  <c r="AU59" i="41"/>
  <c r="AU61" i="41" s="1"/>
  <c r="AT17" i="41"/>
  <c r="AS21" i="41"/>
  <c r="AT49" i="41"/>
  <c r="AS53" i="41"/>
  <c r="AS60" i="41"/>
  <c r="AS62" i="41" s="1"/>
  <c r="AT28" i="41" l="1"/>
  <c r="AT30" i="41" s="1"/>
  <c r="AU49" i="41"/>
  <c r="AT53" i="41"/>
  <c r="AT60" i="41"/>
  <c r="AT62" i="41" s="1"/>
  <c r="AU50" i="41"/>
  <c r="AV27" i="41"/>
  <c r="AV29" i="41" s="1"/>
  <c r="AW4" i="41"/>
  <c r="AW27" i="41" s="1"/>
  <c r="AW29" i="41" s="1"/>
  <c r="AW36" i="41"/>
  <c r="AW59" i="41" s="1"/>
  <c r="AW61" i="41" s="1"/>
  <c r="AV59" i="41"/>
  <c r="AU17" i="41"/>
  <c r="AT21" i="41"/>
  <c r="AU18" i="41"/>
  <c r="AV18" i="41" s="1"/>
  <c r="AU29" i="41"/>
  <c r="AW18" i="41" l="1"/>
  <c r="AV50" i="41"/>
  <c r="AW50" i="41" s="1"/>
  <c r="AV61" i="41"/>
  <c r="AV49" i="41"/>
  <c r="AU53" i="41"/>
  <c r="AU60" i="41"/>
  <c r="AU62" i="41" s="1"/>
  <c r="AU28" i="41"/>
  <c r="AU30" i="41" s="1"/>
  <c r="AV17" i="41"/>
  <c r="AU21" i="41"/>
  <c r="AV60" i="41" l="1"/>
  <c r="AV62" i="41" s="1"/>
  <c r="AW17" i="41"/>
  <c r="AW21" i="41" s="1"/>
  <c r="AV21" i="41"/>
  <c r="AW49" i="41"/>
  <c r="AW53" i="41" s="1"/>
  <c r="AV53" i="41"/>
  <c r="AV28" i="41"/>
  <c r="AV30" i="41" s="1"/>
  <c r="AW28" i="41" l="1"/>
  <c r="AW30" i="41" s="1"/>
  <c r="AW60" i="41"/>
  <c r="AW62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D8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E8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F8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G8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H83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I83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J83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K83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L83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M83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  <comment ref="N83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change formula to hard coded December Balance value before entering any deferral data in following month column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G10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Jaa0175</author>
  </authors>
  <commentList>
    <comment ref="F24" authorId="0" shapeId="0" xr:uid="{00000000-0006-0000-1400-000001000000}">
      <text>
        <r>
          <rPr>
            <b/>
            <sz val="9"/>
            <color indexed="81"/>
            <rFont val="Tahoma"/>
            <family val="2"/>
          </rPr>
          <t>Jaa0175: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gzhkw6</author>
  </authors>
  <commentList>
    <comment ref="F10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  <comment ref="G10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estimated unbilled 3rd block, doesn't affect decoupling</t>
        </r>
      </text>
    </comment>
  </commentList>
</comments>
</file>

<file path=xl/sharedStrings.xml><?xml version="1.0" encoding="utf-8"?>
<sst xmlns="http://schemas.openxmlformats.org/spreadsheetml/2006/main" count="2176" uniqueCount="393">
  <si>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</si>
  <si>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</si>
  <si>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</si>
  <si>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</si>
  <si>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</si>
  <si>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</si>
  <si>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</si>
  <si>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</si>
  <si>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</si>
  <si>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</si>
  <si>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</si>
  <si>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</si>
  <si>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</si>
  <si>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</si>
  <si>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</si>
  <si>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</si>
  <si>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Source</t>
  </si>
  <si>
    <t>Line No.</t>
  </si>
  <si>
    <t>Non-Residential Schedules*</t>
  </si>
  <si>
    <t>Residential</t>
  </si>
  <si>
    <t>Avista Utilities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</si>
  <si>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</si>
  <si>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</si>
  <si>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</si>
  <si>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</si>
  <si>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</si>
  <si>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</si>
  <si>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</si>
  <si>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TOTAL</t>
  </si>
  <si>
    <t>SCH. 11,12</t>
  </si>
  <si>
    <t>SCH. 21,22</t>
  </si>
  <si>
    <t>SCHEDULE 25</t>
  </si>
  <si>
    <t>SCH. 30, 31, 32</t>
  </si>
  <si>
    <t>SCH. 41-48</t>
  </si>
  <si>
    <t>Customer Bills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</si>
  <si>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</si>
  <si>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</si>
  <si>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</si>
  <si>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</si>
  <si>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</si>
  <si>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</si>
  <si>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</si>
  <si>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</si>
  <si>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</si>
  <si>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</si>
  <si>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</si>
  <si>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</si>
  <si>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Electric Sales</t>
  </si>
  <si>
    <t xml:space="preserve"> - Weather-Normalized kWh Sales</t>
  </si>
  <si>
    <t xml:space="preserve">  - % of Annual Total</t>
  </si>
  <si>
    <t>Non-Residential*</t>
  </si>
  <si>
    <t>* Schedules 11, 12, 21, 22, 31, 32.</t>
  </si>
  <si>
    <t xml:space="preserve"> Electric Decoupling Mechanism</t>
  </si>
  <si>
    <t>% of Total</t>
  </si>
  <si>
    <t xml:space="preserve">* Schedules 11, 12, 21, 22, 31, 32.  </t>
  </si>
  <si>
    <t>Gross Up Factor for Revenue Related Exp</t>
  </si>
  <si>
    <t>Revenue Data</t>
  </si>
  <si>
    <t>Non-Residential Group</t>
  </si>
  <si>
    <t>Variable Power Supply Revenue (L4 * L5)</t>
  </si>
  <si>
    <t>Basic Charge Revenue (Ln 8 * Ln 9)</t>
  </si>
  <si>
    <t>Decoupled Revenue</t>
  </si>
  <si>
    <t>Delivery &amp; Power Plant Revenue (L3 - L6)</t>
  </si>
  <si>
    <t>Basic Charge Revenues</t>
  </si>
  <si>
    <t>Average Basic Charge</t>
  </si>
  <si>
    <t>Annual kWh</t>
  </si>
  <si>
    <t>Average Number of Customers (Line 8 / 12)</t>
  </si>
  <si>
    <t>Annual Total</t>
  </si>
  <si>
    <t>Decoupled Revenues</t>
  </si>
  <si>
    <t>Decoupled Revenue per Customer</t>
  </si>
  <si>
    <t>Revenues</t>
  </si>
  <si>
    <t>From revenue per customer</t>
  </si>
  <si>
    <t>From power supply</t>
  </si>
  <si>
    <t>From basic charge</t>
  </si>
  <si>
    <t>Development of Annual Decoupled Revenue Per Customer - Electric</t>
  </si>
  <si>
    <t>Monthly Decoupled Revenue Per Customer ("RPC")</t>
  </si>
  <si>
    <t>Development of Monthly Decoupled Revenue Per Customer - Electric</t>
  </si>
  <si>
    <t>Development of Decoupled Revenue by Rate Schedule - Electric</t>
  </si>
  <si>
    <t>Monthly Rate Year</t>
  </si>
  <si>
    <t>Excluded From Decoupling</t>
  </si>
  <si>
    <t>Test Year # of Customers 12 ME 09.2014</t>
  </si>
  <si>
    <t>Normalized Usage by Month</t>
  </si>
  <si>
    <t>WASHINGTON ELECTRIC SYSTEM</t>
  </si>
  <si>
    <t>March</t>
  </si>
  <si>
    <t>April</t>
  </si>
  <si>
    <t>Revenue Run Billed Usage</t>
  </si>
  <si>
    <t>General Svc Schedule 011/012</t>
  </si>
  <si>
    <t>Large Gen Svc Schedule 021/022</t>
  </si>
  <si>
    <t>Street and Area Lights</t>
  </si>
  <si>
    <t>Total Revenue Run Billed Usage</t>
  </si>
  <si>
    <t xml:space="preserve">Net Unbilled Usage </t>
  </si>
  <si>
    <t>Net Unbilled Usage</t>
  </si>
  <si>
    <t>Schedule Shifting Adjustment</t>
  </si>
  <si>
    <t>Other Usage Adjustments</t>
  </si>
  <si>
    <t>Weather Adjustment</t>
  </si>
  <si>
    <t>Total Weather Adjustment</t>
  </si>
  <si>
    <t>Normalized Test Year Usage</t>
  </si>
  <si>
    <t>Total Normalized Test Year Usage</t>
  </si>
  <si>
    <t>Residential Usage</t>
  </si>
  <si>
    <t>Schedule 001 Customers</t>
  </si>
  <si>
    <t>Schedule 001 Norm Use/Customer</t>
  </si>
  <si>
    <t>Non-Residential Group Usage</t>
  </si>
  <si>
    <t>Non-Residential Group Customers</t>
  </si>
  <si>
    <t>Non-Residential Group Norm Use/Customer</t>
  </si>
  <si>
    <t>WA Jurisdiction % of Annual Usage</t>
  </si>
  <si>
    <t>Actual Res Decoupling:</t>
  </si>
  <si>
    <t>456328</t>
  </si>
  <si>
    <t>Res</t>
  </si>
  <si>
    <t>Residential Group</t>
  </si>
  <si>
    <t>Actual Customers</t>
  </si>
  <si>
    <t>Revenue System</t>
  </si>
  <si>
    <t>Monthly Decoupled Revenue per Customer</t>
  </si>
  <si>
    <t>Actual Base Rate Revenue</t>
  </si>
  <si>
    <t>Actual Basic Charge Revenue</t>
  </si>
  <si>
    <t>Retail Revenue Credit ($/kWh)</t>
  </si>
  <si>
    <t>Variable Power Supply Payments</t>
  </si>
  <si>
    <t>Customer Decoupled Payments</t>
  </si>
  <si>
    <t>Residential Revenue Per Customer Received</t>
  </si>
  <si>
    <t>Deferral - Surcharge (Rebate)</t>
  </si>
  <si>
    <t>Deferral - Revenue Related Expenses</t>
  </si>
  <si>
    <t>Rev Conv Factor</t>
  </si>
  <si>
    <t>FERC Rate</t>
  </si>
  <si>
    <t>Interest on Deferral</t>
  </si>
  <si>
    <t>Avg Balance Calc</t>
  </si>
  <si>
    <t>Monthly Residential Deferral Totals</t>
  </si>
  <si>
    <t>Actual Non-Res Decoupling:</t>
  </si>
  <si>
    <t>456338</t>
  </si>
  <si>
    <t>Non-Res</t>
  </si>
  <si>
    <t>Non-Residential Revenue Per Customer Received</t>
  </si>
  <si>
    <t>Monthly Non-Residential Deferral Totals</t>
  </si>
  <si>
    <t>Cumulative Deferral (Rebate)/Surcharge Balance</t>
  </si>
  <si>
    <t>Total Cumulative Deferral (Rebate)/Surcharge Balance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</si>
  <si>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</si>
  <si>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</si>
  <si>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</si>
  <si>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</si>
  <si>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</si>
  <si>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</si>
  <si>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</si>
  <si>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</si>
  <si>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Accounting Entries</t>
  </si>
  <si>
    <t>186328 Residential Decoupled Deferred Revenue</t>
  </si>
  <si>
    <t>186338 Non-Residential Decoupled Deferred Revenue</t>
  </si>
  <si>
    <t>EDWA</t>
  </si>
  <si>
    <t>Allowed Revenue Increase (Attachment 1)</t>
  </si>
  <si>
    <t>Retail Revenue Adjustment (line 14)</t>
  </si>
  <si>
    <t>Allowed Basic Charges</t>
  </si>
  <si>
    <t>Retail Revenue Adjustment - (Attachment 3)</t>
  </si>
  <si>
    <t>Grossed Up Retail Revenue Adjustment</t>
  </si>
  <si>
    <t>check calculations - DO NOT PRINT</t>
  </si>
  <si>
    <t>avg decoupled rev/kwh</t>
  </si>
  <si>
    <t>check to avg rate</t>
  </si>
  <si>
    <t>Attachment 4, Page 1</t>
  </si>
  <si>
    <t xml:space="preserve">  -UE-150204 Decoupled RPC</t>
  </si>
  <si>
    <t>Attachment 4, P. 2 L. 3</t>
  </si>
  <si>
    <t xml:space="preserve">  - Monthly Decoupled RPC</t>
  </si>
  <si>
    <t>Copied From EMA-6, Page 3</t>
  </si>
  <si>
    <t>Revenue Conversion Factor</t>
  </si>
  <si>
    <t>Washington - Electric System</t>
  </si>
  <si>
    <t xml:space="preserve">Line </t>
  </si>
  <si>
    <t>No.</t>
  </si>
  <si>
    <t>Description</t>
  </si>
  <si>
    <t>Factor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</si>
  <si>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</si>
  <si>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</si>
  <si>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</si>
  <si>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</si>
  <si>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</si>
  <si>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</si>
  <si>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</si>
  <si>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</si>
  <si>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Attachment 4, Page 3</t>
  </si>
  <si>
    <t>Attachment 4,  Page 3</t>
  </si>
  <si>
    <t xml:space="preserve">Determination of Base Rate Revenue From Revenue System Reports </t>
  </si>
  <si>
    <t>Billed Customers</t>
  </si>
  <si>
    <t>Billed Usage</t>
  </si>
  <si>
    <t>Unbilled Reversal</t>
  </si>
  <si>
    <t>Unbilled Usage</t>
  </si>
  <si>
    <t>Calendar Usage</t>
  </si>
  <si>
    <t>WA002</t>
  </si>
  <si>
    <t>WA025 3rd block</t>
  </si>
  <si>
    <t>WA030</t>
  </si>
  <si>
    <t>Street Lights</t>
  </si>
  <si>
    <t>Sch 47 Area Lights</t>
  </si>
  <si>
    <t>Sch 48 Area Lights</t>
  </si>
  <si>
    <t>Non-Residential</t>
  </si>
  <si>
    <t>Fixed Charges from Billing Determinant Revenue Report</t>
  </si>
  <si>
    <t>Base Rate Billed Revenue From Billing Determinant Revenue Report</t>
  </si>
  <si>
    <t>Unbilled Rev Reversal</t>
  </si>
  <si>
    <t>Unbilled Revenue</t>
  </si>
  <si>
    <t>Calendar Total Revenue</t>
  </si>
  <si>
    <t>Deduct Unbilled Adder Schedule Revenue</t>
  </si>
  <si>
    <t>Base Rate Revenue</t>
  </si>
  <si>
    <t>Street &amp; Area Lights</t>
  </si>
  <si>
    <t>Adder Schedule Revenues</t>
  </si>
  <si>
    <t>Other Revenues</t>
  </si>
  <si>
    <t>Adder Schedule Rate Components:</t>
  </si>
  <si>
    <t>Sch 59</t>
  </si>
  <si>
    <t>Sch 89</t>
  </si>
  <si>
    <t>Sch 91</t>
  </si>
  <si>
    <t>Sch 92</t>
  </si>
  <si>
    <t>Sch 93</t>
  </si>
  <si>
    <t>Sch 98</t>
  </si>
  <si>
    <t>Net Unbilled Adder Schedule Revenue</t>
  </si>
  <si>
    <t>DJ 213 - Sch 89</t>
  </si>
  <si>
    <t>DJ213 - Sch 91</t>
  </si>
  <si>
    <t xml:space="preserve"> DJ213 - Sch 92</t>
  </si>
  <si>
    <t>DJ481 Sch 93</t>
  </si>
  <si>
    <t>DJ475 - Sch 98</t>
  </si>
  <si>
    <t>Total Net Unbilled Adder Schedule Revenue</t>
  </si>
  <si>
    <t xml:space="preserve">
DJ 127 - Sch 59</t>
  </si>
  <si>
    <t>456328 Res Decoupling Deferral</t>
  </si>
  <si>
    <t xml:space="preserve">456338 Non-Res Decoupling Deferral </t>
  </si>
  <si>
    <t>Actual Usage (kWhs)</t>
  </si>
  <si>
    <t>Sch 75</t>
  </si>
  <si>
    <t>1.30% of base revenue</t>
  </si>
  <si>
    <t>Schedule 25 Schedule Shifting Special Circumstance</t>
  </si>
  <si>
    <t>Customer Count</t>
  </si>
  <si>
    <t>KWh Usage</t>
  </si>
  <si>
    <t>Base Rate Revenue Received</t>
  </si>
  <si>
    <t>Customer 1</t>
  </si>
  <si>
    <t>Schedule 21 Adjustment</t>
  </si>
  <si>
    <t>Sch 21 Fixed Charge Revenue</t>
  </si>
  <si>
    <t>Add to Schedule 21 customer, usage and revenue statistics until incorporated in Decoupling base</t>
  </si>
  <si>
    <t>1 Large Schedule 21 customer in the test year moved to Schedule 25. (Schedule 25 not included in Decoupling, Schedule 21 included in Decoupling)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</si>
  <si>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$55,878.</t>
    </r>
  </si>
  <si>
    <t>Development of WA Electric Deferrals (Calendar Year 2018)</t>
  </si>
  <si>
    <t>January Billing</t>
  </si>
  <si>
    <t>February Billing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</si>
  <si>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$55,019.</t>
    </r>
  </si>
  <si>
    <t>Total Adder Schedule Rate/kWh</t>
  </si>
  <si>
    <t>Check</t>
  </si>
  <si>
    <t>March Billing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</si>
  <si>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$56,631.</t>
    </r>
  </si>
  <si>
    <t>April Billing</t>
  </si>
  <si>
    <t>WA Schedule 75 2016 Deferral Decoupling Mechanism Amortization</t>
  </si>
  <si>
    <t>Current Month</t>
  </si>
  <si>
    <t>Reasonableness check - do not print</t>
  </si>
  <si>
    <t>Prior Month</t>
  </si>
  <si>
    <t>11/1/2017 rate</t>
  </si>
  <si>
    <t>Unbilled Schedule 75 Revenue</t>
  </si>
  <si>
    <t>Usage Calculated Schedule 75 Revenue</t>
  </si>
  <si>
    <t>Unbilled True-up Sch 75</t>
  </si>
  <si>
    <t>Schedule 001</t>
  </si>
  <si>
    <t>Schedule 002</t>
  </si>
  <si>
    <t>Schedule 011</t>
  </si>
  <si>
    <t>Schedule 012</t>
  </si>
  <si>
    <t>Schedule 021</t>
  </si>
  <si>
    <t>Schedule 022</t>
  </si>
  <si>
    <t>Schedule 030</t>
  </si>
  <si>
    <t>Schedule 031</t>
  </si>
  <si>
    <t>Schedule 032</t>
  </si>
  <si>
    <t>UE-170939</t>
  </si>
  <si>
    <t>Conversion Factor</t>
  </si>
  <si>
    <t>Calendar kWhs</t>
  </si>
  <si>
    <t>Amortization Rate</t>
  </si>
  <si>
    <t>difference</t>
  </si>
  <si>
    <t>Residential Amortization</t>
  </si>
  <si>
    <t>Non-Residential Amortization</t>
  </si>
  <si>
    <t>Sch 21 Adjust.</t>
  </si>
  <si>
    <t>456329 Amortization Residential Decoupling Def Revenue</t>
  </si>
  <si>
    <t>182328 Reg Asset Residential Decoupling Surcharge</t>
  </si>
  <si>
    <t>254328 Reg Liability Residential Decoupling Rebate</t>
  </si>
  <si>
    <t>456339 Amortization Non-Resid Decoupling Def Revenue</t>
  </si>
  <si>
    <t>182338 Reg Asset Non-Resid Decoupling Surcharge</t>
  </si>
  <si>
    <t>254338 Reg Liability Non-Resid Decoupling Rebate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</si>
  <si>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$53,859.</t>
    </r>
  </si>
  <si>
    <t>Twelve Months Ended December 31, 2016</t>
  </si>
  <si>
    <t>Residential Schedule 001/002</t>
  </si>
  <si>
    <t>Extra Large Gen Schedule 025</t>
  </si>
  <si>
    <t>Pumping Schedule 031/032</t>
  </si>
  <si>
    <t>Washington Docket No. UE-170485 Compliance Filing</t>
  </si>
  <si>
    <t>SCHEDULE 1,2</t>
  </si>
  <si>
    <t>Total Normalized 12ME Dec 2016 Revenue</t>
  </si>
  <si>
    <t xml:space="preserve">Allowed Base Rate Revenue </t>
  </si>
  <si>
    <t>Normalized kWhs (12ME Dec 2016 Test Year)</t>
  </si>
  <si>
    <t>Customer Bills (12ME Dec 2016 Test Year)</t>
  </si>
  <si>
    <t>AVISTA UTILITIES</t>
  </si>
  <si>
    <t>WASHINGTON ELECTRIC</t>
  </si>
  <si>
    <t>TWELVE MONTHS ENDED DECEMBER 31, 2016</t>
  </si>
  <si>
    <t>With Tax Reform</t>
  </si>
  <si>
    <t xml:space="preserve">  Federal Income Tax @ 21%</t>
  </si>
  <si>
    <t>(Per Order No. 6; UE-120436, dated 6/20/2012 - "hard" CF rounded to 6 digits)</t>
  </si>
  <si>
    <t>Revised Conversion Factor per Bench Request 9, Attachment B Page 4</t>
  </si>
  <si>
    <t>Attachment 4, Page 4</t>
  </si>
  <si>
    <t>Test Year # of Customers 12 ME 12.2016</t>
  </si>
  <si>
    <t>Attachment 4, Page 2</t>
  </si>
  <si>
    <t xml:space="preserve">  -UE-170485 Decoupled RPC</t>
  </si>
  <si>
    <t>WUTC Docket No. UE-170485</t>
  </si>
  <si>
    <t>SCHEDULE 1</t>
  </si>
  <si>
    <t>Total Normalized 12 ME Sept 2014 Revenue</t>
  </si>
  <si>
    <t>Total Rate Revenue (January 11, 2016)</t>
  </si>
  <si>
    <t>Normalized kWhs (12ME Sept 2014 Test Year)</t>
  </si>
  <si>
    <t>Customer Bills (12ME Sept 2014 Test Year)</t>
  </si>
  <si>
    <t>January</t>
  </si>
  <si>
    <t>February</t>
  </si>
  <si>
    <t>June</t>
  </si>
  <si>
    <t>July</t>
  </si>
  <si>
    <t>August</t>
  </si>
  <si>
    <t>September</t>
  </si>
  <si>
    <t>October</t>
  </si>
  <si>
    <t>November</t>
  </si>
  <si>
    <t>December</t>
  </si>
  <si>
    <t>Residential Schedule 001</t>
  </si>
  <si>
    <t>Extra Large Gen Schedule 25</t>
  </si>
  <si>
    <t>Pumping Schedule 31/32</t>
  </si>
  <si>
    <t>WUTC Docket No. UE-150204</t>
  </si>
  <si>
    <t>Twelve Months Ended September 30, 2014</t>
  </si>
  <si>
    <t>TY Normalized Usage by Month</t>
  </si>
  <si>
    <t>Twelve Months Ended December 31, 2014</t>
  </si>
  <si>
    <t>Decoupling Mechanism - UE-150204 Base effective 1/11/2016, UE-170485 Base effective 5/1/2018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</si>
  <si>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$54,971.</t>
    </r>
  </si>
  <si>
    <t>May Billing</t>
  </si>
  <si>
    <t>Sch 74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</si>
  <si>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$54,601.</t>
    </r>
  </si>
  <si>
    <t>Forecast Usage</t>
  </si>
  <si>
    <t>1 Year Amort Rate</t>
  </si>
  <si>
    <t>Incremental Revenue Change</t>
  </si>
  <si>
    <t>Schedule 75 Rate</t>
  </si>
  <si>
    <t>Maximum Incremental Change</t>
  </si>
  <si>
    <t>Est Norm Billed Rev $000s</t>
  </si>
  <si>
    <t>Surcharge Cap</t>
  </si>
  <si>
    <t>Carryover Rate</t>
  </si>
  <si>
    <t>Implied Carryover Amortization</t>
  </si>
  <si>
    <t>Balance Sheet Accounts</t>
  </si>
  <si>
    <t>Current Deferrals</t>
  </si>
  <si>
    <t>Prior Year Pending</t>
  </si>
  <si>
    <t>Approved Surcharge</t>
  </si>
  <si>
    <t>Approved Rebate</t>
  </si>
  <si>
    <t>Contra Deferrals</t>
  </si>
  <si>
    <t>Prior Year Contra</t>
  </si>
  <si>
    <t>ADFIT Decoupling</t>
  </si>
  <si>
    <t>Provision for Rate Ref</t>
  </si>
  <si>
    <t>ADFIT Prov Rate Ref</t>
  </si>
  <si>
    <t>Interest Rate</t>
  </si>
  <si>
    <t>Income Statement Accounts</t>
  </si>
  <si>
    <t>Res Deferral</t>
  </si>
  <si>
    <t xml:space="preserve">Res Amortization </t>
  </si>
  <si>
    <t>419328/431328</t>
  </si>
  <si>
    <t>Interest (Income)/Expense</t>
  </si>
  <si>
    <t>410100/411100</t>
  </si>
  <si>
    <t xml:space="preserve">DFIT </t>
  </si>
  <si>
    <t>410200/411200</t>
  </si>
  <si>
    <t>non-op DFIT</t>
  </si>
  <si>
    <t>Contra Deferral</t>
  </si>
  <si>
    <t>EREV Jun Mid-Month 6 14 18</t>
  </si>
  <si>
    <t>Decoupling Calc</t>
  </si>
  <si>
    <t>Actual</t>
  </si>
  <si>
    <t>Beg Bal Dec 2017</t>
  </si>
  <si>
    <t>456311 Contra Decoupling Deferral</t>
  </si>
  <si>
    <t>253311 Contra Decoupling Deferred Revenue</t>
  </si>
  <si>
    <t>253312 Prior Year Contra Decoupling Deferred Revenue</t>
  </si>
  <si>
    <t>Contra Decoupling Detail - Account 253312</t>
  </si>
  <si>
    <t>Prior Contra Decoupling Balance for 2017 Deferrals</t>
  </si>
  <si>
    <t>Contra Decoupling Detail - Account 253311</t>
  </si>
  <si>
    <t>Prior Contra Decoupling Balance for 2018 Deferrals</t>
  </si>
  <si>
    <t>Current Contra Decoupling Balance for 2017 Deferrals</t>
  </si>
  <si>
    <t>Current Month Contra Decoupling Entry</t>
  </si>
  <si>
    <t>Current Contra Decoupling Balance for 2018 Deferrals</t>
  </si>
  <si>
    <t>Maximum Year 1 Rate</t>
  </si>
  <si>
    <t>Maximum 24 Month Recovery of 2018 Deferral</t>
  </si>
  <si>
    <t>Estimated Carryover Rate</t>
  </si>
  <si>
    <t>Residential Contra Decoupling Balance</t>
  </si>
  <si>
    <t>Debit (Credit)</t>
  </si>
  <si>
    <t>July Billing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</si>
  <si>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$50,898.</t>
    </r>
  </si>
  <si>
    <t xml:space="preserve">431328 Interest Expense formerly 431605 </t>
  </si>
  <si>
    <t>419328 Interest Income formerly 419605</t>
  </si>
  <si>
    <t>August Billing</t>
  </si>
  <si>
    <t>DJ 127 - Sch 59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</si>
  <si>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$52,015.</t>
    </r>
  </si>
  <si>
    <t>Sept Billing</t>
  </si>
  <si>
    <t>Non-Res Deferral</t>
  </si>
  <si>
    <t xml:space="preserve">Non-Res Amortization </t>
  </si>
  <si>
    <t>Schedule 75 Rate Per Docket No. UE-180702</t>
  </si>
  <si>
    <r>
      <t>Including this adjustment reduced the non-residential group surcharge by</t>
    </r>
    <r>
      <rPr>
        <sz val="11"/>
        <color rgb="FF3333FF"/>
        <rFont val="Calibri"/>
        <family val="2"/>
        <scheme val="minor"/>
      </rPr>
      <t xml:space="preserve"> $50,694.</t>
    </r>
  </si>
  <si>
    <t>1.42% of base revenue</t>
  </si>
  <si>
    <t>check net unbilled</t>
  </si>
  <si>
    <t>do not print</t>
  </si>
  <si>
    <t>calendar avg kWh/cust</t>
  </si>
  <si>
    <t>billed avg rate/kWh</t>
  </si>
  <si>
    <t>Do not print</t>
  </si>
  <si>
    <r>
      <t>Including this adjustment reduced the non-residential group surcharge by</t>
    </r>
    <r>
      <rPr>
        <sz val="11"/>
        <color rgb="FF3333FF"/>
        <rFont val="Times New Roman"/>
        <family val="1"/>
      </rPr>
      <t xml:space="preserve"> $53,441.</t>
    </r>
  </si>
  <si>
    <t>Prior Month Unbilled Adder Revenue</t>
  </si>
  <si>
    <t>Current Month Unbilled Adder Revenue</t>
  </si>
  <si>
    <t>Net Unbilled Adder Revenue</t>
  </si>
  <si>
    <t>Prior Month Unbilled Adder Total Rate</t>
  </si>
  <si>
    <t>Current Month Unbilled Adder Total Rate</t>
  </si>
  <si>
    <t>11/1/2018 rate</t>
  </si>
  <si>
    <t>UE-180702</t>
  </si>
  <si>
    <t>WA Schedule 75 2017 Deferral Decoupling Mechanism Amortization</t>
  </si>
  <si>
    <t>Nov Billing</t>
  </si>
  <si>
    <r>
      <t>Including this adjustment reduced the non-residential group surcharge by:</t>
    </r>
    <r>
      <rPr>
        <sz val="11"/>
        <color rgb="FF3333FF"/>
        <rFont val="Times New Roman"/>
        <family val="1"/>
      </rPr>
      <t xml:space="preserve"> </t>
    </r>
  </si>
  <si>
    <t>Dec Billing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</si>
</sst>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* #,##0_);_(* \(#,##0\);_(* &quot;-&quot;??_);_(@_)"/>
    <numFmt numFmtId="167" formatCode="[$-409]mmm\-yy;@"/>
    <numFmt numFmtId="168" formatCode="0.000000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_-* #,##0.00\ _D_M_-;\-* #,##0.00\ _D_M_-;_-* &quot;-&quot;??\ _D_M_-;_-@_-"/>
    <numFmt numFmtId="175" formatCode="_(* #,##0.000_);_(* \(#,##0.000\);_(* &quot;-&quot;??_);_(@_)"/>
    <numFmt numFmtId="176" formatCode="#."/>
    <numFmt numFmtId="177" formatCode="_-* #,##0.00\ &quot;DM&quot;_-;\-* #,##0.00\ &quot;DM&quot;_-;_-* &quot;-&quot;??\ &quot;DM&quot;_-;_-@_-"/>
    <numFmt numFmtId="178" formatCode="_(* ###0_);_(* \(###0\);_(* &quot;-&quot;_);_(@_)"/>
    <numFmt numFmtId="179" formatCode="&quot;$&quot;#,##0\ ;\(&quot;$&quot;#,##0\)"/>
    <numFmt numFmtId="180" formatCode="mmmm\ d\,\ yyyy"/>
    <numFmt numFmtId="181" formatCode="[Blue]#,##0_);[Magenta]\(#,##0\)"/>
    <numFmt numFmtId="182" formatCode="_([$€-2]* #,##0.00_);_([$€-2]* \(#,##0.00\);_([$€-2]* &quot;-&quot;??_)"/>
    <numFmt numFmtId="183" formatCode="_(&quot;$&quot;* #,##0.0_);_(&quot;$&quot;* \(#,##0.0\);_(&quot;$&quot;* &quot;-&quot;??_);_(@_)"/>
    <numFmt numFmtId="184" formatCode="0.0000_);\(0.0000\)"/>
    <numFmt numFmtId="185" formatCode="0.00_)"/>
    <numFmt numFmtId="186" formatCode="&quot;$&quot;#,##0;\-&quot;$&quot;#,##0"/>
    <numFmt numFmtId="187" formatCode="_(&quot;$&quot;* #,##0.000000_);_(&quot;$&quot;* \(#,##0.000000\);_(&quot;$&quot;* &quot;-&quot;??????_);_(@_)"/>
    <numFmt numFmtId="188" formatCode="#,##0.00\ ;\(#,##0.00\)"/>
    <numFmt numFmtId="189" formatCode="0\ &quot; HR&quot;"/>
    <numFmt numFmtId="190" formatCode="0000000"/>
    <numFmt numFmtId="191" formatCode="0.0000%"/>
    <numFmt numFmtId="192" formatCode="0.00000%"/>
    <numFmt numFmtId="193" formatCode="mmm\-yyyy"/>
    <numFmt numFmtId="194" formatCode="_(&quot;$&quot;* #,##0.000_);_(&quot;$&quot;* \(#,##0.000\);_(&quot;$&quot;* &quot;-&quot;??_);_(@_)"/>
    <numFmt numFmtId="195" formatCode="m/yy"/>
    <numFmt numFmtId="196" formatCode="_(&quot;$&quot;* #,##0.0000_);_(&quot;$&quot;* \(#,##0.0000\);_(&quot;$&quot;* &quot;-&quot;????_);_(@_)"/>
    <numFmt numFmtId="197" formatCode="0.0%"/>
    <numFmt numFmtId="198" formatCode="_(* #,##0.0_);_(* \(#,##0.0\);_(* &quot;-&quot;_);_(@_)"/>
    <numFmt numFmtId="199" formatCode="0.000%"/>
    <numFmt numFmtId="200" formatCode="&quot;$&quot;#,##0.00"/>
    <numFmt numFmtId="201" formatCode="&quot;$&quot;#,##0.00000"/>
    <numFmt numFmtId="202" formatCode="_(&quot;$&quot;* #,##0.0000_);_(&quot;$&quot;* \(#,##0.0000\);_(&quot;$&quot;* &quot;-&quot;??_);_(@_)"/>
    <numFmt numFmtId="203" formatCode="_(* #,##0.000000_);_(* \(#,##0.000000\);_(* &quot;-&quot;??_);_(@_)"/>
    <numFmt numFmtId="204" formatCode="mmm\ yy"/>
    <numFmt numFmtId="205" formatCode="0.00000"/>
    <numFmt numFmtId="206" formatCode="#,##0,"/>
  </numFmts>
  <fonts count="1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0"/>
      <name val="Times New Roman"/>
      <family val="1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sz val="10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b/>
      <i/>
      <u/>
      <sz val="12"/>
      <color theme="1"/>
      <name val="Times New Roman"/>
      <family val="1"/>
    </font>
    <font>
      <b/>
      <u/>
      <sz val="10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1"/>
      <name val="Calibri"/>
      <family val="2"/>
      <scheme val="minor"/>
    </font>
    <font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  <font>
      <sz val="10"/>
      <color rgb="FF3333CC"/>
      <name val="Times New Roman"/>
      <family val="1"/>
    </font>
    <font>
      <sz val="10"/>
      <color rgb="FF0000CC"/>
      <name val="Times New Roman"/>
      <family val="1"/>
    </font>
    <font>
      <sz val="10"/>
      <color rgb="FF3B2CFC"/>
      <name val="Times New Roman"/>
      <family val="1"/>
    </font>
    <font>
      <b/>
      <sz val="11"/>
      <color theme="1"/>
      <name val="Times New Roman"/>
      <family val="1"/>
    </font>
    <font>
      <sz val="11"/>
      <color rgb="FF3333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</font>
    <font>
      <sz val="11"/>
      <color rgb="FFFFC000"/>
      <name val="Calibri"/>
      <family val="2"/>
      <scheme val="minor"/>
    </font>
    <font>
      <sz val="11"/>
      <color theme="9" tint="-0.249977111117893"/>
      <name val="Calibri"/>
      <family val="2"/>
    </font>
    <font>
      <sz val="11"/>
      <color rgb="FFC00000"/>
      <name val="Calibri"/>
      <family val="2"/>
      <scheme val="minor"/>
    </font>
    <font>
      <sz val="11"/>
      <color rgb="FF0000FF"/>
      <name val="Times New Roman"/>
      <family val="1"/>
    </font>
    <font>
      <sz val="11"/>
      <name val="Times New Roman"/>
      <family val="1"/>
    </font>
    <font>
      <sz val="11"/>
      <color rgb="FF3333FF"/>
      <name val="Times New Roman"/>
      <family val="1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5" tint="-0.24994659260841701"/>
      </left>
      <right/>
      <top/>
      <bottom/>
      <diagonal/>
    </border>
    <border>
      <left style="thick">
        <color theme="5" tint="-0.24994659260841701"/>
      </left>
      <right/>
      <top/>
      <bottom style="thin">
        <color indexed="64"/>
      </bottom>
      <diagonal/>
    </border>
    <border>
      <left style="thick">
        <color theme="5" tint="-0.24994659260841701"/>
      </left>
      <right/>
      <top style="thin">
        <color indexed="64"/>
      </top>
      <bottom/>
      <diagonal/>
    </border>
    <border>
      <left/>
      <right/>
      <top/>
      <bottom style="mediumDashed">
        <color auto="1"/>
      </bottom>
      <diagonal/>
    </border>
  </borders>
  <cellStyleXfs count="955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1" fillId="0" borderId="0"/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70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1" fillId="0" borderId="0"/>
    <xf numFmtId="0" fontId="21" fillId="0" borderId="0"/>
    <xf numFmtId="0" fontId="21" fillId="0" borderId="0"/>
    <xf numFmtId="0" fontId="2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9" fontId="20" fillId="0" borderId="0">
      <alignment horizontal="left" wrapText="1"/>
    </xf>
    <xf numFmtId="169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1" fillId="0" borderId="0"/>
    <xf numFmtId="0" fontId="21" fillId="0" borderId="0"/>
    <xf numFmtId="171" fontId="23" fillId="0" borderId="0">
      <alignment horizontal="left"/>
    </xf>
    <xf numFmtId="172" fontId="24" fillId="0" borderId="0">
      <alignment horizontal="left"/>
    </xf>
    <xf numFmtId="0" fontId="25" fillId="0" borderId="11"/>
    <xf numFmtId="0" fontId="26" fillId="0" borderId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0" fontId="27" fillId="34" borderId="0" applyNumberFormat="0" applyBorder="0" applyAlignment="0" applyProtection="0"/>
    <xf numFmtId="168" fontId="22" fillId="0" borderId="0">
      <alignment horizontal="left" wrapText="1"/>
    </xf>
    <xf numFmtId="0" fontId="27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8" fontId="22" fillId="0" borderId="0">
      <alignment horizontal="left" wrapText="1"/>
    </xf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4" borderId="0" applyNumberFormat="0" applyBorder="0" applyAlignment="0" applyProtection="0"/>
    <xf numFmtId="168" fontId="22" fillId="0" borderId="0">
      <alignment horizontal="left" wrapText="1"/>
    </xf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168" fontId="22" fillId="0" borderId="0">
      <alignment horizontal="left" wrapText="1"/>
    </xf>
    <xf numFmtId="0" fontId="27" fillId="3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168" fontId="22" fillId="0" borderId="0">
      <alignment horizontal="left" wrapText="1"/>
    </xf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6" borderId="0" applyNumberFormat="0" applyBorder="0" applyAlignment="0" applyProtection="0"/>
    <xf numFmtId="168" fontId="22" fillId="0" borderId="0">
      <alignment horizontal="left" wrapText="1"/>
    </xf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0" fontId="27" fillId="38" borderId="0" applyNumberFormat="0" applyBorder="0" applyAlignment="0" applyProtection="0"/>
    <xf numFmtId="168" fontId="22" fillId="0" borderId="0">
      <alignment horizontal="left" wrapText="1"/>
    </xf>
    <xf numFmtId="0" fontId="27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38" borderId="0" applyNumberFormat="0" applyBorder="0" applyAlignment="0" applyProtection="0"/>
    <xf numFmtId="168" fontId="22" fillId="0" borderId="0">
      <alignment horizontal="left" wrapText="1"/>
    </xf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168" fontId="22" fillId="0" borderId="0">
      <alignment horizontal="left" wrapText="1"/>
    </xf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168" fontId="22" fillId="0" borderId="0">
      <alignment horizontal="left" wrapText="1"/>
    </xf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0" fontId="27" fillId="41" borderId="0" applyNumberFormat="0" applyBorder="0" applyAlignment="0" applyProtection="0"/>
    <xf numFmtId="168" fontId="22" fillId="0" borderId="0">
      <alignment horizontal="left" wrapText="1"/>
    </xf>
    <xf numFmtId="0" fontId="27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1" borderId="0" applyNumberFormat="0" applyBorder="0" applyAlignment="0" applyProtection="0"/>
    <xf numFmtId="168" fontId="22" fillId="0" borderId="0">
      <alignment horizontal="left" wrapText="1"/>
    </xf>
    <xf numFmtId="0" fontId="27" fillId="41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8" fontId="22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0" fontId="27" fillId="37" borderId="0" applyNumberFormat="0" applyBorder="0" applyAlignment="0" applyProtection="0"/>
    <xf numFmtId="168" fontId="22" fillId="0" borderId="0">
      <alignment horizontal="left" wrapText="1"/>
    </xf>
    <xf numFmtId="0" fontId="2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168" fontId="22" fillId="0" borderId="0">
      <alignment horizontal="left" wrapText="1"/>
    </xf>
    <xf numFmtId="0" fontId="27" fillId="4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168" fontId="22" fillId="0" borderId="0">
      <alignment horizontal="left" wrapText="1"/>
    </xf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3" borderId="0" applyNumberFormat="0" applyBorder="0" applyAlignment="0" applyProtection="0"/>
    <xf numFmtId="168" fontId="22" fillId="0" borderId="0">
      <alignment horizontal="left" wrapText="1"/>
    </xf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168" fontId="22" fillId="0" borderId="0">
      <alignment horizontal="left" wrapText="1"/>
    </xf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7" fillId="40" borderId="0" applyNumberFormat="0" applyBorder="0" applyAlignment="0" applyProtection="0"/>
    <xf numFmtId="168" fontId="22" fillId="0" borderId="0">
      <alignment horizontal="left" wrapText="1"/>
    </xf>
    <xf numFmtId="0" fontId="27" fillId="4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168" fontId="22" fillId="0" borderId="0">
      <alignment horizontal="left" wrapText="1"/>
    </xf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35" borderId="0" applyNumberFormat="0" applyBorder="0" applyAlignment="0" applyProtection="0"/>
    <xf numFmtId="168" fontId="22" fillId="0" borderId="0">
      <alignment horizontal="left" wrapText="1"/>
    </xf>
    <xf numFmtId="0" fontId="27" fillId="35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168" fontId="22" fillId="0" borderId="0">
      <alignment horizontal="left" wrapText="1"/>
    </xf>
    <xf numFmtId="0" fontId="27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168" fontId="22" fillId="0" borderId="0">
      <alignment horizontal="left" wrapText="1"/>
    </xf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7" fillId="45" borderId="0" applyNumberFormat="0" applyBorder="0" applyAlignment="0" applyProtection="0"/>
    <xf numFmtId="168" fontId="22" fillId="0" borderId="0">
      <alignment horizontal="left" wrapText="1"/>
    </xf>
    <xf numFmtId="0" fontId="27" fillId="45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7" fillId="16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4" borderId="0" applyNumberFormat="0" applyBorder="0" applyAlignment="0" applyProtection="0"/>
    <xf numFmtId="0" fontId="17" fillId="36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8" borderId="0" applyNumberFormat="0" applyBorder="0" applyAlignment="0" applyProtection="0"/>
    <xf numFmtId="0" fontId="17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32" borderId="0" applyNumberFormat="0" applyBorder="0" applyAlignment="0" applyProtection="0"/>
    <xf numFmtId="0" fontId="17" fillId="3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8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9" borderId="0" applyNumberFormat="0" applyBorder="0" applyAlignment="0" applyProtection="0"/>
    <xf numFmtId="0" fontId="17" fillId="55" borderId="0" applyNumberFormat="0" applyBorder="0" applyAlignment="0" applyProtection="0"/>
    <xf numFmtId="168" fontId="22" fillId="0" borderId="0">
      <alignment horizontal="left" wrapText="1"/>
    </xf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8" fillId="54" borderId="0" applyNumberFormat="0" applyBorder="0" applyAlignment="0" applyProtection="0"/>
    <xf numFmtId="0" fontId="27" fillId="56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13" borderId="0" applyNumberFormat="0" applyBorder="0" applyAlignment="0" applyProtection="0"/>
    <xf numFmtId="0" fontId="17" fillId="47" borderId="0" applyNumberFormat="0" applyBorder="0" applyAlignment="0" applyProtection="0"/>
    <xf numFmtId="168" fontId="22" fillId="0" borderId="0">
      <alignment horizontal="left" wrapText="1"/>
    </xf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8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17" borderId="0" applyNumberFormat="0" applyBorder="0" applyAlignment="0" applyProtection="0"/>
    <xf numFmtId="0" fontId="17" fillId="45" borderId="0" applyNumberFormat="0" applyBorder="0" applyAlignment="0" applyProtection="0"/>
    <xf numFmtId="168" fontId="22" fillId="0" borderId="0">
      <alignment horizontal="left" wrapText="1"/>
    </xf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8" fillId="63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8" fillId="62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21" borderId="0" applyNumberFormat="0" applyBorder="0" applyAlignment="0" applyProtection="0"/>
    <xf numFmtId="0" fontId="17" fillId="64" borderId="0" applyNumberFormat="0" applyBorder="0" applyAlignment="0" applyProtection="0"/>
    <xf numFmtId="168" fontId="22" fillId="0" borderId="0">
      <alignment horizontal="left" wrapText="1"/>
    </xf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168" fontId="22" fillId="0" borderId="0">
      <alignment horizontal="left" wrapText="1"/>
    </xf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5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57" borderId="0" applyNumberFormat="0" applyBorder="0" applyAlignment="0" applyProtection="0"/>
    <xf numFmtId="0" fontId="27" fillId="57" borderId="0" applyNumberFormat="0" applyBorder="0" applyAlignment="0" applyProtection="0"/>
    <xf numFmtId="0" fontId="28" fillId="66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7" fillId="29" borderId="0" applyNumberFormat="0" applyBorder="0" applyAlignment="0" applyProtection="0"/>
    <xf numFmtId="0" fontId="17" fillId="59" borderId="0" applyNumberFormat="0" applyBorder="0" applyAlignment="0" applyProtection="0"/>
    <xf numFmtId="168" fontId="22" fillId="0" borderId="0">
      <alignment horizontal="left" wrapText="1"/>
    </xf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7" fillId="3" borderId="0" applyNumberFormat="0" applyBorder="0" applyAlignment="0" applyProtection="0"/>
    <xf numFmtId="0" fontId="7" fillId="40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29" fillId="40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24" fillId="0" borderId="0" applyFont="0" applyFill="0" applyBorder="0" applyAlignment="0" applyProtection="0">
      <alignment horizontal="right"/>
    </xf>
    <xf numFmtId="0" fontId="26" fillId="0" borderId="11"/>
    <xf numFmtId="173" fontId="30" fillId="0" borderId="0" applyFill="0" applyBorder="0" applyAlignment="0"/>
    <xf numFmtId="173" fontId="30" fillId="0" borderId="0" applyFill="0" applyBorder="0" applyAlignment="0"/>
    <xf numFmtId="168" fontId="22" fillId="0" borderId="0">
      <alignment horizontal="left" wrapText="1"/>
    </xf>
    <xf numFmtId="168" fontId="22" fillId="0" borderId="0">
      <alignment horizontal="left" wrapText="1"/>
    </xf>
    <xf numFmtId="173" fontId="30" fillId="0" borderId="0" applyFill="0" applyBorder="0" applyAlignment="0"/>
    <xf numFmtId="41" fontId="20" fillId="67" borderId="0"/>
    <xf numFmtId="0" fontId="31" fillId="68" borderId="12" applyNumberFormat="0" applyAlignment="0" applyProtection="0"/>
    <xf numFmtId="168" fontId="22" fillId="0" borderId="0">
      <alignment horizontal="left" wrapText="1"/>
    </xf>
    <xf numFmtId="0" fontId="31" fillId="68" borderId="12" applyNumberFormat="0" applyAlignment="0" applyProtection="0"/>
    <xf numFmtId="0" fontId="11" fillId="6" borderId="4" applyNumberFormat="0" applyAlignment="0" applyProtection="0"/>
    <xf numFmtId="0" fontId="32" fillId="69" borderId="4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0" fontId="11" fillId="6" borderId="4" applyNumberFormat="0" applyAlignment="0" applyProtection="0"/>
    <xf numFmtId="0" fontId="32" fillId="69" borderId="4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20" fillId="67" borderId="0"/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168" fontId="22" fillId="0" borderId="0">
      <alignment horizontal="left" wrapText="1"/>
    </xf>
    <xf numFmtId="41" fontId="20" fillId="67" borderId="0"/>
    <xf numFmtId="41" fontId="20" fillId="67" borderId="0"/>
    <xf numFmtId="41" fontId="20" fillId="67" borderId="0"/>
    <xf numFmtId="0" fontId="32" fillId="69" borderId="4" applyNumberFormat="0" applyAlignment="0" applyProtection="0"/>
    <xf numFmtId="0" fontId="11" fillId="6" borderId="4" applyNumberFormat="0" applyAlignment="0" applyProtection="0"/>
    <xf numFmtId="0" fontId="33" fillId="70" borderId="13" applyNumberFormat="0" applyAlignment="0" applyProtection="0"/>
    <xf numFmtId="0" fontId="33" fillId="70" borderId="13" applyNumberFormat="0" applyAlignment="0" applyProtection="0"/>
    <xf numFmtId="168" fontId="22" fillId="0" borderId="0">
      <alignment horizontal="left" wrapText="1"/>
    </xf>
    <xf numFmtId="0" fontId="33" fillId="70" borderId="13" applyNumberFormat="0" applyAlignment="0" applyProtection="0"/>
    <xf numFmtId="168" fontId="22" fillId="0" borderId="0">
      <alignment horizontal="left" wrapText="1"/>
    </xf>
    <xf numFmtId="0" fontId="13" fillId="7" borderId="7" applyNumberFormat="0" applyAlignment="0" applyProtection="0"/>
    <xf numFmtId="0" fontId="33" fillId="70" borderId="13" applyNumberFormat="0" applyAlignment="0" applyProtection="0"/>
    <xf numFmtId="41" fontId="20" fillId="71" borderId="0"/>
    <xf numFmtId="41" fontId="20" fillId="71" borderId="0"/>
    <xf numFmtId="168" fontId="22" fillId="0" borderId="0">
      <alignment horizontal="left" wrapText="1"/>
    </xf>
    <xf numFmtId="41" fontId="20" fillId="71" borderId="0"/>
    <xf numFmtId="41" fontId="20" fillId="71" borderId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3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7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168" fontId="22" fillId="0" borderId="0">
      <alignment horizontal="left" wrapText="1"/>
    </xf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2" fillId="0" borderId="0">
      <alignment horizontal="left" wrapText="1"/>
    </xf>
    <xf numFmtId="43" fontId="20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68" fontId="22" fillId="0" borderId="0">
      <alignment horizontal="left" wrapText="1"/>
    </xf>
    <xf numFmtId="3" fontId="37" fillId="0" borderId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6" fontId="44" fillId="0" borderId="0">
      <protection locked="0"/>
    </xf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168" fontId="22" fillId="0" borderId="0">
      <alignment horizontal="left" wrapText="1"/>
    </xf>
    <xf numFmtId="168" fontId="22" fillId="0" borderId="0">
      <alignment horizontal="left" wrapText="1"/>
    </xf>
    <xf numFmtId="0" fontId="46" fillId="0" borderId="0" applyNumberFormat="0" applyAlignment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0" fontId="38" fillId="0" borderId="0"/>
    <xf numFmtId="0" fontId="38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8" fontId="3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35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8" fontId="34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177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8" fontId="3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168" fontId="22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2" fillId="0" borderId="0">
      <alignment horizontal="left" wrapText="1"/>
    </xf>
    <xf numFmtId="44" fontId="20" fillId="0" borderId="0" applyFont="0" applyFill="0" applyBorder="0" applyAlignment="0" applyProtection="0"/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78" fontId="20" fillId="0" borderId="0" applyFont="0" applyFill="0" applyBorder="0" applyAlignment="0" applyProtection="0"/>
    <xf numFmtId="179" fontId="49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8" fontId="22" fillId="0" borderId="0">
      <alignment horizontal="left" wrapText="1"/>
    </xf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79" fontId="37" fillId="0" borderId="0" applyFont="0" applyFill="0" applyBorder="0" applyAlignment="0" applyProtection="0"/>
    <xf numFmtId="5" fontId="37" fillId="0" borderId="0" applyFill="0" applyBorder="0" applyAlignment="0" applyProtection="0"/>
    <xf numFmtId="178" fontId="20" fillId="0" borderId="0" applyFont="0" applyFill="0" applyBorder="0" applyAlignment="0" applyProtection="0"/>
    <xf numFmtId="180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8" fontId="22" fillId="0" borderId="0">
      <alignment horizontal="left" wrapText="1"/>
    </xf>
    <xf numFmtId="180" fontId="37" fillId="0" borderId="0" applyFill="0" applyBorder="0" applyAlignment="0" applyProtection="0"/>
    <xf numFmtId="0" fontId="42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37" fillId="0" borderId="0" applyFill="0" applyBorder="0" applyAlignment="0" applyProtection="0"/>
    <xf numFmtId="0" fontId="49" fillId="0" borderId="0" applyFont="0" applyFill="0" applyBorder="0" applyAlignment="0" applyProtection="0"/>
    <xf numFmtId="0" fontId="26" fillId="0" borderId="0"/>
    <xf numFmtId="0" fontId="50" fillId="72" borderId="0" applyNumberFormat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0" fontId="50" fillId="74" borderId="0" applyNumberFormat="0" applyBorder="0" applyAlignment="0" applyProtection="0"/>
    <xf numFmtId="168" fontId="20" fillId="0" borderId="0"/>
    <xf numFmtId="168" fontId="20" fillId="0" borderId="0"/>
    <xf numFmtId="16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/>
    <xf numFmtId="168" fontId="20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81" fontId="51" fillId="0" borderId="0"/>
    <xf numFmtId="168" fontId="22" fillId="0" borderId="0">
      <alignment horizontal="left" wrapText="1"/>
    </xf>
    <xf numFmtId="16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/>
    <xf numFmtId="168" fontId="20" fillId="0" borderId="0"/>
    <xf numFmtId="168" fontId="20" fillId="0" borderId="0"/>
    <xf numFmtId="182" fontId="20" fillId="0" borderId="0" applyFont="0" applyFill="0" applyBorder="0" applyAlignment="0" applyProtection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2" fontId="20" fillId="0" borderId="0" applyFont="0" applyFill="0" applyBorder="0" applyAlignment="0" applyProtection="0">
      <alignment horizontal="left" wrapText="1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68" fontId="22" fillId="0" borderId="0">
      <alignment horizontal="left" wrapText="1"/>
    </xf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2" fontId="37" fillId="0" borderId="0" applyFont="0" applyFill="0" applyBorder="0" applyAlignment="0" applyProtection="0"/>
    <xf numFmtId="2" fontId="37" fillId="0" borderId="0" applyFon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38" fillId="0" borderId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53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42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53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68" fontId="22" fillId="0" borderId="0">
      <alignment horizontal="left" wrapText="1"/>
    </xf>
    <xf numFmtId="38" fontId="54" fillId="71" borderId="0" applyNumberFormat="0" applyBorder="0" applyAlignment="0" applyProtection="0"/>
    <xf numFmtId="0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0" fontId="55" fillId="0" borderId="11"/>
    <xf numFmtId="183" fontId="56" fillId="0" borderId="0" applyNumberFormat="0" applyFill="0" applyBorder="0" applyProtection="0">
      <alignment horizontal="right"/>
    </xf>
    <xf numFmtId="0" fontId="57" fillId="0" borderId="14" applyNumberFormat="0" applyAlignment="0" applyProtection="0">
      <alignment horizontal="left"/>
    </xf>
    <xf numFmtId="0" fontId="57" fillId="0" borderId="14" applyNumberFormat="0" applyAlignment="0" applyProtection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57" fillId="0" borderId="14" applyNumberFormat="0" applyAlignment="0" applyProtection="0">
      <alignment horizontal="left"/>
    </xf>
    <xf numFmtId="168" fontId="22" fillId="0" borderId="0">
      <alignment horizontal="left" wrapText="1"/>
    </xf>
    <xf numFmtId="0" fontId="57" fillId="0" borderId="15">
      <alignment horizontal="left"/>
    </xf>
    <xf numFmtId="0" fontId="57" fillId="0" borderId="15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57" fillId="0" borderId="15">
      <alignment horizontal="left"/>
    </xf>
    <xf numFmtId="0" fontId="57" fillId="0" borderId="15">
      <alignment horizontal="left"/>
    </xf>
    <xf numFmtId="168" fontId="22" fillId="0" borderId="0">
      <alignment horizontal="left" wrapText="1"/>
    </xf>
    <xf numFmtId="14" fontId="58" fillId="75" borderId="16">
      <alignment horizontal="center" vertical="center" wrapText="1"/>
    </xf>
    <xf numFmtId="0" fontId="42" fillId="0" borderId="0" applyNumberFormat="0" applyFill="0" applyBorder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3" fillId="0" borderId="1" applyNumberFormat="0" applyFill="0" applyAlignment="0" applyProtection="0"/>
    <xf numFmtId="0" fontId="60" fillId="0" borderId="18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60" fillId="0" borderId="18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1" fillId="0" borderId="0" applyNumberFormat="0" applyFill="0" applyBorder="0" applyAlignment="0" applyProtection="0"/>
    <xf numFmtId="168" fontId="22" fillId="0" borderId="0">
      <alignment horizontal="left" wrapText="1"/>
    </xf>
    <xf numFmtId="0" fontId="60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0" fillId="0" borderId="18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62" fillId="0" borderId="19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63" fillId="0" borderId="20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3" fillId="0" borderId="20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54" fillId="0" borderId="0" applyNumberFormat="0" applyFill="0" applyBorder="0" applyAlignment="0" applyProtection="0"/>
    <xf numFmtId="168" fontId="22" fillId="0" borderId="0">
      <alignment horizontal="left" wrapText="1"/>
    </xf>
    <xf numFmtId="0" fontId="63" fillId="0" borderId="20" applyNumberFormat="0" applyFill="0" applyAlignment="0" applyProtection="0"/>
    <xf numFmtId="0" fontId="54" fillId="0" borderId="0" applyNumberFormat="0" applyFill="0" applyBorder="0" applyAlignment="0" applyProtection="0"/>
    <xf numFmtId="0" fontId="63" fillId="0" borderId="20" applyNumberFormat="0" applyFill="0" applyAlignment="0" applyProtection="0"/>
    <xf numFmtId="0" fontId="4" fillId="0" borderId="2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65" fillId="0" borderId="2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5" fillId="0" borderId="22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38" fontId="66" fillId="0" borderId="0"/>
    <xf numFmtId="38" fontId="66" fillId="0" borderId="0"/>
    <xf numFmtId="38" fontId="66" fillId="0" borderId="0"/>
    <xf numFmtId="38" fontId="66" fillId="0" borderId="0"/>
    <xf numFmtId="168" fontId="22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38" fontId="66" fillId="0" borderId="0"/>
    <xf numFmtId="38" fontId="66" fillId="0" borderId="0"/>
    <xf numFmtId="38" fontId="66" fillId="0" borderId="0"/>
    <xf numFmtId="40" fontId="66" fillId="0" borderId="0"/>
    <xf numFmtId="40" fontId="66" fillId="0" borderId="0"/>
    <xf numFmtId="40" fontId="66" fillId="0" borderId="0"/>
    <xf numFmtId="40" fontId="66" fillId="0" borderId="0"/>
    <xf numFmtId="168" fontId="22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40" fontId="66" fillId="0" borderId="0"/>
    <xf numFmtId="40" fontId="66" fillId="0" borderId="0"/>
    <xf numFmtId="40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168" fontId="22" fillId="0" borderId="0">
      <alignment horizontal="left" wrapText="1"/>
    </xf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68" fontId="22" fillId="0" borderId="0">
      <alignment horizontal="left" wrapText="1"/>
    </xf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0" fontId="54" fillId="67" borderId="23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168" fontId="22" fillId="0" borderId="0">
      <alignment horizontal="left" wrapText="1"/>
    </xf>
    <xf numFmtId="0" fontId="68" fillId="41" borderId="12" applyNumberFormat="0" applyAlignment="0" applyProtection="0"/>
    <xf numFmtId="0" fontId="68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68" fillId="41" borderId="12" applyNumberFormat="0" applyAlignment="0" applyProtection="0"/>
    <xf numFmtId="168" fontId="22" fillId="0" borderId="0">
      <alignment horizontal="left" wrapText="1"/>
    </xf>
    <xf numFmtId="0" fontId="68" fillId="41" borderId="12" applyNumberFormat="0" applyAlignment="0" applyProtection="0"/>
    <xf numFmtId="0" fontId="9" fillId="5" borderId="4" applyNumberFormat="0" applyAlignment="0" applyProtection="0"/>
    <xf numFmtId="0" fontId="9" fillId="44" borderId="4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0" fontId="68" fillId="41" borderId="12" applyNumberFormat="0" applyAlignment="0" applyProtection="0"/>
    <xf numFmtId="41" fontId="69" fillId="76" borderId="24">
      <alignment horizontal="left"/>
      <protection locked="0"/>
    </xf>
    <xf numFmtId="168" fontId="22" fillId="0" borderId="0">
      <alignment horizontal="left" wrapText="1"/>
    </xf>
    <xf numFmtId="41" fontId="69" fillId="76" borderId="24">
      <alignment horizontal="left"/>
      <protection locked="0"/>
    </xf>
    <xf numFmtId="10" fontId="69" fillId="76" borderId="24">
      <alignment horizontal="right"/>
      <protection locked="0"/>
    </xf>
    <xf numFmtId="168" fontId="22" fillId="0" borderId="0">
      <alignment horizontal="left" wrapText="1"/>
    </xf>
    <xf numFmtId="10" fontId="69" fillId="76" borderId="24">
      <alignment horizontal="right"/>
      <protection locked="0"/>
    </xf>
    <xf numFmtId="168" fontId="22" fillId="0" borderId="0">
      <alignment horizontal="left" wrapText="1"/>
    </xf>
    <xf numFmtId="41" fontId="69" fillId="76" borderId="24">
      <alignment horizontal="left"/>
      <protection locked="0"/>
    </xf>
    <xf numFmtId="0" fontId="55" fillId="0" borderId="25"/>
    <xf numFmtId="0" fontId="54" fillId="71" borderId="0"/>
    <xf numFmtId="0" fontId="54" fillId="71" borderId="0"/>
    <xf numFmtId="0" fontId="54" fillId="71" borderId="0"/>
    <xf numFmtId="0" fontId="54" fillId="71" borderId="0"/>
    <xf numFmtId="168" fontId="22" fillId="0" borderId="0">
      <alignment horizontal="left" wrapText="1"/>
    </xf>
    <xf numFmtId="3" fontId="70" fillId="0" borderId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70" fillId="0" borderId="0" applyFill="0" applyBorder="0" applyAlignment="0" applyProtection="0"/>
    <xf numFmtId="3" fontId="70" fillId="0" borderId="0" applyFill="0" applyBorder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12" fillId="0" borderId="6" applyNumberFormat="0" applyFill="0" applyAlignment="0" applyProtection="0"/>
    <xf numFmtId="0" fontId="72" fillId="0" borderId="27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0" fontId="72" fillId="0" borderId="27" applyNumberFormat="0" applyFill="0" applyAlignment="0" applyProtection="0"/>
    <xf numFmtId="18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168" fontId="22" fillId="0" borderId="0">
      <alignment horizontal="left" wrapText="1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8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168" fontId="22" fillId="0" borderId="0">
      <alignment horizontal="left" wrapText="1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44" fontId="58" fillId="0" borderId="2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73" fillId="44" borderId="0" applyNumberFormat="0" applyBorder="0" applyAlignment="0" applyProtection="0"/>
    <xf numFmtId="0" fontId="8" fillId="4" borderId="0" applyNumberFormat="0" applyBorder="0" applyAlignment="0" applyProtection="0"/>
    <xf numFmtId="0" fontId="74" fillId="4" borderId="0" applyNumberForma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75" fillId="44" borderId="0" applyNumberFormat="0" applyBorder="0" applyAlignment="0" applyProtection="0"/>
    <xf numFmtId="0" fontId="74" fillId="4" borderId="0" applyNumberFormat="0" applyBorder="0" applyAlignment="0" applyProtection="0"/>
    <xf numFmtId="0" fontId="74" fillId="4" borderId="0" applyNumberFormat="0" applyBorder="0" applyAlignment="0" applyProtection="0"/>
    <xf numFmtId="37" fontId="76" fillId="0" borderId="0"/>
    <xf numFmtId="37" fontId="76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37" fontId="76" fillId="0" borderId="0"/>
    <xf numFmtId="185" fontId="77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6" fontId="20" fillId="0" borderId="0"/>
    <xf numFmtId="186" fontId="20" fillId="0" borderId="0"/>
    <xf numFmtId="168" fontId="22" fillId="0" borderId="0">
      <alignment horizontal="left" wrapText="1"/>
    </xf>
    <xf numFmtId="186" fontId="20" fillId="0" borderId="0"/>
    <xf numFmtId="186" fontId="20" fillId="0" borderId="0"/>
    <xf numFmtId="187" fontId="22" fillId="0" borderId="0"/>
    <xf numFmtId="187" fontId="22" fillId="0" borderId="0"/>
    <xf numFmtId="185" fontId="77" fillId="0" borderId="0"/>
    <xf numFmtId="0" fontId="20" fillId="0" borderId="0"/>
    <xf numFmtId="185" fontId="77" fillId="0" borderId="0"/>
    <xf numFmtId="188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7" fontId="22" fillId="0" borderId="0"/>
    <xf numFmtId="189" fontId="20" fillId="0" borderId="0"/>
    <xf numFmtId="190" fontId="36" fillId="0" borderId="0"/>
    <xf numFmtId="169" fontId="20" fillId="0" borderId="0">
      <alignment horizontal="left" wrapText="1"/>
    </xf>
    <xf numFmtId="169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20" fillId="0" borderId="0" applyFill="0" applyBorder="0" applyAlignment="0" applyProtection="0"/>
    <xf numFmtId="0" fontId="1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86" fontId="22" fillId="0" borderId="0">
      <alignment horizontal="left" wrapText="1"/>
    </xf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18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0" fillId="0" borderId="0"/>
    <xf numFmtId="0" fontId="1" fillId="0" borderId="0"/>
    <xf numFmtId="186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186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186" fontId="22" fillId="0" borderId="0">
      <alignment horizontal="left" wrapText="1"/>
    </xf>
    <xf numFmtId="168" fontId="20" fillId="0" borderId="0">
      <alignment horizontal="left" wrapText="1"/>
    </xf>
    <xf numFmtId="186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86" fontId="22" fillId="0" borderId="0">
      <alignment horizontal="left" wrapText="1"/>
    </xf>
    <xf numFmtId="186" fontId="22" fillId="0" borderId="0">
      <alignment horizontal="left" wrapText="1"/>
    </xf>
    <xf numFmtId="186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86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8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35" fillId="0" borderId="0"/>
    <xf numFmtId="168" fontId="22" fillId="0" borderId="0">
      <alignment horizontal="left" wrapText="1"/>
    </xf>
    <xf numFmtId="0" fontId="27" fillId="0" borderId="0"/>
    <xf numFmtId="0" fontId="27" fillId="0" borderId="0"/>
    <xf numFmtId="0" fontId="35" fillId="0" borderId="0"/>
    <xf numFmtId="0" fontId="27" fillId="0" borderId="0"/>
    <xf numFmtId="0" fontId="27" fillId="0" borderId="0"/>
    <xf numFmtId="0" fontId="35" fillId="0" borderId="0"/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1" fontId="20" fillId="0" borderId="0">
      <alignment horizontal="left" wrapText="1"/>
    </xf>
    <xf numFmtId="191" fontId="20" fillId="0" borderId="0">
      <alignment horizontal="left" wrapText="1"/>
    </xf>
    <xf numFmtId="168" fontId="22" fillId="0" borderId="0">
      <alignment horizontal="left" wrapText="1"/>
    </xf>
    <xf numFmtId="191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91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2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2" fillId="0" borderId="0"/>
    <xf numFmtId="193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9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20" fillId="0" borderId="0"/>
    <xf numFmtId="164" fontId="20" fillId="0" borderId="0">
      <alignment horizontal="left" wrapText="1"/>
    </xf>
    <xf numFmtId="164" fontId="20" fillId="0" borderId="0">
      <alignment horizontal="left" wrapText="1"/>
    </xf>
    <xf numFmtId="0" fontId="27" fillId="0" borderId="0"/>
    <xf numFmtId="164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0" fontId="47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39" fontId="79" fillId="0" borderId="0" applyNumberFormat="0" applyFill="0" applyBorder="0" applyAlignment="0" applyProtection="0"/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39" fontId="79" fillId="0" borderId="0" applyNumberFormat="0" applyFill="0" applyBorder="0" applyAlignment="0" applyProtection="0"/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0" fontId="35" fillId="0" borderId="0"/>
    <xf numFmtId="0" fontId="35" fillId="0" borderId="0"/>
    <xf numFmtId="0" fontId="35" fillId="0" borderId="0"/>
    <xf numFmtId="0" fontId="35" fillId="0" borderId="0"/>
    <xf numFmtId="168" fontId="22" fillId="0" borderId="0">
      <alignment horizontal="left" wrapText="1"/>
    </xf>
    <xf numFmtId="0" fontId="20" fillId="0" borderId="0"/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20" fillId="0" borderId="0"/>
    <xf numFmtId="168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195" fontId="20" fillId="0" borderId="0">
      <alignment horizontal="left" wrapText="1"/>
    </xf>
    <xf numFmtId="0" fontId="20" fillId="0" borderId="0"/>
    <xf numFmtId="0" fontId="1" fillId="0" borderId="0"/>
    <xf numFmtId="0" fontId="20" fillId="0" borderId="0"/>
    <xf numFmtId="0" fontId="20" fillId="0" borderId="0"/>
    <xf numFmtId="0" fontId="27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0" fontId="35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0" fillId="0" borderId="0"/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0" fontId="20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0" fontId="20" fillId="0" borderId="0"/>
    <xf numFmtId="0" fontId="1" fillId="0" borderId="0"/>
    <xf numFmtId="0" fontId="1" fillId="0" borderId="0"/>
    <xf numFmtId="0" fontId="78" fillId="0" borderId="0"/>
    <xf numFmtId="19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27" fillId="0" borderId="0"/>
    <xf numFmtId="0" fontId="20" fillId="0" borderId="0"/>
    <xf numFmtId="0" fontId="20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0" fontId="1" fillId="0" borderId="0"/>
    <xf numFmtId="0" fontId="1" fillId="0" borderId="0"/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0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0" fillId="39" borderId="30" applyNumberFormat="0" applyFont="0" applyAlignment="0" applyProtection="0"/>
    <xf numFmtId="168" fontId="22" fillId="0" borderId="0">
      <alignment horizontal="left" wrapText="1"/>
    </xf>
    <xf numFmtId="0" fontId="20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2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168" fontId="22" fillId="0" borderId="0">
      <alignment horizontal="left" wrapText="1"/>
    </xf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168" fontId="22" fillId="0" borderId="0">
      <alignment horizontal="left" wrapText="1"/>
    </xf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39" borderId="30" applyNumberFormat="0" applyFont="0" applyAlignment="0" applyProtection="0"/>
    <xf numFmtId="0" fontId="27" fillId="39" borderId="30" applyNumberFormat="0" applyFont="0" applyAlignment="0" applyProtection="0"/>
    <xf numFmtId="0" fontId="80" fillId="68" borderId="31" applyNumberFormat="0" applyAlignment="0" applyProtection="0"/>
    <xf numFmtId="0" fontId="80" fillId="68" borderId="31" applyNumberFormat="0" applyAlignment="0" applyProtection="0"/>
    <xf numFmtId="168" fontId="22" fillId="0" borderId="0">
      <alignment horizontal="left" wrapText="1"/>
    </xf>
    <xf numFmtId="0" fontId="80" fillId="68" borderId="31" applyNumberFormat="0" applyAlignment="0" applyProtection="0"/>
    <xf numFmtId="0" fontId="80" fillId="68" borderId="31" applyNumberFormat="0" applyAlignment="0" applyProtection="0"/>
    <xf numFmtId="0" fontId="80" fillId="68" borderId="31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80" fillId="69" borderId="31" applyNumberFormat="0" applyAlignment="0" applyProtection="0"/>
    <xf numFmtId="0" fontId="10" fillId="69" borderId="5" applyNumberFormat="0" applyAlignment="0" applyProtection="0"/>
    <xf numFmtId="0" fontId="10" fillId="69" borderId="5" applyNumberFormat="0" applyAlignment="0" applyProtection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41" fillId="0" borderId="0"/>
    <xf numFmtId="197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48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0" fontId="20" fillId="0" borderId="24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35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9" fontId="35" fillId="0" borderId="0" applyFont="0" applyFill="0" applyBorder="0" applyAlignment="0" applyProtection="0"/>
    <xf numFmtId="10" fontId="20" fillId="0" borderId="24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10" fontId="20" fillId="0" borderId="24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68" fontId="22" fillId="0" borderId="0">
      <alignment horizontal="left" wrapText="1"/>
    </xf>
    <xf numFmtId="10" fontId="20" fillId="0" borderId="24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>
      <alignment horizontal="left" wrapText="1"/>
    </xf>
    <xf numFmtId="9" fontId="34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2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2" fillId="0" borderId="0">
      <alignment horizontal="left" wrapText="1"/>
    </xf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10" fontId="20" fillId="0" borderId="24"/>
    <xf numFmtId="41" fontId="20" fillId="77" borderId="24"/>
    <xf numFmtId="41" fontId="20" fillId="77" borderId="24"/>
    <xf numFmtId="168" fontId="22" fillId="0" borderId="0">
      <alignment horizontal="left" wrapText="1"/>
    </xf>
    <xf numFmtId="41" fontId="20" fillId="77" borderId="24"/>
    <xf numFmtId="41" fontId="20" fillId="77" borderId="24"/>
    <xf numFmtId="168" fontId="22" fillId="0" borderId="0">
      <alignment horizontal="left" wrapText="1"/>
    </xf>
    <xf numFmtId="0" fontId="35" fillId="0" borderId="0" applyNumberFormat="0" applyFont="0" applyFill="0" applyBorder="0" applyAlignment="0" applyProtection="0">
      <alignment horizontal="left"/>
    </xf>
    <xf numFmtId="0" fontId="35" fillId="0" borderId="0" applyNumberFormat="0" applyFont="0" applyFill="0" applyBorder="0" applyAlignment="0" applyProtection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35" fillId="0" borderId="0" applyNumberFormat="0" applyFont="0" applyFill="0" applyBorder="0" applyAlignment="0" applyProtection="0">
      <alignment horizontal="left"/>
    </xf>
    <xf numFmtId="15" fontId="35" fillId="0" borderId="0" applyFont="0" applyFill="0" applyBorder="0" applyAlignment="0" applyProtection="0"/>
    <xf numFmtId="15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15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4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" fontId="35" fillId="0" borderId="0" applyFont="0" applyFill="0" applyBorder="0" applyAlignment="0" applyProtection="0"/>
    <xf numFmtId="0" fontId="81" fillId="0" borderId="16">
      <alignment horizontal="center"/>
    </xf>
    <xf numFmtId="0" fontId="81" fillId="0" borderId="16">
      <alignment horizontal="center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81" fillId="0" borderId="16">
      <alignment horizontal="center"/>
    </xf>
    <xf numFmtId="3" fontId="35" fillId="0" borderId="0" applyFont="0" applyFill="0" applyBorder="0" applyAlignment="0" applyProtection="0"/>
    <xf numFmtId="3" fontId="35" fillId="0" borderId="0" applyFon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35" fillId="0" borderId="0" applyFont="0" applyFill="0" applyBorder="0" applyAlignment="0" applyProtection="0"/>
    <xf numFmtId="0" fontId="35" fillId="78" borderId="0" applyNumberFormat="0" applyFont="0" applyBorder="0" applyAlignment="0" applyProtection="0"/>
    <xf numFmtId="0" fontId="35" fillId="78" borderId="0" applyNumberFormat="0" applyFont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35" fillId="78" borderId="0" applyNumberFormat="0" applyFont="0" applyBorder="0" applyAlignment="0" applyProtection="0"/>
    <xf numFmtId="0" fontId="40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3" fontId="82" fillId="0" borderId="0" applyFill="0" applyBorder="0" applyAlignment="0" applyProtection="0"/>
    <xf numFmtId="0" fontId="83" fillId="0" borderId="0"/>
    <xf numFmtId="0" fontId="84" fillId="0" borderId="0"/>
    <xf numFmtId="0" fontId="84" fillId="0" borderId="0"/>
    <xf numFmtId="0" fontId="83" fillId="0" borderId="0"/>
    <xf numFmtId="0" fontId="84" fillId="0" borderId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42" fontId="20" fillId="67" borderId="0"/>
    <xf numFmtId="0" fontId="39" fillId="79" borderId="0"/>
    <xf numFmtId="0" fontId="85" fillId="79" borderId="25"/>
    <xf numFmtId="0" fontId="86" fillId="80" borderId="32"/>
    <xf numFmtId="0" fontId="87" fillId="79" borderId="33"/>
    <xf numFmtId="42" fontId="20" fillId="67" borderId="0"/>
    <xf numFmtId="168" fontId="22" fillId="0" borderId="0">
      <alignment horizontal="left" wrapText="1"/>
    </xf>
    <xf numFmtId="42" fontId="20" fillId="67" borderId="0"/>
    <xf numFmtId="168" fontId="22" fillId="0" borderId="0">
      <alignment horizontal="left" wrapText="1"/>
    </xf>
    <xf numFmtId="42" fontId="20" fillId="67" borderId="0"/>
    <xf numFmtId="42" fontId="20" fillId="67" borderId="0"/>
    <xf numFmtId="42" fontId="20" fillId="67" borderId="34">
      <alignment vertical="center"/>
    </xf>
    <xf numFmtId="42" fontId="20" fillId="67" borderId="34">
      <alignment vertical="center"/>
    </xf>
    <xf numFmtId="168" fontId="22" fillId="0" borderId="0">
      <alignment horizontal="left" wrapText="1"/>
    </xf>
    <xf numFmtId="42" fontId="20" fillId="67" borderId="34">
      <alignment vertical="center"/>
    </xf>
    <xf numFmtId="168" fontId="22" fillId="0" borderId="0">
      <alignment horizontal="left" wrapText="1"/>
    </xf>
    <xf numFmtId="42" fontId="20" fillId="67" borderId="34">
      <alignment vertical="center"/>
    </xf>
    <xf numFmtId="168" fontId="22" fillId="0" borderId="0">
      <alignment horizontal="left" wrapText="1"/>
    </xf>
    <xf numFmtId="0" fontId="58" fillId="67" borderId="10" applyNumberFormat="0">
      <alignment horizontal="center" vertical="center" wrapText="1"/>
    </xf>
    <xf numFmtId="0" fontId="58" fillId="67" borderId="35" applyNumberFormat="0">
      <alignment horizontal="center" vertical="center" wrapText="1"/>
    </xf>
    <xf numFmtId="0" fontId="58" fillId="67" borderId="10" applyNumberFormat="0">
      <alignment horizontal="center" vertical="center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0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0" fontId="20" fillId="67" borderId="0"/>
    <xf numFmtId="10" fontId="20" fillId="67" borderId="0"/>
    <xf numFmtId="10" fontId="20" fillId="67" borderId="0"/>
    <xf numFmtId="196" fontId="20" fillId="67" borderId="0"/>
    <xf numFmtId="196" fontId="20" fillId="67" borderId="0"/>
    <xf numFmtId="196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96" fontId="20" fillId="67" borderId="0"/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96" fontId="20" fillId="67" borderId="0"/>
    <xf numFmtId="168" fontId="22" fillId="0" borderId="0">
      <alignment horizontal="left" wrapText="1"/>
    </xf>
    <xf numFmtId="168" fontId="22" fillId="0" borderId="0">
      <alignment horizontal="left" wrapText="1"/>
    </xf>
    <xf numFmtId="196" fontId="20" fillId="67" borderId="0"/>
    <xf numFmtId="196" fontId="20" fillId="67" borderId="0"/>
    <xf numFmtId="196" fontId="20" fillId="67" borderId="0"/>
    <xf numFmtId="42" fontId="20" fillId="67" borderId="0"/>
    <xf numFmtId="166" fontId="66" fillId="0" borderId="0" applyBorder="0" applyAlignment="0"/>
    <xf numFmtId="166" fontId="66" fillId="0" borderId="0" applyBorder="0" applyAlignment="0"/>
    <xf numFmtId="166" fontId="66" fillId="0" borderId="0" applyBorder="0" applyAlignment="0"/>
    <xf numFmtId="42" fontId="20" fillId="67" borderId="36">
      <alignment horizontal="left"/>
    </xf>
    <xf numFmtId="42" fontId="20" fillId="67" borderId="36">
      <alignment horizontal="left"/>
    </xf>
    <xf numFmtId="168" fontId="22" fillId="0" borderId="0">
      <alignment horizontal="left" wrapText="1"/>
    </xf>
    <xf numFmtId="42" fontId="20" fillId="67" borderId="36">
      <alignment horizontal="left"/>
    </xf>
    <xf numFmtId="168" fontId="22" fillId="0" borderId="0">
      <alignment horizontal="left" wrapText="1"/>
    </xf>
    <xf numFmtId="42" fontId="20" fillId="67" borderId="36">
      <alignment horizontal="left"/>
    </xf>
    <xf numFmtId="168" fontId="22" fillId="0" borderId="0">
      <alignment horizontal="left" wrapText="1"/>
    </xf>
    <xf numFmtId="196" fontId="88" fillId="67" borderId="36">
      <alignment horizontal="left"/>
    </xf>
    <xf numFmtId="168" fontId="22" fillId="0" borderId="0">
      <alignment horizontal="left" wrapText="1"/>
    </xf>
    <xf numFmtId="196" fontId="88" fillId="67" borderId="36">
      <alignment horizontal="left"/>
    </xf>
    <xf numFmtId="166" fontId="66" fillId="0" borderId="0" applyBorder="0" applyAlignment="0"/>
    <xf numFmtId="14" fontId="22" fillId="0" borderId="0" applyNumberFormat="0" applyFill="0" applyBorder="0" applyAlignment="0" applyProtection="0">
      <alignment horizontal="left"/>
    </xf>
    <xf numFmtId="14" fontId="22" fillId="0" borderId="0" applyNumberFormat="0" applyFill="0" applyBorder="0" applyAlignment="0" applyProtection="0">
      <alignment horizontal="left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68" fontId="22" fillId="0" borderId="0">
      <alignment horizontal="left" wrapText="1"/>
    </xf>
    <xf numFmtId="168" fontId="22" fillId="0" borderId="0">
      <alignment horizontal="left" wrapText="1"/>
    </xf>
    <xf numFmtId="198" fontId="20" fillId="0" borderId="0" applyFont="0" applyFill="0" applyAlignment="0">
      <alignment horizontal="right"/>
    </xf>
    <xf numFmtId="198" fontId="20" fillId="0" borderId="0" applyFont="0" applyFill="0" applyAlignment="0">
      <alignment horizontal="right"/>
    </xf>
    <xf numFmtId="4" fontId="89" fillId="76" borderId="31" applyNumberFormat="0" applyProtection="0">
      <alignment vertical="center"/>
    </xf>
    <xf numFmtId="168" fontId="22" fillId="0" borderId="0">
      <alignment horizontal="left" wrapText="1"/>
    </xf>
    <xf numFmtId="4" fontId="89" fillId="76" borderId="31" applyNumberFormat="0" applyProtection="0">
      <alignment vertical="center"/>
    </xf>
    <xf numFmtId="4" fontId="90" fillId="76" borderId="31" applyNumberFormat="0" applyProtection="0">
      <alignment vertical="center"/>
    </xf>
    <xf numFmtId="168" fontId="22" fillId="0" borderId="0">
      <alignment horizontal="left" wrapText="1"/>
    </xf>
    <xf numFmtId="4" fontId="90" fillId="76" borderId="31" applyNumberFormat="0" applyProtection="0">
      <alignment vertical="center"/>
    </xf>
    <xf numFmtId="4" fontId="89" fillId="76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76" borderId="31" applyNumberFormat="0" applyProtection="0">
      <alignment horizontal="left" vertical="center" indent="1"/>
    </xf>
    <xf numFmtId="4" fontId="89" fillId="76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76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2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89" fillId="83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3" borderId="31" applyNumberFormat="0" applyProtection="0">
      <alignment horizontal="right" vertical="center"/>
    </xf>
    <xf numFmtId="4" fontId="89" fillId="84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4" borderId="31" applyNumberFormat="0" applyProtection="0">
      <alignment horizontal="right" vertical="center"/>
    </xf>
    <xf numFmtId="4" fontId="89" fillId="85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5" borderId="31" applyNumberFormat="0" applyProtection="0">
      <alignment horizontal="right" vertical="center"/>
    </xf>
    <xf numFmtId="4" fontId="89" fillId="86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6" borderId="31" applyNumberFormat="0" applyProtection="0">
      <alignment horizontal="right" vertical="center"/>
    </xf>
    <xf numFmtId="4" fontId="89" fillId="87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7" borderId="31" applyNumberFormat="0" applyProtection="0">
      <alignment horizontal="right" vertical="center"/>
    </xf>
    <xf numFmtId="4" fontId="89" fillId="88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8" borderId="31" applyNumberFormat="0" applyProtection="0">
      <alignment horizontal="right" vertical="center"/>
    </xf>
    <xf numFmtId="4" fontId="89" fillId="89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89" borderId="31" applyNumberFormat="0" applyProtection="0">
      <alignment horizontal="right" vertical="center"/>
    </xf>
    <xf numFmtId="4" fontId="89" fillId="90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0" borderId="31" applyNumberFormat="0" applyProtection="0">
      <alignment horizontal="right" vertical="center"/>
    </xf>
    <xf numFmtId="4" fontId="89" fillId="91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1" borderId="31" applyNumberFormat="0" applyProtection="0">
      <alignment horizontal="right" vertical="center"/>
    </xf>
    <xf numFmtId="4" fontId="91" fillId="92" borderId="31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4" fontId="91" fillId="92" borderId="31" applyNumberFormat="0" applyProtection="0">
      <alignment horizontal="left" vertical="center" indent="1"/>
    </xf>
    <xf numFmtId="4" fontId="89" fillId="94" borderId="37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4" fontId="89" fillId="94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4" fontId="92" fillId="95" borderId="0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4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4" fontId="93" fillId="0" borderId="0" applyNumberFormat="0" applyProtection="0">
      <alignment horizontal="left" vertical="center" indent="1"/>
    </xf>
    <xf numFmtId="4" fontId="89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6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97" borderId="31" applyNumberFormat="0" applyProtection="0">
      <alignment horizontal="left" vertical="center" indent="1"/>
    </xf>
    <xf numFmtId="0" fontId="20" fillId="97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71" borderId="31" applyNumberFormat="0" applyProtection="0">
      <alignment horizontal="left" vertical="center" indent="1"/>
    </xf>
    <xf numFmtId="0" fontId="20" fillId="7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69" borderId="23" applyNumberFormat="0">
      <protection locked="0"/>
    </xf>
    <xf numFmtId="0" fontId="20" fillId="69" borderId="23" applyNumberFormat="0">
      <protection locked="0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66" fillId="64" borderId="38" applyBorder="0"/>
    <xf numFmtId="4" fontId="89" fillId="98" borderId="31" applyNumberFormat="0" applyProtection="0">
      <alignment vertical="center"/>
    </xf>
    <xf numFmtId="168" fontId="22" fillId="0" borderId="0">
      <alignment horizontal="left" wrapText="1"/>
    </xf>
    <xf numFmtId="4" fontId="89" fillId="98" borderId="31" applyNumberFormat="0" applyProtection="0">
      <alignment vertical="center"/>
    </xf>
    <xf numFmtId="4" fontId="90" fillId="98" borderId="31" applyNumberFormat="0" applyProtection="0">
      <alignment vertical="center"/>
    </xf>
    <xf numFmtId="168" fontId="22" fillId="0" borderId="0">
      <alignment horizontal="left" wrapText="1"/>
    </xf>
    <xf numFmtId="4" fontId="90" fillId="98" borderId="31" applyNumberFormat="0" applyProtection="0">
      <alignment vertical="center"/>
    </xf>
    <xf numFmtId="4" fontId="89" fillId="98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98" borderId="31" applyNumberFormat="0" applyProtection="0">
      <alignment horizontal="left" vertical="center" indent="1"/>
    </xf>
    <xf numFmtId="4" fontId="89" fillId="98" borderId="31" applyNumberFormat="0" applyProtection="0">
      <alignment horizontal="left" vertical="center" indent="1"/>
    </xf>
    <xf numFmtId="168" fontId="22" fillId="0" borderId="0">
      <alignment horizontal="left" wrapText="1"/>
    </xf>
    <xf numFmtId="4" fontId="89" fillId="98" borderId="31" applyNumberFormat="0" applyProtection="0">
      <alignment horizontal="left" vertical="center" indent="1"/>
    </xf>
    <xf numFmtId="4" fontId="89" fillId="94" borderId="31" applyNumberFormat="0" applyProtection="0">
      <alignment horizontal="right" vertical="center"/>
    </xf>
    <xf numFmtId="4" fontId="89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89" fillId="94" borderId="31" applyNumberFormat="0" applyProtection="0">
      <alignment horizontal="right" vertical="center"/>
    </xf>
    <xf numFmtId="4" fontId="90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90" fillId="94" borderId="31" applyNumberFormat="0" applyProtection="0">
      <alignment horizontal="right" vertical="center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20" fillId="81" borderId="31" applyNumberFormat="0" applyProtection="0">
      <alignment horizontal="left" vertical="center" indent="1"/>
    </xf>
    <xf numFmtId="0" fontId="94" fillId="0" borderId="0"/>
    <xf numFmtId="0" fontId="94" fillId="0" borderId="0"/>
    <xf numFmtId="0" fontId="95" fillId="0" borderId="0" applyNumberFormat="0" applyProtection="0">
      <alignment horizontal="left" indent="5"/>
    </xf>
    <xf numFmtId="0" fontId="54" fillId="99" borderId="23"/>
    <xf numFmtId="4" fontId="96" fillId="94" borderId="31" applyNumberFormat="0" applyProtection="0">
      <alignment horizontal="right" vertical="center"/>
    </xf>
    <xf numFmtId="168" fontId="22" fillId="0" borderId="0">
      <alignment horizontal="left" wrapText="1"/>
    </xf>
    <xf numFmtId="4" fontId="96" fillId="94" borderId="31" applyNumberFormat="0" applyProtection="0">
      <alignment horizontal="right" vertical="center"/>
    </xf>
    <xf numFmtId="39" fontId="20" fillId="100" borderId="0"/>
    <xf numFmtId="39" fontId="20" fillId="100" borderId="0"/>
    <xf numFmtId="39" fontId="20" fillId="100" borderId="0"/>
    <xf numFmtId="168" fontId="22" fillId="0" borderId="0">
      <alignment horizontal="left" wrapText="1"/>
    </xf>
    <xf numFmtId="168" fontId="22" fillId="0" borderId="0">
      <alignment horizontal="left" wrapText="1"/>
    </xf>
    <xf numFmtId="39" fontId="20" fillId="100" borderId="0"/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39" fontId="20" fillId="100" borderId="0"/>
    <xf numFmtId="168" fontId="22" fillId="0" borderId="0">
      <alignment horizontal="left" wrapText="1"/>
    </xf>
    <xf numFmtId="168" fontId="22" fillId="0" borderId="0">
      <alignment horizontal="left" wrapText="1"/>
    </xf>
    <xf numFmtId="39" fontId="20" fillId="100" borderId="0"/>
    <xf numFmtId="39" fontId="20" fillId="100" borderId="0"/>
    <xf numFmtId="39" fontId="20" fillId="100" borderId="0"/>
    <xf numFmtId="0" fontId="97" fillId="0" borderId="0" applyNumberFormat="0" applyFill="0" applyBorder="0" applyAlignment="0" applyProtection="0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38" fontId="54" fillId="0" borderId="39"/>
    <xf numFmtId="168" fontId="22" fillId="0" borderId="0">
      <alignment horizontal="left" wrapText="1"/>
    </xf>
    <xf numFmtId="38" fontId="54" fillId="0" borderId="39"/>
    <xf numFmtId="0" fontId="54" fillId="0" borderId="39"/>
    <xf numFmtId="38" fontId="54" fillId="0" borderId="39"/>
    <xf numFmtId="38" fontId="54" fillId="0" borderId="39"/>
    <xf numFmtId="38" fontId="54" fillId="0" borderId="39"/>
    <xf numFmtId="38" fontId="66" fillId="0" borderId="36"/>
    <xf numFmtId="38" fontId="66" fillId="0" borderId="36"/>
    <xf numFmtId="38" fontId="66" fillId="0" borderId="36"/>
    <xf numFmtId="38" fontId="66" fillId="0" borderId="36"/>
    <xf numFmtId="168" fontId="22" fillId="0" borderId="0">
      <alignment horizontal="left" wrapText="1"/>
    </xf>
    <xf numFmtId="0" fontId="66" fillId="0" borderId="36"/>
    <xf numFmtId="0" fontId="66" fillId="0" borderId="36"/>
    <xf numFmtId="0" fontId="66" fillId="0" borderId="36"/>
    <xf numFmtId="38" fontId="66" fillId="0" borderId="36"/>
    <xf numFmtId="38" fontId="66" fillId="0" borderId="36"/>
    <xf numFmtId="38" fontId="66" fillId="0" borderId="36"/>
    <xf numFmtId="38" fontId="66" fillId="0" borderId="36"/>
    <xf numFmtId="39" fontId="22" fillId="101" borderId="0"/>
    <xf numFmtId="39" fontId="22" fillId="101" borderId="0"/>
    <xf numFmtId="168" fontId="20" fillId="0" borderId="0">
      <alignment horizontal="left" wrapText="1"/>
    </xf>
    <xf numFmtId="199" fontId="20" fillId="0" borderId="0">
      <alignment horizontal="left" wrapText="1"/>
    </xf>
    <xf numFmtId="191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9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97" fontId="20" fillId="0" borderId="0">
      <alignment horizontal="left" wrapText="1"/>
    </xf>
    <xf numFmtId="196" fontId="20" fillId="0" borderId="0">
      <alignment horizontal="left" wrapText="1"/>
    </xf>
    <xf numFmtId="196" fontId="20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68" fontId="22" fillId="0" borderId="0">
      <alignment horizontal="left" wrapText="1"/>
    </xf>
    <xf numFmtId="168" fontId="20" fillId="0" borderId="0">
      <alignment horizontal="left" wrapText="1"/>
    </xf>
    <xf numFmtId="168" fontId="20" fillId="0" borderId="0">
      <alignment horizontal="left" wrapText="1"/>
    </xf>
    <xf numFmtId="194" fontId="20" fillId="0" borderId="0">
      <alignment horizontal="left" wrapText="1"/>
    </xf>
    <xf numFmtId="194" fontId="20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94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68" fontId="22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2" fontId="20" fillId="0" borderId="0">
      <alignment horizontal="left" wrapText="1"/>
    </xf>
    <xf numFmtId="197" fontId="20" fillId="0" borderId="0">
      <alignment horizontal="left" wrapText="1"/>
    </xf>
    <xf numFmtId="197" fontId="20" fillId="0" borderId="0">
      <alignment horizontal="left" wrapText="1"/>
    </xf>
    <xf numFmtId="192" fontId="20" fillId="0" borderId="0">
      <alignment horizontal="left" wrapText="1"/>
    </xf>
    <xf numFmtId="168" fontId="20" fillId="0" borderId="0">
      <alignment horizontal="left" wrapText="1"/>
    </xf>
    <xf numFmtId="197" fontId="20" fillId="0" borderId="0">
      <alignment horizontal="left" wrapText="1"/>
    </xf>
    <xf numFmtId="168" fontId="20" fillId="0" borderId="0">
      <alignment horizontal="left" wrapText="1"/>
    </xf>
    <xf numFmtId="0" fontId="20" fillId="0" borderId="0">
      <alignment horizontal="left" wrapText="1"/>
    </xf>
    <xf numFmtId="0" fontId="89" fillId="0" borderId="0" applyNumberFormat="0" applyBorder="0" applyAlignment="0"/>
    <xf numFmtId="0" fontId="98" fillId="0" borderId="0" applyNumberFormat="0" applyBorder="0" applyAlignment="0"/>
    <xf numFmtId="0" fontId="91" fillId="0" borderId="0" applyNumberFormat="0" applyBorder="0" applyAlignment="0"/>
    <xf numFmtId="0" fontId="99" fillId="0" borderId="0"/>
    <xf numFmtId="0" fontId="55" fillId="0" borderId="33"/>
    <xf numFmtId="40" fontId="100" fillId="0" borderId="0" applyBorder="0">
      <alignment horizontal="right"/>
    </xf>
    <xf numFmtId="41" fontId="101" fillId="67" borderId="0">
      <alignment horizontal="left"/>
    </xf>
    <xf numFmtId="40" fontId="100" fillId="0" borderId="0" applyBorder="0">
      <alignment horizontal="right"/>
    </xf>
    <xf numFmtId="41" fontId="101" fillId="67" borderId="0">
      <alignment horizontal="left"/>
    </xf>
    <xf numFmtId="40" fontId="100" fillId="0" borderId="0" applyBorder="0">
      <alignment horizontal="right"/>
    </xf>
    <xf numFmtId="41" fontId="101" fillId="67" borderId="0">
      <alignment horizontal="left"/>
    </xf>
    <xf numFmtId="0" fontId="102" fillId="0" borderId="0"/>
    <xf numFmtId="0" fontId="20" fillId="0" borderId="0" applyNumberFormat="0" applyBorder="0" applyAlignment="0"/>
    <xf numFmtId="0" fontId="103" fillId="0" borderId="0" applyFill="0" applyBorder="0" applyProtection="0">
      <alignment horizontal="left" vertical="top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9" fillId="0" borderId="0"/>
    <xf numFmtId="0" fontId="85" fillId="79" borderId="0"/>
    <xf numFmtId="200" fontId="105" fillId="67" borderId="0">
      <alignment horizontal="left" vertical="center"/>
    </xf>
    <xf numFmtId="200" fontId="106" fillId="0" borderId="0">
      <alignment horizontal="left" vertical="center"/>
    </xf>
    <xf numFmtId="200" fontId="106" fillId="0" borderId="0">
      <alignment horizontal="left" vertical="center"/>
    </xf>
    <xf numFmtId="0" fontId="58" fillId="67" borderId="0">
      <alignment horizontal="left" wrapText="1"/>
    </xf>
    <xf numFmtId="0" fontId="58" fillId="67" borderId="0">
      <alignment horizontal="left" wrapText="1"/>
    </xf>
    <xf numFmtId="0" fontId="58" fillId="67" borderId="0">
      <alignment horizontal="left" wrapText="1"/>
    </xf>
    <xf numFmtId="168" fontId="22" fillId="0" borderId="0">
      <alignment horizontal="left" wrapText="1"/>
    </xf>
    <xf numFmtId="0" fontId="107" fillId="0" borderId="0">
      <alignment horizontal="left" vertical="center"/>
    </xf>
    <xf numFmtId="0" fontId="107" fillId="0" borderId="0">
      <alignment horizontal="left" vertical="center"/>
    </xf>
    <xf numFmtId="0" fontId="42" fillId="0" borderId="40" applyNumberFormat="0" applyFon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50" fillId="0" borderId="41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16" fillId="0" borderId="42" applyNumberFormat="0" applyFill="0" applyAlignment="0" applyProtection="0"/>
    <xf numFmtId="168" fontId="22" fillId="0" borderId="0">
      <alignment horizontal="left" wrapText="1"/>
    </xf>
    <xf numFmtId="168" fontId="22" fillId="0" borderId="0">
      <alignment horizontal="left" wrapText="1"/>
    </xf>
    <xf numFmtId="41" fontId="58" fillId="67" borderId="0">
      <alignment horizontal="left"/>
    </xf>
    <xf numFmtId="168" fontId="22" fillId="0" borderId="0">
      <alignment horizontal="left" wrapText="1"/>
    </xf>
    <xf numFmtId="168" fontId="22" fillId="0" borderId="0">
      <alignment horizontal="left" wrapText="1"/>
    </xf>
    <xf numFmtId="41" fontId="58" fillId="67" borderId="0">
      <alignment horizontal="left"/>
    </xf>
    <xf numFmtId="0" fontId="16" fillId="0" borderId="42" applyNumberFormat="0" applyFill="0" applyAlignment="0" applyProtection="0"/>
    <xf numFmtId="0" fontId="16" fillId="0" borderId="9" applyNumberFormat="0" applyFill="0" applyAlignment="0" applyProtection="0"/>
    <xf numFmtId="0" fontId="40" fillId="0" borderId="43"/>
    <xf numFmtId="0" fontId="41" fillId="0" borderId="43"/>
    <xf numFmtId="0" fontId="41" fillId="0" borderId="43"/>
    <xf numFmtId="0" fontId="40" fillId="0" borderId="43"/>
    <xf numFmtId="0" fontId="41" fillId="0" borderId="43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68" fontId="22" fillId="0" borderId="0">
      <alignment horizontal="left" wrapText="1"/>
    </xf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8" fillId="67" borderId="35" applyNumberFormat="0">
      <alignment horizontal="center" vertical="center" wrapText="1"/>
    </xf>
    <xf numFmtId="0" fontId="112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12" fillId="0" borderId="0">
      <alignment readingOrder="1"/>
    </xf>
    <xf numFmtId="0" fontId="112" fillId="0" borderId="0">
      <alignment readingOrder="1"/>
    </xf>
    <xf numFmtId="43" fontId="20" fillId="0" borderId="0" applyFont="0" applyFill="0" applyBorder="0" applyAlignment="0" applyProtection="0"/>
    <xf numFmtId="3" fontId="19" fillId="0" borderId="0"/>
    <xf numFmtId="9" fontId="20" fillId="0" borderId="0" applyFont="0" applyFill="0" applyBorder="0" applyAlignment="0" applyProtection="0"/>
    <xf numFmtId="0" fontId="20" fillId="89" borderId="0" applyNumberFormat="0" applyFont="0" applyFill="0" applyBorder="0" applyAlignment="0" applyProtection="0"/>
    <xf numFmtId="166" fontId="37" fillId="76" borderId="0" applyFont="0" applyFill="0" applyBorder="0" applyAlignment="0" applyProtection="0">
      <alignment wrapText="1"/>
    </xf>
    <xf numFmtId="3" fontId="19" fillId="0" borderId="0"/>
    <xf numFmtId="0" fontId="112" fillId="0" borderId="0">
      <alignment readingOrder="1"/>
    </xf>
    <xf numFmtId="38" fontId="111" fillId="0" borderId="0" applyNumberFormat="0" applyFont="0" applyFill="0" applyBorder="0">
      <alignment horizontal="left" indent="4"/>
      <protection locked="0"/>
    </xf>
    <xf numFmtId="9" fontId="37" fillId="0" borderId="0" applyFont="0" applyFill="0" applyBorder="0" applyAlignment="0" applyProtection="0"/>
    <xf numFmtId="9" fontId="10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9" fillId="0" borderId="0" applyFont="0" applyFill="0" applyBorder="0" applyAlignment="0" applyProtection="0"/>
    <xf numFmtId="0" fontId="110" fillId="0" borderId="0"/>
    <xf numFmtId="0" fontId="37" fillId="0" borderId="0"/>
    <xf numFmtId="0" fontId="109" fillId="0" borderId="0"/>
    <xf numFmtId="0" fontId="109" fillId="0" borderId="0"/>
    <xf numFmtId="44" fontId="109" fillId="0" borderId="0" applyFont="0" applyFill="0" applyBorder="0" applyAlignment="0" applyProtection="0"/>
    <xf numFmtId="44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08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21" fillId="0" borderId="0"/>
    <xf numFmtId="0" fontId="114" fillId="77" borderId="0"/>
    <xf numFmtId="0" fontId="113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3" fontId="19" fillId="0" borderId="0"/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  <xf numFmtId="0" fontId="20" fillId="0" borderId="0">
      <alignment readingOrder="1"/>
    </xf>
  </cellStyleXfs>
  <cellXfs count="404">
    <xf numFmtId="0" fontId="0" fillId="0" borderId="0" xfId="0"/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horizontal="center"/>
    </xf>
    <xf numFmtId="164" fontId="116" fillId="0" borderId="0" xfId="0" applyNumberFormat="1" applyFont="1"/>
    <xf numFmtId="37" fontId="116" fillId="0" borderId="0" xfId="0" applyNumberFormat="1" applyFont="1"/>
    <xf numFmtId="44" fontId="116" fillId="0" borderId="0" xfId="0" applyNumberFormat="1" applyFont="1"/>
    <xf numFmtId="0" fontId="116" fillId="33" borderId="0" xfId="0" applyFont="1" applyFill="1" applyAlignment="1">
      <alignment horizontal="center"/>
    </xf>
    <xf numFmtId="0" fontId="116" fillId="33" borderId="0" xfId="0" applyFont="1" applyFill="1"/>
    <xf numFmtId="0" fontId="21" fillId="33" borderId="0" xfId="0" applyFont="1" applyFill="1" applyBorder="1" applyAlignment="1">
      <alignment horizontal="center"/>
    </xf>
    <xf numFmtId="164" fontId="116" fillId="33" borderId="0" xfId="2" applyNumberFormat="1" applyFont="1" applyFill="1"/>
    <xf numFmtId="166" fontId="116" fillId="33" borderId="0" xfId="0" applyNumberFormat="1" applyFont="1" applyFill="1"/>
    <xf numFmtId="166" fontId="116" fillId="33" borderId="0" xfId="1" applyNumberFormat="1" applyFont="1" applyFill="1"/>
    <xf numFmtId="165" fontId="116" fillId="33" borderId="0" xfId="0" applyNumberFormat="1" applyFont="1" applyFill="1"/>
    <xf numFmtId="164" fontId="116" fillId="33" borderId="0" xfId="0" applyNumberFormat="1" applyFont="1" applyFill="1"/>
    <xf numFmtId="37" fontId="116" fillId="33" borderId="0" xfId="0" applyNumberFormat="1" applyFont="1" applyFill="1"/>
    <xf numFmtId="164" fontId="116" fillId="33" borderId="0" xfId="2" applyNumberFormat="1" applyFont="1" applyFill="1" applyAlignment="1">
      <alignment horizontal="center"/>
    </xf>
    <xf numFmtId="201" fontId="116" fillId="33" borderId="0" xfId="0" applyNumberFormat="1" applyFont="1" applyFill="1"/>
    <xf numFmtId="10" fontId="116" fillId="33" borderId="0" xfId="3" applyNumberFormat="1" applyFont="1" applyFill="1"/>
    <xf numFmtId="44" fontId="116" fillId="33" borderId="0" xfId="0" applyNumberFormat="1" applyFont="1" applyFill="1"/>
    <xf numFmtId="0" fontId="118" fillId="33" borderId="0" xfId="4" applyFont="1" applyFill="1"/>
    <xf numFmtId="0" fontId="118" fillId="33" borderId="0" xfId="4" applyFont="1" applyFill="1" applyAlignment="1">
      <alignment horizontal="center"/>
    </xf>
    <xf numFmtId="164" fontId="118" fillId="33" borderId="0" xfId="7408" applyNumberFormat="1" applyFont="1" applyFill="1"/>
    <xf numFmtId="0" fontId="118" fillId="33" borderId="0" xfId="4" quotePrefix="1" applyFont="1" applyFill="1" applyAlignment="1">
      <alignment horizontal="left"/>
    </xf>
    <xf numFmtId="0" fontId="116" fillId="33" borderId="0" xfId="4" applyFont="1" applyFill="1"/>
    <xf numFmtId="0" fontId="116" fillId="33" borderId="0" xfId="4" applyFont="1" applyFill="1" applyAlignment="1">
      <alignment horizontal="center"/>
    </xf>
    <xf numFmtId="0" fontId="120" fillId="33" borderId="0" xfId="4" applyFont="1" applyFill="1" applyAlignment="1">
      <alignment horizontal="left"/>
    </xf>
    <xf numFmtId="164" fontId="116" fillId="33" borderId="0" xfId="7408" applyNumberFormat="1" applyFont="1" applyFill="1"/>
    <xf numFmtId="166" fontId="116" fillId="33" borderId="0" xfId="6" applyNumberFormat="1" applyFont="1" applyFill="1" applyBorder="1"/>
    <xf numFmtId="44" fontId="116" fillId="33" borderId="0" xfId="7408" applyNumberFormat="1" applyFont="1" applyFill="1" applyBorder="1"/>
    <xf numFmtId="164" fontId="116" fillId="33" borderId="0" xfId="4" applyNumberFormat="1" applyFont="1" applyFill="1"/>
    <xf numFmtId="0" fontId="116" fillId="33" borderId="0" xfId="4" quotePrefix="1" applyFont="1" applyFill="1" applyAlignment="1">
      <alignment horizontal="left"/>
    </xf>
    <xf numFmtId="0" fontId="121" fillId="33" borderId="0" xfId="4" applyFont="1" applyFill="1"/>
    <xf numFmtId="3" fontId="118" fillId="33" borderId="0" xfId="4" applyNumberFormat="1" applyFont="1" applyFill="1"/>
    <xf numFmtId="0" fontId="122" fillId="33" borderId="0" xfId="4" applyFont="1" applyFill="1"/>
    <xf numFmtId="3" fontId="109" fillId="33" borderId="0" xfId="4" applyNumberFormat="1" applyFont="1" applyFill="1"/>
    <xf numFmtId="0" fontId="109" fillId="33" borderId="0" xfId="4" quotePrefix="1" applyFont="1" applyFill="1" applyAlignment="1">
      <alignment horizontal="center"/>
    </xf>
    <xf numFmtId="10" fontId="109" fillId="33" borderId="0" xfId="8776" applyNumberFormat="1" applyFont="1" applyFill="1"/>
    <xf numFmtId="0" fontId="109" fillId="33" borderId="0" xfId="4" applyFont="1" applyFill="1" applyAlignment="1">
      <alignment horizontal="center"/>
    </xf>
    <xf numFmtId="0" fontId="109" fillId="33" borderId="0" xfId="4" applyFont="1" applyFill="1"/>
    <xf numFmtId="10" fontId="118" fillId="33" borderId="0" xfId="8776" applyNumberFormat="1" applyFont="1" applyFill="1"/>
    <xf numFmtId="0" fontId="118" fillId="33" borderId="0" xfId="4" quotePrefix="1" applyFont="1" applyFill="1" applyAlignment="1">
      <alignment horizontal="center"/>
    </xf>
    <xf numFmtId="44" fontId="118" fillId="33" borderId="0" xfId="5" applyFont="1" applyFill="1" applyAlignment="1">
      <alignment horizontal="center"/>
    </xf>
    <xf numFmtId="44" fontId="118" fillId="33" borderId="0" xfId="4" applyNumberFormat="1" applyFont="1" applyFill="1"/>
    <xf numFmtId="166" fontId="118" fillId="33" borderId="0" xfId="6" applyNumberFormat="1" applyFont="1" applyFill="1" applyAlignment="1">
      <alignment horizontal="center"/>
    </xf>
    <xf numFmtId="166" fontId="118" fillId="0" borderId="0" xfId="0" applyNumberFormat="1" applyFont="1"/>
    <xf numFmtId="202" fontId="116" fillId="0" borderId="0" xfId="0" applyNumberFormat="1" applyFont="1"/>
    <xf numFmtId="166" fontId="116" fillId="0" borderId="0" xfId="1" applyNumberFormat="1" applyFont="1"/>
    <xf numFmtId="166" fontId="116" fillId="0" borderId="0" xfId="0" applyNumberFormat="1" applyFont="1"/>
    <xf numFmtId="7" fontId="116" fillId="0" borderId="0" xfId="2" applyNumberFormat="1" applyFont="1"/>
    <xf numFmtId="166" fontId="0" fillId="0" borderId="0" xfId="0" applyNumberFormat="1"/>
    <xf numFmtId="166" fontId="0" fillId="0" borderId="36" xfId="0" applyNumberFormat="1" applyBorder="1"/>
    <xf numFmtId="0" fontId="116" fillId="0" borderId="0" xfId="0" applyFont="1" applyAlignment="1">
      <alignment horizontal="right"/>
    </xf>
    <xf numFmtId="164" fontId="116" fillId="33" borderId="36" xfId="7408" applyNumberFormat="1" applyFont="1" applyFill="1" applyBorder="1"/>
    <xf numFmtId="44" fontId="116" fillId="0" borderId="0" xfId="2" applyNumberFormat="1" applyFont="1" applyFill="1" applyAlignment="1">
      <alignment horizontal="center"/>
    </xf>
    <xf numFmtId="164" fontId="116" fillId="0" borderId="0" xfId="2" applyNumberFormat="1" applyFont="1" applyFill="1"/>
    <xf numFmtId="166" fontId="0" fillId="0" borderId="0" xfId="0" applyNumberFormat="1" applyBorder="1"/>
    <xf numFmtId="197" fontId="0" fillId="0" borderId="0" xfId="3" applyNumberFormat="1" applyFont="1"/>
    <xf numFmtId="0" fontId="118" fillId="0" borderId="0" xfId="4" applyFont="1"/>
    <xf numFmtId="0" fontId="124" fillId="33" borderId="0" xfId="4" applyFont="1" applyFill="1" applyAlignment="1"/>
    <xf numFmtId="0" fontId="124" fillId="33" borderId="0" xfId="0" applyFont="1" applyFill="1" applyAlignment="1"/>
    <xf numFmtId="0" fontId="125" fillId="0" borderId="0" xfId="4" applyNumberFormat="1" applyFont="1" applyBorder="1"/>
    <xf numFmtId="0" fontId="118" fillId="33" borderId="0" xfId="0" applyFont="1" applyFill="1" applyAlignment="1">
      <alignment horizontal="center"/>
    </xf>
    <xf numFmtId="0" fontId="115" fillId="33" borderId="0" xfId="0" applyFont="1" applyFill="1" applyAlignment="1">
      <alignment horizontal="center"/>
    </xf>
    <xf numFmtId="0" fontId="125" fillId="33" borderId="35" xfId="4" applyFont="1" applyFill="1" applyBorder="1" applyAlignment="1">
      <alignment horizontal="center" vertical="center" wrapText="1"/>
    </xf>
    <xf numFmtId="0" fontId="125" fillId="33" borderId="35" xfId="4" applyFont="1" applyFill="1" applyBorder="1" applyAlignment="1">
      <alignment vertical="center"/>
    </xf>
    <xf numFmtId="0" fontId="125" fillId="33" borderId="35" xfId="4" applyFont="1" applyFill="1" applyBorder="1" applyAlignment="1">
      <alignment horizontal="center" vertical="center"/>
    </xf>
    <xf numFmtId="167" fontId="125" fillId="33" borderId="35" xfId="4" applyNumberFormat="1" applyFont="1" applyFill="1" applyBorder="1" applyAlignment="1">
      <alignment horizontal="center" vertical="center"/>
    </xf>
    <xf numFmtId="0" fontId="125" fillId="33" borderId="0" xfId="4" applyFont="1" applyFill="1" applyAlignment="1">
      <alignment horizontal="left"/>
    </xf>
    <xf numFmtId="0" fontId="118" fillId="0" borderId="0" xfId="4" quotePrefix="1" applyFont="1"/>
    <xf numFmtId="166" fontId="118" fillId="102" borderId="0" xfId="1" applyNumberFormat="1" applyFont="1" applyFill="1" applyAlignment="1">
      <alignment horizontal="center"/>
    </xf>
    <xf numFmtId="166" fontId="118" fillId="33" borderId="0" xfId="1" applyNumberFormat="1" applyFont="1" applyFill="1"/>
    <xf numFmtId="0" fontId="125" fillId="33" borderId="0" xfId="4" applyFont="1" applyFill="1" applyAlignment="1">
      <alignment horizontal="center"/>
    </xf>
    <xf numFmtId="0" fontId="118" fillId="33" borderId="0" xfId="4" applyFont="1" applyFill="1" applyAlignment="1">
      <alignment horizontal="center" vertical="center" wrapText="1"/>
    </xf>
    <xf numFmtId="200" fontId="109" fillId="33" borderId="0" xfId="4" applyNumberFormat="1" applyFont="1" applyFill="1" applyAlignment="1">
      <alignment vertical="center" wrapText="1"/>
    </xf>
    <xf numFmtId="164" fontId="109" fillId="33" borderId="0" xfId="4" applyNumberFormat="1" applyFont="1" applyFill="1"/>
    <xf numFmtId="164" fontId="118" fillId="33" borderId="0" xfId="4" applyNumberFormat="1" applyFont="1" applyFill="1"/>
    <xf numFmtId="0" fontId="118" fillId="33" borderId="0" xfId="4" applyFont="1" applyFill="1" applyAlignment="1">
      <alignment horizontal="left"/>
    </xf>
    <xf numFmtId="165" fontId="118" fillId="33" borderId="0" xfId="4" applyNumberFormat="1" applyFont="1" applyFill="1"/>
    <xf numFmtId="0" fontId="118" fillId="33" borderId="0" xfId="4" applyFont="1" applyFill="1" applyAlignment="1"/>
    <xf numFmtId="164" fontId="109" fillId="102" borderId="0" xfId="4" applyNumberFormat="1" applyFont="1" applyFill="1"/>
    <xf numFmtId="203" fontId="118" fillId="33" borderId="0" xfId="1" applyNumberFormat="1" applyFont="1" applyFill="1"/>
    <xf numFmtId="10" fontId="109" fillId="0" borderId="0" xfId="3" applyNumberFormat="1" applyFont="1" applyFill="1"/>
    <xf numFmtId="164" fontId="109" fillId="33" borderId="0" xfId="5" applyNumberFormat="1" applyFont="1" applyFill="1"/>
    <xf numFmtId="0" fontId="118" fillId="0" borderId="0" xfId="4" applyFont="1" applyFill="1"/>
    <xf numFmtId="0" fontId="125" fillId="33" borderId="0" xfId="4" applyFont="1" applyFill="1"/>
    <xf numFmtId="164" fontId="117" fillId="33" borderId="36" xfId="4" applyNumberFormat="1" applyFont="1" applyFill="1" applyBorder="1"/>
    <xf numFmtId="164" fontId="125" fillId="33" borderId="36" xfId="4" applyNumberFormat="1" applyFont="1" applyFill="1" applyBorder="1"/>
    <xf numFmtId="164" fontId="117" fillId="33" borderId="44" xfId="4" applyNumberFormat="1" applyFont="1" applyFill="1" applyBorder="1"/>
    <xf numFmtId="10" fontId="125" fillId="33" borderId="0" xfId="3" applyNumberFormat="1" applyFont="1" applyFill="1" applyBorder="1"/>
    <xf numFmtId="164" fontId="117" fillId="33" borderId="0" xfId="4" applyNumberFormat="1" applyFont="1" applyFill="1" applyBorder="1"/>
    <xf numFmtId="164" fontId="125" fillId="33" borderId="44" xfId="4" applyNumberFormat="1" applyFont="1" applyFill="1" applyBorder="1"/>
    <xf numFmtId="0" fontId="118" fillId="33" borderId="0" xfId="4" applyFont="1" applyFill="1" applyAlignment="1">
      <alignment wrapText="1"/>
    </xf>
    <xf numFmtId="0" fontId="125" fillId="33" borderId="0" xfId="4" applyFont="1" applyFill="1" applyAlignment="1">
      <alignment wrapText="1"/>
    </xf>
    <xf numFmtId="0" fontId="0" fillId="0" borderId="0" xfId="0" applyAlignment="1">
      <alignment horizontal="center"/>
    </xf>
    <xf numFmtId="166" fontId="0" fillId="0" borderId="0" xfId="1" applyNumberFormat="1" applyFont="1"/>
    <xf numFmtId="166" fontId="118" fillId="0" borderId="0" xfId="6" applyNumberFormat="1" applyFont="1" applyFill="1"/>
    <xf numFmtId="164" fontId="118" fillId="0" borderId="0" xfId="4" applyNumberFormat="1" applyFont="1" applyFill="1"/>
    <xf numFmtId="166" fontId="118" fillId="0" borderId="0" xfId="1" applyNumberFormat="1" applyFont="1" applyFill="1"/>
    <xf numFmtId="0" fontId="125" fillId="0" borderId="0" xfId="4" applyFont="1" applyFill="1"/>
    <xf numFmtId="9" fontId="118" fillId="33" borderId="0" xfId="3" applyFont="1" applyFill="1" applyAlignment="1">
      <alignment horizontal="center"/>
    </xf>
    <xf numFmtId="17" fontId="125" fillId="33" borderId="35" xfId="4" applyNumberFormat="1" applyFont="1" applyFill="1" applyBorder="1" applyAlignment="1">
      <alignment horizontal="center" vertical="center"/>
    </xf>
    <xf numFmtId="0" fontId="21" fillId="33" borderId="45" xfId="0" applyFont="1" applyFill="1" applyBorder="1" applyAlignment="1">
      <alignment horizontal="center"/>
    </xf>
    <xf numFmtId="0" fontId="21" fillId="33" borderId="46" xfId="0" applyFont="1" applyFill="1" applyBorder="1" applyAlignment="1">
      <alignment horizontal="center"/>
    </xf>
    <xf numFmtId="0" fontId="116" fillId="33" borderId="45" xfId="0" applyFont="1" applyFill="1" applyBorder="1"/>
    <xf numFmtId="0" fontId="116" fillId="33" borderId="0" xfId="0" applyFont="1" applyFill="1" applyBorder="1"/>
    <xf numFmtId="164" fontId="116" fillId="0" borderId="45" xfId="2" applyNumberFormat="1" applyFont="1" applyFill="1" applyBorder="1"/>
    <xf numFmtId="164" fontId="116" fillId="0" borderId="0" xfId="2" applyNumberFormat="1" applyFont="1" applyFill="1" applyBorder="1"/>
    <xf numFmtId="164" fontId="116" fillId="33" borderId="45" xfId="2" applyNumberFormat="1" applyFont="1" applyFill="1" applyBorder="1"/>
    <xf numFmtId="164" fontId="116" fillId="33" borderId="0" xfId="2" applyNumberFormat="1" applyFont="1" applyFill="1" applyBorder="1"/>
    <xf numFmtId="166" fontId="116" fillId="33" borderId="45" xfId="1" applyNumberFormat="1" applyFont="1" applyFill="1" applyBorder="1"/>
    <xf numFmtId="166" fontId="116" fillId="33" borderId="0" xfId="1" applyNumberFormat="1" applyFont="1" applyFill="1" applyBorder="1"/>
    <xf numFmtId="165" fontId="116" fillId="33" borderId="45" xfId="0" applyNumberFormat="1" applyFont="1" applyFill="1" applyBorder="1"/>
    <xf numFmtId="165" fontId="116" fillId="33" borderId="0" xfId="0" applyNumberFormat="1" applyFont="1" applyFill="1" applyBorder="1"/>
    <xf numFmtId="201" fontId="116" fillId="0" borderId="0" xfId="0" applyNumberFormat="1" applyFont="1" applyFill="1"/>
    <xf numFmtId="168" fontId="116" fillId="0" borderId="0" xfId="0" applyNumberFormat="1" applyFont="1"/>
    <xf numFmtId="165" fontId="116" fillId="0" borderId="0" xfId="0" applyNumberFormat="1" applyFont="1"/>
    <xf numFmtId="41" fontId="119" fillId="33" borderId="10" xfId="9068" applyNumberFormat="1" applyFont="1" applyFill="1" applyBorder="1">
      <alignment horizontal="center" vertical="center" wrapText="1"/>
    </xf>
    <xf numFmtId="0" fontId="116" fillId="33" borderId="10" xfId="4" applyFont="1" applyFill="1" applyBorder="1"/>
    <xf numFmtId="41" fontId="117" fillId="33" borderId="10" xfId="9505" applyNumberFormat="1" applyFont="1" applyFill="1" applyBorder="1">
      <alignment horizontal="center" vertical="center" wrapText="1"/>
    </xf>
    <xf numFmtId="0" fontId="118" fillId="33" borderId="10" xfId="4" applyFont="1" applyFill="1" applyBorder="1"/>
    <xf numFmtId="41" fontId="117" fillId="33" borderId="10" xfId="9505" applyNumberFormat="1" applyFont="1" applyFill="1" applyBorder="1" applyAlignment="1">
      <alignment horizontal="center" vertical="center" wrapText="1"/>
    </xf>
    <xf numFmtId="167" fontId="117" fillId="33" borderId="10" xfId="9505" applyNumberFormat="1" applyFont="1" applyFill="1" applyBorder="1">
      <alignment horizontal="center" vertical="center" wrapText="1"/>
    </xf>
    <xf numFmtId="0" fontId="117" fillId="0" borderId="0" xfId="0" applyFont="1" applyAlignment="1">
      <alignment horizontal="left"/>
    </xf>
    <xf numFmtId="0" fontId="117" fillId="0" borderId="0" xfId="0" applyFont="1" applyAlignment="1">
      <alignment horizontal="centerContinuous"/>
    </xf>
    <xf numFmtId="0" fontId="126" fillId="0" borderId="0" xfId="0" applyFont="1" applyAlignment="1">
      <alignment horizontal="centerContinuous"/>
    </xf>
    <xf numFmtId="0" fontId="109" fillId="0" borderId="0" xfId="0" applyFont="1"/>
    <xf numFmtId="0" fontId="127" fillId="0" borderId="0" xfId="0" applyFont="1"/>
    <xf numFmtId="0" fontId="117" fillId="0" borderId="0" xfId="0" applyFont="1" applyAlignment="1">
      <alignment horizontal="center"/>
    </xf>
    <xf numFmtId="0" fontId="126" fillId="0" borderId="0" xfId="0" applyFont="1" applyBorder="1" applyAlignment="1">
      <alignment horizontal="center"/>
    </xf>
    <xf numFmtId="0" fontId="117" fillId="0" borderId="10" xfId="0" applyFont="1" applyBorder="1" applyAlignment="1">
      <alignment horizontal="center"/>
    </xf>
    <xf numFmtId="0" fontId="117" fillId="0" borderId="0" xfId="0" applyFont="1" applyBorder="1" applyAlignment="1">
      <alignment horizontal="center"/>
    </xf>
    <xf numFmtId="0" fontId="126" fillId="0" borderId="10" xfId="0" applyFont="1" applyBorder="1" applyAlignment="1">
      <alignment horizontal="center"/>
    </xf>
    <xf numFmtId="0" fontId="109" fillId="0" borderId="0" xfId="0" applyFont="1" applyAlignment="1">
      <alignment horizontal="center"/>
    </xf>
    <xf numFmtId="0" fontId="117" fillId="0" borderId="0" xfId="0" applyFont="1"/>
    <xf numFmtId="168" fontId="127" fillId="0" borderId="0" xfId="0" applyNumberFormat="1" applyFont="1"/>
    <xf numFmtId="168" fontId="117" fillId="0" borderId="0" xfId="0" applyNumberFormat="1" applyFont="1"/>
    <xf numFmtId="168" fontId="109" fillId="0" borderId="0" xfId="0" applyNumberFormat="1" applyFont="1"/>
    <xf numFmtId="168" fontId="127" fillId="0" borderId="15" xfId="0" applyNumberFormat="1" applyFont="1" applyBorder="1"/>
    <xf numFmtId="168" fontId="127" fillId="0" borderId="0" xfId="0" applyNumberFormat="1" applyFont="1" applyBorder="1"/>
    <xf numFmtId="10" fontId="128" fillId="0" borderId="0" xfId="0" applyNumberFormat="1" applyFont="1"/>
    <xf numFmtId="168" fontId="127" fillId="0" borderId="10" xfId="0" applyNumberFormat="1" applyFont="1" applyBorder="1"/>
    <xf numFmtId="168" fontId="127" fillId="103" borderId="47" xfId="0" applyNumberFormat="1" applyFont="1" applyFill="1" applyBorder="1"/>
    <xf numFmtId="0" fontId="118" fillId="0" borderId="0" xfId="4" applyFont="1" applyFill="1" applyAlignment="1">
      <alignment horizontal="center" vertical="center" wrapText="1"/>
    </xf>
    <xf numFmtId="200" fontId="109" fillId="0" borderId="0" xfId="4" applyNumberFormat="1" applyFont="1" applyFill="1" applyAlignment="1">
      <alignment vertical="center" wrapText="1"/>
    </xf>
    <xf numFmtId="0" fontId="118" fillId="0" borderId="0" xfId="4" applyFont="1" applyFill="1" applyAlignment="1">
      <alignment horizontal="center" wrapText="1"/>
    </xf>
    <xf numFmtId="165" fontId="109" fillId="0" borderId="0" xfId="5" applyNumberFormat="1" applyFont="1" applyFill="1"/>
    <xf numFmtId="166" fontId="130" fillId="33" borderId="0" xfId="6" applyNumberFormat="1" applyFont="1" applyFill="1"/>
    <xf numFmtId="164" fontId="130" fillId="33" borderId="0" xfId="4" applyNumberFormat="1" applyFont="1" applyFill="1"/>
    <xf numFmtId="166" fontId="130" fillId="33" borderId="0" xfId="1" applyNumberFormat="1" applyFont="1" applyFill="1"/>
    <xf numFmtId="44" fontId="0" fillId="0" borderId="0" xfId="0" applyNumberFormat="1"/>
    <xf numFmtId="0" fontId="0" fillId="0" borderId="0" xfId="0"/>
    <xf numFmtId="0" fontId="118" fillId="0" borderId="0" xfId="0" applyFont="1" applyFill="1"/>
    <xf numFmtId="0" fontId="117" fillId="103" borderId="0" xfId="0" applyFont="1" applyFill="1"/>
    <xf numFmtId="0" fontId="118" fillId="103" borderId="0" xfId="0" applyFont="1" applyFill="1"/>
    <xf numFmtId="204" fontId="118" fillId="103" borderId="0" xfId="0" applyNumberFormat="1" applyFont="1" applyFill="1" applyAlignment="1">
      <alignment horizontal="center"/>
    </xf>
    <xf numFmtId="204" fontId="118" fillId="103" borderId="0" xfId="0" applyNumberFormat="1" applyFont="1" applyFill="1" applyAlignment="1">
      <alignment horizontal="center" wrapText="1"/>
    </xf>
    <xf numFmtId="3" fontId="130" fillId="0" borderId="0" xfId="4" applyNumberFormat="1" applyFont="1" applyFill="1" applyAlignment="1">
      <alignment horizontal="left" indent="1"/>
    </xf>
    <xf numFmtId="166" fontId="132" fillId="0" borderId="0" xfId="1" applyNumberFormat="1" applyFont="1" applyFill="1"/>
    <xf numFmtId="166" fontId="109" fillId="0" borderId="0" xfId="1" applyNumberFormat="1" applyFont="1" applyFill="1"/>
    <xf numFmtId="166" fontId="118" fillId="0" borderId="36" xfId="0" applyNumberFormat="1" applyFont="1" applyFill="1" applyBorder="1"/>
    <xf numFmtId="166" fontId="125" fillId="0" borderId="48" xfId="0" applyNumberFormat="1" applyFont="1" applyFill="1" applyBorder="1"/>
    <xf numFmtId="166" fontId="118" fillId="0" borderId="0" xfId="0" applyNumberFormat="1" applyFont="1" applyFill="1"/>
    <xf numFmtId="0" fontId="118" fillId="0" borderId="49" xfId="0" applyFont="1" applyFill="1" applyBorder="1"/>
    <xf numFmtId="204" fontId="118" fillId="103" borderId="0" xfId="0" applyNumberFormat="1" applyFont="1" applyFill="1"/>
    <xf numFmtId="0" fontId="118" fillId="103" borderId="0" xfId="0" applyFont="1" applyFill="1" applyAlignment="1">
      <alignment horizontal="center"/>
    </xf>
    <xf numFmtId="44" fontId="118" fillId="0" borderId="36" xfId="2" applyFont="1" applyFill="1" applyBorder="1"/>
    <xf numFmtId="166" fontId="118" fillId="0" borderId="0" xfId="1" applyNumberFormat="1" applyFont="1" applyFill="1"/>
    <xf numFmtId="44" fontId="118" fillId="0" borderId="0" xfId="2" applyFont="1" applyFill="1"/>
    <xf numFmtId="44" fontId="125" fillId="0" borderId="48" xfId="2" applyFont="1" applyFill="1" applyBorder="1"/>
    <xf numFmtId="0" fontId="0" fillId="0" borderId="0" xfId="0" applyFill="1"/>
    <xf numFmtId="165" fontId="118" fillId="0" borderId="0" xfId="2" applyNumberFormat="1" applyFont="1" applyFill="1"/>
    <xf numFmtId="0" fontId="118" fillId="103" borderId="0" xfId="0" applyFont="1" applyFill="1" applyAlignment="1">
      <alignment horizontal="center" wrapText="1"/>
    </xf>
    <xf numFmtId="44" fontId="125" fillId="0" borderId="49" xfId="2" applyFont="1" applyFill="1" applyBorder="1"/>
    <xf numFmtId="44" fontId="109" fillId="0" borderId="0" xfId="2" applyFont="1" applyFill="1"/>
    <xf numFmtId="44" fontId="125" fillId="0" borderId="50" xfId="2" applyFont="1" applyFill="1" applyBorder="1"/>
    <xf numFmtId="44" fontId="118" fillId="0" borderId="0" xfId="2" applyFont="1" applyFill="1" applyBorder="1"/>
    <xf numFmtId="166" fontId="125" fillId="0" borderId="50" xfId="0" applyNumberFormat="1" applyFont="1" applyFill="1" applyBorder="1"/>
    <xf numFmtId="166" fontId="118" fillId="0" borderId="0" xfId="0" applyNumberFormat="1" applyFont="1" applyFill="1" applyBorder="1"/>
    <xf numFmtId="0" fontId="117" fillId="103" borderId="0" xfId="0" applyFont="1" applyFill="1" applyAlignment="1">
      <alignment horizontal="center" wrapText="1"/>
    </xf>
    <xf numFmtId="3" fontId="109" fillId="0" borderId="0" xfId="4" applyNumberFormat="1" applyFont="1" applyFill="1" applyAlignment="1">
      <alignment horizontal="left" indent="1"/>
    </xf>
    <xf numFmtId="44" fontId="134" fillId="0" borderId="0" xfId="2" applyFont="1" applyFill="1"/>
    <xf numFmtId="166" fontId="133" fillId="0" borderId="0" xfId="1" applyNumberFormat="1" applyFont="1" applyFill="1"/>
    <xf numFmtId="44" fontId="133" fillId="0" borderId="0" xfId="2" applyFont="1" applyFill="1"/>
    <xf numFmtId="44" fontId="131" fillId="0" borderId="0" xfId="0" applyNumberFormat="1" applyFont="1" applyFill="1"/>
    <xf numFmtId="44" fontId="0" fillId="0" borderId="0" xfId="0" applyNumberFormat="1" applyFill="1"/>
    <xf numFmtId="165" fontId="118" fillId="0" borderId="0" xfId="2" applyNumberFormat="1" applyFont="1" applyFill="1" applyAlignment="1"/>
    <xf numFmtId="0" fontId="0" fillId="0" borderId="0" xfId="0" applyAlignment="1">
      <alignment shrinkToFit="1"/>
    </xf>
    <xf numFmtId="44" fontId="125" fillId="0" borderId="0" xfId="2" applyFont="1" applyFill="1" applyBorder="1"/>
    <xf numFmtId="166" fontId="115" fillId="0" borderId="0" xfId="0" applyNumberFormat="1" applyFont="1"/>
    <xf numFmtId="0" fontId="135" fillId="0" borderId="49" xfId="0" applyFont="1" applyBorder="1"/>
    <xf numFmtId="14" fontId="115" fillId="0" borderId="0" xfId="0" applyNumberFormat="1" applyFont="1"/>
    <xf numFmtId="14" fontId="115" fillId="0" borderId="0" xfId="0" applyNumberFormat="1" applyFont="1" applyAlignment="1">
      <alignment horizontal="center"/>
    </xf>
    <xf numFmtId="44" fontId="115" fillId="0" borderId="36" xfId="0" applyNumberFormat="1" applyFont="1" applyBorder="1"/>
    <xf numFmtId="0" fontId="115" fillId="0" borderId="0" xfId="0" applyFont="1" applyFill="1"/>
    <xf numFmtId="0" fontId="115" fillId="0" borderId="35" xfId="0" applyFont="1" applyFill="1" applyBorder="1"/>
    <xf numFmtId="14" fontId="118" fillId="0" borderId="0" xfId="0" applyNumberFormat="1" applyFont="1"/>
    <xf numFmtId="0" fontId="0" fillId="0" borderId="0" xfId="0" applyFill="1" applyAlignment="1">
      <alignment horizontal="center" wrapText="1"/>
    </xf>
    <xf numFmtId="0" fontId="136" fillId="0" borderId="0" xfId="0" applyFont="1" applyFill="1" applyAlignment="1">
      <alignment horizontal="center"/>
    </xf>
    <xf numFmtId="166" fontId="136" fillId="0" borderId="0" xfId="1" applyNumberFormat="1" applyFont="1" applyFill="1"/>
    <xf numFmtId="7" fontId="136" fillId="0" borderId="0" xfId="2" applyNumberFormat="1" applyFont="1" applyFill="1"/>
    <xf numFmtId="0" fontId="0" fillId="0" borderId="0" xfId="0" applyAlignment="1">
      <alignment horizontal="left"/>
    </xf>
    <xf numFmtId="0" fontId="16" fillId="0" borderId="0" xfId="0" applyFont="1" applyFill="1" applyAlignment="1">
      <alignment horizontal="center" wrapText="1"/>
    </xf>
    <xf numFmtId="0" fontId="16" fillId="0" borderId="36" xfId="0" applyFont="1" applyFill="1" applyBorder="1" applyAlignment="1">
      <alignment horizontal="center"/>
    </xf>
    <xf numFmtId="166" fontId="16" fillId="0" borderId="36" xfId="0" applyNumberFormat="1" applyFont="1" applyFill="1" applyBorder="1"/>
    <xf numFmtId="7" fontId="16" fillId="0" borderId="36" xfId="0" applyNumberFormat="1" applyFont="1" applyFill="1" applyBorder="1"/>
    <xf numFmtId="0" fontId="129" fillId="0" borderId="0" xfId="0" applyFont="1" applyFill="1"/>
    <xf numFmtId="0" fontId="118" fillId="0" borderId="0" xfId="0" applyFont="1" applyFill="1" applyAlignment="1">
      <alignment horizontal="center"/>
    </xf>
    <xf numFmtId="0" fontId="118" fillId="0" borderId="0" xfId="0" applyFont="1" applyFill="1" applyAlignment="1">
      <alignment horizontal="center"/>
    </xf>
    <xf numFmtId="0" fontId="118" fillId="0" borderId="0" xfId="0" applyFont="1" applyFill="1" applyAlignment="1">
      <alignment horizontal="center"/>
    </xf>
    <xf numFmtId="0" fontId="118" fillId="0" borderId="0" xfId="0" applyFont="1" applyFill="1" applyAlignment="1">
      <alignment horizontal="center"/>
    </xf>
    <xf numFmtId="0" fontId="118" fillId="0" borderId="0" xfId="0" applyFont="1" applyFill="1" applyAlignment="1">
      <alignment horizontal="center" wrapText="1"/>
    </xf>
    <xf numFmtId="43" fontId="115" fillId="0" borderId="0" xfId="1" applyFont="1"/>
    <xf numFmtId="0" fontId="0" fillId="0" borderId="0" xfId="0" applyAlignment="1">
      <alignment horizontal="center" wrapText="1"/>
    </xf>
    <xf numFmtId="44" fontId="131" fillId="0" borderId="0" xfId="2" applyFont="1" applyFill="1"/>
    <xf numFmtId="44" fontId="0" fillId="0" borderId="0" xfId="2" applyFont="1" applyFill="1"/>
    <xf numFmtId="44" fontId="0" fillId="0" borderId="0" xfId="2" applyFont="1"/>
    <xf numFmtId="43" fontId="0" fillId="0" borderId="0" xfId="0" applyNumberFormat="1"/>
    <xf numFmtId="9" fontId="0" fillId="0" borderId="0" xfId="3" applyFont="1"/>
    <xf numFmtId="205" fontId="129" fillId="0" borderId="0" xfId="0" applyNumberFormat="1" applyFont="1" applyFill="1"/>
    <xf numFmtId="205" fontId="0" fillId="0" borderId="0" xfId="0" applyNumberFormat="1" applyFill="1"/>
    <xf numFmtId="44" fontId="0" fillId="0" borderId="36" xfId="0" applyNumberFormat="1" applyBorder="1"/>
    <xf numFmtId="0" fontId="0" fillId="0" borderId="0" xfId="0" applyAlignment="1">
      <alignment horizontal="right"/>
    </xf>
    <xf numFmtId="44" fontId="16" fillId="0" borderId="0" xfId="0" applyNumberFormat="1" applyFont="1"/>
    <xf numFmtId="0" fontId="131" fillId="0" borderId="0" xfId="0" applyFont="1"/>
    <xf numFmtId="166" fontId="129" fillId="0" borderId="0" xfId="1" applyNumberFormat="1" applyFont="1" applyFill="1"/>
    <xf numFmtId="0" fontId="118" fillId="0" borderId="51" xfId="4" applyFont="1" applyFill="1" applyBorder="1"/>
    <xf numFmtId="0" fontId="118" fillId="0" borderId="52" xfId="4" applyFont="1" applyFill="1" applyBorder="1"/>
    <xf numFmtId="0" fontId="118" fillId="0" borderId="53" xfId="4" applyFont="1" applyFill="1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5" xfId="0" applyFill="1" applyBorder="1"/>
    <xf numFmtId="0" fontId="0" fillId="0" borderId="56" xfId="0" applyFill="1" applyBorder="1"/>
    <xf numFmtId="167" fontId="16" fillId="0" borderId="0" xfId="0" applyNumberFormat="1" applyFont="1" applyAlignment="1">
      <alignment horizontal="center"/>
    </xf>
    <xf numFmtId="0" fontId="118" fillId="0" borderId="0" xfId="0" applyFont="1" applyFill="1" applyAlignment="1">
      <alignment horizontal="center"/>
    </xf>
    <xf numFmtId="165" fontId="118" fillId="0" borderId="0" xfId="2" applyNumberFormat="1" applyFont="1" applyFill="1" applyAlignment="1">
      <alignment horizontal="center" wrapText="1"/>
    </xf>
    <xf numFmtId="0" fontId="117" fillId="0" borderId="0" xfId="0" applyFont="1" applyAlignment="1">
      <alignment horizontal="center"/>
    </xf>
    <xf numFmtId="0" fontId="21" fillId="33" borderId="35" xfId="0" applyFont="1" applyFill="1" applyBorder="1" applyAlignment="1">
      <alignment horizontal="center"/>
    </xf>
    <xf numFmtId="0" fontId="21" fillId="33" borderId="0" xfId="0" applyFont="1" applyFill="1"/>
    <xf numFmtId="0" fontId="126" fillId="0" borderId="0" xfId="0" applyFont="1" applyAlignment="1">
      <alignment horizontal="center"/>
    </xf>
    <xf numFmtId="0" fontId="117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27" fillId="0" borderId="0" xfId="0" applyFont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124" fillId="0" borderId="0" xfId="0" applyFont="1"/>
    <xf numFmtId="0" fontId="124" fillId="0" borderId="0" xfId="0" applyFont="1" applyAlignment="1">
      <alignment horizontal="left"/>
    </xf>
    <xf numFmtId="0" fontId="0" fillId="103" borderId="0" xfId="0" applyFill="1"/>
    <xf numFmtId="41" fontId="119" fillId="33" borderId="35" xfId="9068" applyNumberFormat="1" applyFont="1" applyFill="1" applyBorder="1">
      <alignment horizontal="center" vertical="center" wrapText="1"/>
    </xf>
    <xf numFmtId="0" fontId="116" fillId="33" borderId="35" xfId="4" applyFont="1" applyFill="1" applyBorder="1"/>
    <xf numFmtId="0" fontId="16" fillId="0" borderId="0" xfId="0" applyFont="1"/>
    <xf numFmtId="41" fontId="117" fillId="33" borderId="35" xfId="9505" applyNumberFormat="1" applyFont="1" applyFill="1" applyBorder="1">
      <alignment horizontal="center" vertical="center" wrapText="1"/>
    </xf>
    <xf numFmtId="0" fontId="118" fillId="33" borderId="35" xfId="4" applyFont="1" applyFill="1" applyBorder="1"/>
    <xf numFmtId="41" fontId="117" fillId="33" borderId="35" xfId="9505" applyNumberFormat="1" applyFont="1" applyFill="1" applyBorder="1" applyAlignment="1">
      <alignment horizontal="center" vertical="center" wrapText="1"/>
    </xf>
    <xf numFmtId="167" fontId="117" fillId="33" borderId="35" xfId="9505" applyNumberFormat="1" applyFont="1" applyFill="1" applyBorder="1">
      <alignment horizontal="center" vertical="center" wrapText="1"/>
    </xf>
    <xf numFmtId="0" fontId="117" fillId="0" borderId="35" xfId="0" applyFont="1" applyBorder="1" applyAlignment="1">
      <alignment horizontal="center"/>
    </xf>
    <xf numFmtId="0" fontId="126" fillId="0" borderId="35" xfId="0" applyFont="1" applyBorder="1" applyAlignment="1">
      <alignment horizontal="center"/>
    </xf>
    <xf numFmtId="168" fontId="127" fillId="0" borderId="35" xfId="0" applyNumberFormat="1" applyFont="1" applyBorder="1"/>
    <xf numFmtId="10" fontId="116" fillId="0" borderId="0" xfId="3" applyNumberFormat="1" applyFont="1" applyFill="1"/>
    <xf numFmtId="0" fontId="118" fillId="33" borderId="57" xfId="4" applyFont="1" applyFill="1" applyBorder="1"/>
    <xf numFmtId="167" fontId="125" fillId="33" borderId="58" xfId="4" applyNumberFormat="1" applyFont="1" applyFill="1" applyBorder="1" applyAlignment="1">
      <alignment horizontal="center" vertical="center"/>
    </xf>
    <xf numFmtId="0" fontId="118" fillId="33" borderId="57" xfId="4" applyFont="1" applyFill="1" applyBorder="1" applyAlignment="1">
      <alignment horizontal="center"/>
    </xf>
    <xf numFmtId="166" fontId="118" fillId="102" borderId="57" xfId="1" applyNumberFormat="1" applyFont="1" applyFill="1" applyBorder="1" applyAlignment="1">
      <alignment horizontal="center"/>
    </xf>
    <xf numFmtId="166" fontId="130" fillId="33" borderId="57" xfId="6" applyNumberFormat="1" applyFont="1" applyFill="1" applyBorder="1"/>
    <xf numFmtId="200" fontId="109" fillId="0" borderId="57" xfId="4" applyNumberFormat="1" applyFont="1" applyFill="1" applyBorder="1" applyAlignment="1">
      <alignment vertical="center" wrapText="1"/>
    </xf>
    <xf numFmtId="164" fontId="109" fillId="33" borderId="57" xfId="4" applyNumberFormat="1" applyFont="1" applyFill="1" applyBorder="1"/>
    <xf numFmtId="0" fontId="109" fillId="33" borderId="57" xfId="4" applyFont="1" applyFill="1" applyBorder="1"/>
    <xf numFmtId="164" fontId="130" fillId="33" borderId="57" xfId="4" applyNumberFormat="1" applyFont="1" applyFill="1" applyBorder="1"/>
    <xf numFmtId="166" fontId="130" fillId="33" borderId="57" xfId="1" applyNumberFormat="1" applyFont="1" applyFill="1" applyBorder="1"/>
    <xf numFmtId="165" fontId="109" fillId="0" borderId="57" xfId="5" applyNumberFormat="1" applyFont="1" applyFill="1" applyBorder="1"/>
    <xf numFmtId="200" fontId="109" fillId="33" borderId="57" xfId="4" applyNumberFormat="1" applyFont="1" applyFill="1" applyBorder="1" applyAlignment="1">
      <alignment vertical="center" wrapText="1"/>
    </xf>
    <xf numFmtId="164" fontId="109" fillId="102" borderId="57" xfId="4" applyNumberFormat="1" applyFont="1" applyFill="1" applyBorder="1"/>
    <xf numFmtId="10" fontId="109" fillId="0" borderId="57" xfId="3" applyNumberFormat="1" applyFont="1" applyFill="1" applyBorder="1"/>
    <xf numFmtId="164" fontId="109" fillId="33" borderId="57" xfId="5" applyNumberFormat="1" applyFont="1" applyFill="1" applyBorder="1"/>
    <xf numFmtId="164" fontId="117" fillId="33" borderId="59" xfId="4" applyNumberFormat="1" applyFont="1" applyFill="1" applyBorder="1"/>
    <xf numFmtId="0" fontId="118" fillId="0" borderId="57" xfId="4" applyFont="1" applyBorder="1"/>
    <xf numFmtId="164" fontId="118" fillId="33" borderId="57" xfId="4" applyNumberFormat="1" applyFont="1" applyFill="1" applyBorder="1"/>
    <xf numFmtId="205" fontId="0" fillId="0" borderId="0" xfId="0" applyNumberFormat="1"/>
    <xf numFmtId="10" fontId="0" fillId="0" borderId="0" xfId="0" applyNumberFormat="1"/>
    <xf numFmtId="10" fontId="131" fillId="0" borderId="0" xfId="0" applyNumberFormat="1" applyFont="1"/>
    <xf numFmtId="166" fontId="16" fillId="0" borderId="0" xfId="1" applyNumberFormat="1" applyFont="1" applyFill="1"/>
    <xf numFmtId="10" fontId="136" fillId="0" borderId="0" xfId="0" applyNumberFormat="1" applyFont="1"/>
    <xf numFmtId="43" fontId="115" fillId="0" borderId="0" xfId="0" applyNumberFormat="1" applyFont="1" applyFill="1"/>
    <xf numFmtId="43" fontId="115" fillId="0" borderId="0" xfId="0" applyNumberFormat="1" applyFont="1"/>
    <xf numFmtId="167" fontId="16" fillId="0" borderId="0" xfId="0" applyNumberFormat="1" applyFont="1" applyBorder="1" applyAlignment="1">
      <alignment horizontal="center"/>
    </xf>
    <xf numFmtId="0" fontId="0" fillId="0" borderId="0" xfId="0" applyBorder="1"/>
    <xf numFmtId="44" fontId="0" fillId="0" borderId="0" xfId="0" applyNumberFormat="1" applyBorder="1"/>
    <xf numFmtId="0" fontId="0" fillId="0" borderId="0" xfId="0" applyAlignment="1">
      <alignment horizontal="center" wrapText="1"/>
    </xf>
    <xf numFmtId="0" fontId="118" fillId="0" borderId="0" xfId="0" applyFont="1" applyFill="1" applyAlignment="1">
      <alignment horizontal="center"/>
    </xf>
    <xf numFmtId="165" fontId="118" fillId="0" borderId="0" xfId="2" applyNumberFormat="1" applyFont="1" applyFill="1" applyAlignment="1">
      <alignment horizontal="center" wrapText="1"/>
    </xf>
    <xf numFmtId="10" fontId="109" fillId="0" borderId="0" xfId="3" applyNumberFormat="1" applyFont="1" applyFill="1" applyBorder="1"/>
    <xf numFmtId="17" fontId="0" fillId="0" borderId="0" xfId="0" applyNumberFormat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206" fontId="136" fillId="0" borderId="0" xfId="1" applyNumberFormat="1" applyFont="1"/>
    <xf numFmtId="169" fontId="0" fillId="0" borderId="0" xfId="1" applyNumberFormat="1" applyFont="1" applyAlignment="1">
      <alignment horizontal="left"/>
    </xf>
    <xf numFmtId="169" fontId="16" fillId="0" borderId="0" xfId="1" applyNumberFormat="1" applyFont="1" applyAlignment="1">
      <alignment horizontal="center"/>
    </xf>
    <xf numFmtId="169" fontId="0" fillId="0" borderId="0" xfId="1" applyNumberFormat="1" applyFont="1"/>
    <xf numFmtId="205" fontId="136" fillId="104" borderId="0" xfId="0" applyNumberFormat="1" applyFont="1" applyFill="1"/>
    <xf numFmtId="0" fontId="136" fillId="0" borderId="0" xfId="0" applyFont="1"/>
    <xf numFmtId="0" fontId="129" fillId="0" borderId="0" xfId="0" applyFont="1"/>
    <xf numFmtId="164" fontId="0" fillId="0" borderId="0" xfId="2" applyNumberFormat="1" applyFont="1"/>
    <xf numFmtId="164" fontId="136" fillId="0" borderId="0" xfId="2" applyNumberFormat="1" applyFont="1"/>
    <xf numFmtId="164" fontId="0" fillId="0" borderId="0" xfId="0" applyNumberFormat="1"/>
    <xf numFmtId="164" fontId="129" fillId="0" borderId="0" xfId="2" applyNumberFormat="1" applyFont="1"/>
    <xf numFmtId="164" fontId="16" fillId="0" borderId="0" xfId="0" applyNumberFormat="1" applyFont="1" applyAlignment="1">
      <alignment horizontal="center"/>
    </xf>
    <xf numFmtId="164" fontId="0" fillId="104" borderId="0" xfId="2" applyNumberFormat="1" applyFont="1" applyFill="1"/>
    <xf numFmtId="164" fontId="0" fillId="104" borderId="0" xfId="0" applyNumberFormat="1" applyFill="1"/>
    <xf numFmtId="164" fontId="136" fillId="0" borderId="0" xfId="0" applyNumberFormat="1" applyFont="1"/>
    <xf numFmtId="164" fontId="0" fillId="0" borderId="0" xfId="2" quotePrefix="1" applyNumberFormat="1" applyFont="1"/>
    <xf numFmtId="164" fontId="136" fillId="105" borderId="0" xfId="2" applyNumberFormat="1" applyFont="1" applyFill="1"/>
    <xf numFmtId="164" fontId="136" fillId="0" borderId="0" xfId="2" applyNumberFormat="1" applyFont="1" applyFill="1"/>
    <xf numFmtId="0" fontId="16" fillId="0" borderId="0" xfId="0" applyFont="1" applyAlignment="1">
      <alignment horizontal="left"/>
    </xf>
    <xf numFmtId="164" fontId="131" fillId="0" borderId="0" xfId="2" applyNumberFormat="1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4" fontId="131" fillId="0" borderId="0" xfId="0" applyNumberFormat="1" applyFont="1"/>
    <xf numFmtId="0" fontId="16" fillId="0" borderId="0" xfId="0" applyFont="1" applyAlignment="1">
      <alignment horizontal="center"/>
    </xf>
    <xf numFmtId="44" fontId="139" fillId="0" borderId="0" xfId="0" applyNumberFormat="1" applyFont="1" applyFill="1" applyBorder="1"/>
    <xf numFmtId="0" fontId="0" fillId="0" borderId="60" xfId="0" applyBorder="1"/>
    <xf numFmtId="0" fontId="140" fillId="0" borderId="60" xfId="0" applyFont="1" applyBorder="1"/>
    <xf numFmtId="0" fontId="129" fillId="0" borderId="0" xfId="0" applyFont="1" applyBorder="1" applyAlignment="1">
      <alignment horizontal="center"/>
    </xf>
    <xf numFmtId="0" fontId="125" fillId="0" borderId="0" xfId="4" applyFont="1" applyFill="1" applyAlignment="1">
      <alignment horizontal="left"/>
    </xf>
    <xf numFmtId="44" fontId="136" fillId="0" borderId="0" xfId="0" applyNumberFormat="1" applyFont="1" applyFill="1"/>
    <xf numFmtId="44" fontId="129" fillId="0" borderId="0" xfId="0" applyNumberFormat="1" applyFont="1" applyFill="1"/>
    <xf numFmtId="44" fontId="141" fillId="0" borderId="0" xfId="0" applyNumberFormat="1" applyFont="1" applyFill="1" applyBorder="1"/>
    <xf numFmtId="166" fontId="16" fillId="104" borderId="0" xfId="1" applyNumberFormat="1" applyFont="1" applyFill="1"/>
    <xf numFmtId="167" fontId="0" fillId="0" borderId="0" xfId="0" applyNumberFormat="1"/>
    <xf numFmtId="165" fontId="118" fillId="0" borderId="0" xfId="2" applyNumberFormat="1" applyFont="1" applyFill="1" applyAlignment="1">
      <alignment horizontal="center" wrapText="1"/>
    </xf>
    <xf numFmtId="0" fontId="131" fillId="0" borderId="0" xfId="0" applyFont="1" applyFill="1"/>
    <xf numFmtId="0" fontId="16" fillId="0" borderId="0" xfId="0" applyFont="1" applyAlignment="1">
      <alignment horizontal="center"/>
    </xf>
    <xf numFmtId="164" fontId="0" fillId="106" borderId="0" xfId="0" applyNumberFormat="1" applyFill="1"/>
    <xf numFmtId="164" fontId="0" fillId="106" borderId="44" xfId="0" applyNumberFormat="1" applyFill="1" applyBorder="1"/>
    <xf numFmtId="165" fontId="118" fillId="0" borderId="0" xfId="2" applyNumberFormat="1" applyFont="1" applyFill="1" applyAlignment="1">
      <alignment horizontal="center" wrapText="1"/>
    </xf>
    <xf numFmtId="0" fontId="16" fillId="0" borderId="0" xfId="0" applyFont="1" applyAlignment="1">
      <alignment horizontal="center"/>
    </xf>
    <xf numFmtId="43" fontId="115" fillId="0" borderId="0" xfId="1" applyFont="1" applyFill="1"/>
    <xf numFmtId="165" fontId="118" fillId="0" borderId="0" xfId="2" applyNumberFormat="1" applyFont="1" applyFill="1" applyAlignment="1">
      <alignment horizontal="center" wrapText="1"/>
    </xf>
    <xf numFmtId="44" fontId="118" fillId="0" borderId="36" xfId="0" applyNumberFormat="1" applyFont="1" applyBorder="1"/>
    <xf numFmtId="169" fontId="142" fillId="0" borderId="0" xfId="1" applyNumberFormat="1" applyFont="1"/>
    <xf numFmtId="0" fontId="14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165" fontId="115" fillId="0" borderId="0" xfId="2" applyNumberFormat="1" applyFont="1"/>
    <xf numFmtId="165" fontId="118" fillId="0" borderId="0" xfId="2" applyNumberFormat="1" applyFont="1" applyFill="1" applyAlignment="1">
      <alignment horizontal="center" wrapText="1"/>
    </xf>
    <xf numFmtId="0" fontId="143" fillId="0" borderId="0" xfId="0" applyFont="1"/>
    <xf numFmtId="0" fontId="115" fillId="0" borderId="0" xfId="0" applyFont="1" applyAlignment="1">
      <alignment horizontal="center" wrapText="1"/>
    </xf>
    <xf numFmtId="166" fontId="144" fillId="0" borderId="0" xfId="1" applyNumberFormat="1" applyFont="1" applyFill="1"/>
    <xf numFmtId="0" fontId="144" fillId="0" borderId="0" xfId="0" applyFont="1" applyFill="1"/>
    <xf numFmtId="44" fontId="115" fillId="0" borderId="0" xfId="2" applyFont="1" applyFill="1"/>
    <xf numFmtId="44" fontId="115" fillId="0" borderId="0" xfId="2" applyFont="1"/>
    <xf numFmtId="44" fontId="115" fillId="0" borderId="0" xfId="0" applyNumberFormat="1" applyFont="1"/>
    <xf numFmtId="166" fontId="115" fillId="0" borderId="0" xfId="1" applyNumberFormat="1" applyFont="1"/>
    <xf numFmtId="9" fontId="115" fillId="0" borderId="0" xfId="3" applyFont="1"/>
    <xf numFmtId="205" fontId="144" fillId="0" borderId="0" xfId="0" applyNumberFormat="1" applyFont="1" applyFill="1"/>
    <xf numFmtId="205" fontId="115" fillId="0" borderId="0" xfId="0" applyNumberFormat="1" applyFont="1" applyFill="1"/>
    <xf numFmtId="166" fontId="115" fillId="0" borderId="36" xfId="0" applyNumberFormat="1" applyFont="1" applyBorder="1"/>
    <xf numFmtId="0" fontId="115" fillId="0" borderId="0" xfId="0" applyFont="1" applyAlignment="1">
      <alignment horizontal="right"/>
    </xf>
    <xf numFmtId="44" fontId="135" fillId="0" borderId="0" xfId="0" applyNumberFormat="1" applyFont="1"/>
    <xf numFmtId="0" fontId="115" fillId="0" borderId="0" xfId="0" applyFont="1" applyFill="1" applyAlignment="1">
      <alignment horizontal="center" wrapText="1"/>
    </xf>
    <xf numFmtId="7" fontId="145" fillId="0" borderId="0" xfId="2" applyNumberFormat="1" applyFont="1" applyFill="1"/>
    <xf numFmtId="0" fontId="143" fillId="0" borderId="0" xfId="0" applyFont="1" applyFill="1"/>
    <xf numFmtId="0" fontId="115" fillId="0" borderId="0" xfId="0" applyFont="1" applyAlignment="1">
      <alignment horizontal="left"/>
    </xf>
    <xf numFmtId="0" fontId="145" fillId="0" borderId="0" xfId="0" applyFont="1" applyFill="1" applyAlignment="1">
      <alignment horizontal="center"/>
    </xf>
    <xf numFmtId="166" fontId="145" fillId="0" borderId="0" xfId="1" applyNumberFormat="1" applyFont="1" applyFill="1"/>
    <xf numFmtId="0" fontId="135" fillId="0" borderId="0" xfId="0" applyFont="1" applyFill="1" applyAlignment="1">
      <alignment horizontal="center" wrapText="1"/>
    </xf>
    <xf numFmtId="0" fontId="135" fillId="0" borderId="36" xfId="0" applyFont="1" applyFill="1" applyBorder="1" applyAlignment="1">
      <alignment horizontal="center"/>
    </xf>
    <xf numFmtId="166" fontId="135" fillId="0" borderId="36" xfId="0" applyNumberFormat="1" applyFont="1" applyFill="1" applyBorder="1"/>
    <xf numFmtId="7" fontId="135" fillId="0" borderId="36" xfId="0" applyNumberFormat="1" applyFont="1" applyFill="1" applyBorder="1"/>
    <xf numFmtId="0" fontId="16" fillId="0" borderId="0" xfId="0" applyFont="1" applyAlignment="1">
      <alignment horizontal="center"/>
    </xf>
    <xf numFmtId="44" fontId="143" fillId="0" borderId="0" xfId="2" applyFont="1" applyFill="1"/>
    <xf numFmtId="44" fontId="118" fillId="0" borderId="0" xfId="2" applyNumberFormat="1" applyFont="1" applyFill="1"/>
    <xf numFmtId="166" fontId="115" fillId="0" borderId="0" xfId="0" applyNumberFormat="1" applyFont="1" applyFill="1"/>
    <xf numFmtId="165" fontId="118" fillId="0" borderId="0" xfId="2" applyNumberFormat="1" applyFont="1" applyFill="1" applyAlignment="1">
      <alignment horizontal="center" wrapText="1"/>
    </xf>
    <xf numFmtId="0" fontId="118" fillId="0" borderId="0" xfId="0" applyFont="1" applyFill="1" applyAlignment="1">
      <alignment horizontal="center"/>
    </xf>
    <xf numFmtId="0" fontId="118" fillId="107" borderId="0" xfId="0" applyFont="1" applyFill="1" applyAlignment="1">
      <alignment horizontal="center"/>
    </xf>
    <xf numFmtId="14" fontId="118" fillId="107" borderId="0" xfId="0" applyNumberFormat="1" applyFont="1" applyFill="1" applyAlignment="1">
      <alignment horizontal="center"/>
    </xf>
    <xf numFmtId="14" fontId="115" fillId="0" borderId="0" xfId="0" applyNumberFormat="1" applyFont="1" applyFill="1"/>
    <xf numFmtId="169" fontId="115" fillId="0" borderId="0" xfId="1" applyNumberFormat="1" applyFont="1" applyFill="1"/>
    <xf numFmtId="0" fontId="16" fillId="0" borderId="0" xfId="0" applyFont="1" applyAlignment="1">
      <alignment horizontal="center"/>
    </xf>
    <xf numFmtId="0" fontId="118" fillId="0" borderId="0" xfId="0" applyFont="1" applyFill="1" applyAlignment="1">
      <alignment horizontal="center"/>
    </xf>
    <xf numFmtId="165" fontId="118" fillId="0" borderId="0" xfId="2" applyNumberFormat="1" applyFont="1" applyFill="1" applyAlignment="1">
      <alignment horizontal="center" wrapText="1"/>
    </xf>
    <xf numFmtId="5" fontId="145" fillId="0" borderId="0" xfId="2" applyNumberFormat="1" applyFont="1" applyFill="1"/>
    <xf numFmtId="14" fontId="118" fillId="0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16" fillId="33" borderId="45" xfId="0" applyFont="1" applyFill="1" applyBorder="1" applyAlignment="1">
      <alignment horizontal="center" vertical="center"/>
    </xf>
    <xf numFmtId="0" fontId="116" fillId="33" borderId="0" xfId="0" applyFont="1" applyFill="1" applyBorder="1" applyAlignment="1">
      <alignment horizontal="center" vertical="center"/>
    </xf>
    <xf numFmtId="0" fontId="119" fillId="33" borderId="0" xfId="4" applyFont="1" applyFill="1" applyAlignment="1">
      <alignment horizontal="center"/>
    </xf>
    <xf numFmtId="0" fontId="119" fillId="33" borderId="0" xfId="4" quotePrefix="1" applyFont="1" applyFill="1" applyAlignment="1">
      <alignment horizontal="center"/>
    </xf>
    <xf numFmtId="41" fontId="119" fillId="33" borderId="0" xfId="9068" applyNumberFormat="1" applyFont="1" applyFill="1" applyBorder="1" applyAlignment="1">
      <alignment horizontal="center" vertical="center" wrapText="1"/>
    </xf>
    <xf numFmtId="41" fontId="119" fillId="33" borderId="35" xfId="9068" applyNumberFormat="1" applyFont="1" applyFill="1" applyBorder="1" applyAlignment="1">
      <alignment horizontal="center" vertical="center" wrapText="1"/>
    </xf>
    <xf numFmtId="0" fontId="117" fillId="0" borderId="0" xfId="0" applyFont="1" applyAlignment="1">
      <alignment horizontal="center"/>
    </xf>
    <xf numFmtId="0" fontId="117" fillId="103" borderId="0" xfId="0" applyFont="1" applyFill="1" applyAlignment="1">
      <alignment horizontal="center"/>
    </xf>
    <xf numFmtId="0" fontId="123" fillId="33" borderId="0" xfId="4" applyFont="1" applyFill="1" applyAlignment="1">
      <alignment horizontal="center"/>
    </xf>
    <xf numFmtId="0" fontId="123" fillId="33" borderId="0" xfId="4" quotePrefix="1" applyFont="1" applyFill="1" applyAlignment="1">
      <alignment horizontal="center"/>
    </xf>
    <xf numFmtId="0" fontId="124" fillId="33" borderId="0" xfId="0" applyFont="1" applyFill="1" applyAlignment="1">
      <alignment horizontal="center"/>
    </xf>
    <xf numFmtId="0" fontId="124" fillId="33" borderId="0" xfId="4" applyFont="1" applyFill="1" applyAlignment="1">
      <alignment horizontal="center"/>
    </xf>
    <xf numFmtId="0" fontId="127" fillId="0" borderId="0" xfId="0" applyFont="1" applyAlignment="1">
      <alignment horizontal="center" vertical="top" wrapText="1"/>
    </xf>
    <xf numFmtId="168" fontId="117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24" fillId="33" borderId="0" xfId="4" quotePrefix="1" applyFont="1" applyFill="1" applyAlignment="1">
      <alignment horizontal="center"/>
    </xf>
    <xf numFmtId="0" fontId="118" fillId="0" borderId="0" xfId="0" applyFont="1" applyFill="1" applyAlignment="1">
      <alignment horizontal="center"/>
    </xf>
    <xf numFmtId="0" fontId="115" fillId="0" borderId="0" xfId="0" applyFont="1" applyAlignment="1">
      <alignment horizontal="center"/>
    </xf>
    <xf numFmtId="165" fontId="118" fillId="0" borderId="0" xfId="2" applyNumberFormat="1" applyFont="1" applyFill="1" applyAlignment="1">
      <alignment horizontal="center" wrapText="1"/>
    </xf>
    <xf numFmtId="0" fontId="144" fillId="0" borderId="0" xfId="0" applyFont="1" applyFill="1" applyAlignment="1">
      <alignment horizontal="center" wrapText="1"/>
    </xf>
    <xf numFmtId="0" fontId="129" fillId="0" borderId="0" xfId="0" applyFont="1" applyFill="1" applyAlignment="1">
      <alignment horizontal="center" wrapText="1"/>
    </xf>
  </cellXfs>
  <cellStyles count="9555">
    <cellStyle name="_x0013_" xfId="7" xr:uid="{00000000-0005-0000-0000-000000000000}"/>
    <cellStyle name=" 1" xfId="8" xr:uid="{00000000-0005-0000-0000-000001000000}"/>
    <cellStyle name=" 1 2" xfId="9" xr:uid="{00000000-0005-0000-0000-000002000000}"/>
    <cellStyle name=" 1 3" xfId="10" xr:uid="{00000000-0005-0000-0000-000003000000}"/>
    <cellStyle name="_x0013_ 10" xfId="11" xr:uid="{00000000-0005-0000-0000-000004000000}"/>
    <cellStyle name="_x0013_ 11" xfId="12" xr:uid="{00000000-0005-0000-0000-000005000000}"/>
    <cellStyle name="_x0013_ 2" xfId="13" xr:uid="{00000000-0005-0000-0000-000006000000}"/>
    <cellStyle name="_x0013_ 2 2" xfId="14" xr:uid="{00000000-0005-0000-0000-000007000000}"/>
    <cellStyle name="_x0013_ 3" xfId="15" xr:uid="{00000000-0005-0000-0000-000008000000}"/>
    <cellStyle name="_x0013_ 4" xfId="16" xr:uid="{00000000-0005-0000-0000-000009000000}"/>
    <cellStyle name="_x0013_ 5" xfId="17" xr:uid="{00000000-0005-0000-0000-00000A000000}"/>
    <cellStyle name="_x0013_ 6" xfId="18" xr:uid="{00000000-0005-0000-0000-00000B000000}"/>
    <cellStyle name="_x0013_ 7" xfId="19" xr:uid="{00000000-0005-0000-0000-00000C000000}"/>
    <cellStyle name="_x0013_ 8" xfId="20" xr:uid="{00000000-0005-0000-0000-00000D000000}"/>
    <cellStyle name="_x0013_ 9" xfId="21" xr:uid="{00000000-0005-0000-0000-00000E000000}"/>
    <cellStyle name="_(C) 2007 CB Weather Adjust" xfId="22" xr:uid="{00000000-0005-0000-0000-00000F000000}"/>
    <cellStyle name="_(C) 2007 CB Weather Adjust (2)" xfId="23" xr:uid="{00000000-0005-0000-0000-000010000000}"/>
    <cellStyle name="_09GRC Gas Transport For Review" xfId="24" xr:uid="{00000000-0005-0000-0000-000011000000}"/>
    <cellStyle name="_09GRC Gas Transport For Review 2" xfId="25" xr:uid="{00000000-0005-0000-0000-000012000000}"/>
    <cellStyle name="_09GRC Gas Transport For Review 2 2" xfId="26" xr:uid="{00000000-0005-0000-0000-000013000000}"/>
    <cellStyle name="_09GRC Gas Transport For Review 3" xfId="27" xr:uid="{00000000-0005-0000-0000-000014000000}"/>
    <cellStyle name="_09GRC Gas Transport For Review_Book4" xfId="28" xr:uid="{00000000-0005-0000-0000-000015000000}"/>
    <cellStyle name="_09GRC Gas Transport For Review_Book4 2" xfId="29" xr:uid="{00000000-0005-0000-0000-000016000000}"/>
    <cellStyle name="_09GRC Gas Transport For Review_Book4 2 2" xfId="30" xr:uid="{00000000-0005-0000-0000-000017000000}"/>
    <cellStyle name="_09GRC Gas Transport For Review_Book4 3" xfId="31" xr:uid="{00000000-0005-0000-0000-000018000000}"/>
    <cellStyle name="_x0013__16.07E Wild Horse Wind Expansionwrkingfile" xfId="32" xr:uid="{00000000-0005-0000-0000-000019000000}"/>
    <cellStyle name="_x0013__16.07E Wild Horse Wind Expansionwrkingfile 2" xfId="33" xr:uid="{00000000-0005-0000-0000-00001A000000}"/>
    <cellStyle name="_x0013__16.07E Wild Horse Wind Expansionwrkingfile 2 2" xfId="34" xr:uid="{00000000-0005-0000-0000-00001B000000}"/>
    <cellStyle name="_x0013__16.07E Wild Horse Wind Expansionwrkingfile 3" xfId="35" xr:uid="{00000000-0005-0000-0000-00001C000000}"/>
    <cellStyle name="_x0013__16.07E Wild Horse Wind Expansionwrkingfile SF" xfId="36" xr:uid="{00000000-0005-0000-0000-00001D000000}"/>
    <cellStyle name="_x0013__16.07E Wild Horse Wind Expansionwrkingfile SF 2" xfId="37" xr:uid="{00000000-0005-0000-0000-00001E000000}"/>
    <cellStyle name="_x0013__16.07E Wild Horse Wind Expansionwrkingfile SF 2 2" xfId="38" xr:uid="{00000000-0005-0000-0000-00001F000000}"/>
    <cellStyle name="_x0013__16.07E Wild Horse Wind Expansionwrkingfile SF 3" xfId="39" xr:uid="{00000000-0005-0000-0000-000020000000}"/>
    <cellStyle name="_x0013__16.37E Wild Horse Expansion DeferralRevwrkingfile SF" xfId="40" xr:uid="{00000000-0005-0000-0000-000021000000}"/>
    <cellStyle name="_x0013__16.37E Wild Horse Expansion DeferralRevwrkingfile SF 2" xfId="41" xr:uid="{00000000-0005-0000-0000-000022000000}"/>
    <cellStyle name="_x0013__16.37E Wild Horse Expansion DeferralRevwrkingfile SF 2 2" xfId="42" xr:uid="{00000000-0005-0000-0000-000023000000}"/>
    <cellStyle name="_x0013__16.37E Wild Horse Expansion DeferralRevwrkingfile SF 3" xfId="43" xr:uid="{00000000-0005-0000-0000-000024000000}"/>
    <cellStyle name="_2.01G Temp Normalization(C)" xfId="44" xr:uid="{00000000-0005-0000-0000-000025000000}"/>
    <cellStyle name="_2.05G Pass-Through Revenue and Expenses" xfId="45" xr:uid="{00000000-0005-0000-0000-000026000000}"/>
    <cellStyle name="_2.11G Interest on Customer Deposits" xfId="46" xr:uid="{00000000-0005-0000-0000-000027000000}"/>
    <cellStyle name="_2008 Strat Plan Power Costs Forecast V2 (2009 Update)" xfId="47" xr:uid="{00000000-0005-0000-0000-000028000000}"/>
    <cellStyle name="_2008 Strat Plan Power Costs Forecast V2 (2009 Update) 2" xfId="48" xr:uid="{00000000-0005-0000-0000-000029000000}"/>
    <cellStyle name="_2008 Strat Plan Power Costs Forecast V2 (2009 Update)_NIM Summary" xfId="49" xr:uid="{00000000-0005-0000-0000-00002A000000}"/>
    <cellStyle name="_2008 Strat Plan Power Costs Forecast V2 (2009 Update)_NIM Summary 2" xfId="50" xr:uid="{00000000-0005-0000-0000-00002B000000}"/>
    <cellStyle name="_4.01E Temp Normalization" xfId="51" xr:uid="{00000000-0005-0000-0000-00002C000000}"/>
    <cellStyle name="_4.03G Lease Everett Delta" xfId="52" xr:uid="{00000000-0005-0000-0000-00002D000000}"/>
    <cellStyle name="_4.04G Pass-Through Revenue and ExpensesWFMI" xfId="53" xr:uid="{00000000-0005-0000-0000-00002E000000}"/>
    <cellStyle name="_4.06E Pass Throughs" xfId="54" xr:uid="{00000000-0005-0000-0000-00002F000000}"/>
    <cellStyle name="_4.06E Pass Throughs 2" xfId="55" xr:uid="{00000000-0005-0000-0000-000030000000}"/>
    <cellStyle name="_4.06E Pass Throughs 2 2" xfId="56" xr:uid="{00000000-0005-0000-0000-000031000000}"/>
    <cellStyle name="_4.06E Pass Throughs 2 2 2" xfId="57" xr:uid="{00000000-0005-0000-0000-000032000000}"/>
    <cellStyle name="_4.06E Pass Throughs 2 3" xfId="58" xr:uid="{00000000-0005-0000-0000-000033000000}"/>
    <cellStyle name="_4.06E Pass Throughs 3" xfId="59" xr:uid="{00000000-0005-0000-0000-000034000000}"/>
    <cellStyle name="_4.06E Pass Throughs 3 2" xfId="60" xr:uid="{00000000-0005-0000-0000-000035000000}"/>
    <cellStyle name="_4.06E Pass Throughs 3 2 2" xfId="61" xr:uid="{00000000-0005-0000-0000-000036000000}"/>
    <cellStyle name="_4.06E Pass Throughs 3 3" xfId="62" xr:uid="{00000000-0005-0000-0000-000037000000}"/>
    <cellStyle name="_4.06E Pass Throughs 3 3 2" xfId="63" xr:uid="{00000000-0005-0000-0000-000038000000}"/>
    <cellStyle name="_4.06E Pass Throughs 3 4" xfId="64" xr:uid="{00000000-0005-0000-0000-000039000000}"/>
    <cellStyle name="_4.06E Pass Throughs 3 4 2" xfId="65" xr:uid="{00000000-0005-0000-0000-00003A000000}"/>
    <cellStyle name="_4.06E Pass Throughs 4" xfId="66" xr:uid="{00000000-0005-0000-0000-00003B000000}"/>
    <cellStyle name="_4.06E Pass Throughs 4 2" xfId="67" xr:uid="{00000000-0005-0000-0000-00003C000000}"/>
    <cellStyle name="_4.06E Pass Throughs 5" xfId="68" xr:uid="{00000000-0005-0000-0000-00003D000000}"/>
    <cellStyle name="_4.06E Pass Throughs 6" xfId="69" xr:uid="{00000000-0005-0000-0000-00003E000000}"/>
    <cellStyle name="_4.06E Pass Throughs 7" xfId="70" xr:uid="{00000000-0005-0000-0000-00003F000000}"/>
    <cellStyle name="_4.06E Pass Throughs_04 07E Wild Horse Wind Expansion (C) (2)" xfId="71" xr:uid="{00000000-0005-0000-0000-000040000000}"/>
    <cellStyle name="_4.06E Pass Throughs_04 07E Wild Horse Wind Expansion (C) (2) 2" xfId="72" xr:uid="{00000000-0005-0000-0000-000041000000}"/>
    <cellStyle name="_4.06E Pass Throughs_04 07E Wild Horse Wind Expansion (C) (2) 2 2" xfId="73" xr:uid="{00000000-0005-0000-0000-000042000000}"/>
    <cellStyle name="_4.06E Pass Throughs_04 07E Wild Horse Wind Expansion (C) (2) 3" xfId="74" xr:uid="{00000000-0005-0000-0000-000043000000}"/>
    <cellStyle name="_4.06E Pass Throughs_04 07E Wild Horse Wind Expansion (C) (2)_Adj Bench DR 3 for Initial Briefs (Electric)" xfId="75" xr:uid="{00000000-0005-0000-0000-000044000000}"/>
    <cellStyle name="_4.06E Pass Throughs_04 07E Wild Horse Wind Expansion (C) (2)_Adj Bench DR 3 for Initial Briefs (Electric) 2" xfId="76" xr:uid="{00000000-0005-0000-0000-000045000000}"/>
    <cellStyle name="_4.06E Pass Throughs_04 07E Wild Horse Wind Expansion (C) (2)_Adj Bench DR 3 for Initial Briefs (Electric) 2 2" xfId="77" xr:uid="{00000000-0005-0000-0000-000046000000}"/>
    <cellStyle name="_4.06E Pass Throughs_04 07E Wild Horse Wind Expansion (C) (2)_Adj Bench DR 3 for Initial Briefs (Electric) 3" xfId="78" xr:uid="{00000000-0005-0000-0000-000047000000}"/>
    <cellStyle name="_4.06E Pass Throughs_04 07E Wild Horse Wind Expansion (C) (2)_Book1" xfId="79" xr:uid="{00000000-0005-0000-0000-000048000000}"/>
    <cellStyle name="_4.06E Pass Throughs_04 07E Wild Horse Wind Expansion (C) (2)_Electric Rev Req Model (2009 GRC) " xfId="80" xr:uid="{00000000-0005-0000-0000-000049000000}"/>
    <cellStyle name="_4.06E Pass Throughs_04 07E Wild Horse Wind Expansion (C) (2)_Electric Rev Req Model (2009 GRC)  2" xfId="81" xr:uid="{00000000-0005-0000-0000-00004A000000}"/>
    <cellStyle name="_4.06E Pass Throughs_04 07E Wild Horse Wind Expansion (C) (2)_Electric Rev Req Model (2009 GRC)  2 2" xfId="82" xr:uid="{00000000-0005-0000-0000-00004B000000}"/>
    <cellStyle name="_4.06E Pass Throughs_04 07E Wild Horse Wind Expansion (C) (2)_Electric Rev Req Model (2009 GRC)  3" xfId="83" xr:uid="{00000000-0005-0000-0000-00004C000000}"/>
    <cellStyle name="_4.06E Pass Throughs_04 07E Wild Horse Wind Expansion (C) (2)_Electric Rev Req Model (2009 GRC) Rebuttal" xfId="84" xr:uid="{00000000-0005-0000-0000-00004D000000}"/>
    <cellStyle name="_4.06E Pass Throughs_04 07E Wild Horse Wind Expansion (C) (2)_Electric Rev Req Model (2009 GRC) Rebuttal 2" xfId="85" xr:uid="{00000000-0005-0000-0000-00004E000000}"/>
    <cellStyle name="_4.06E Pass Throughs_04 07E Wild Horse Wind Expansion (C) (2)_Electric Rev Req Model (2009 GRC) Rebuttal 2 2" xfId="86" xr:uid="{00000000-0005-0000-0000-00004F000000}"/>
    <cellStyle name="_4.06E Pass Throughs_04 07E Wild Horse Wind Expansion (C) (2)_Electric Rev Req Model (2009 GRC) Rebuttal 3" xfId="87" xr:uid="{00000000-0005-0000-0000-000050000000}"/>
    <cellStyle name="_4.06E Pass Throughs_04 07E Wild Horse Wind Expansion (C) (2)_Electric Rev Req Model (2009 GRC) Rebuttal REmoval of New  WH Solar AdjustMI" xfId="88" xr:uid="{00000000-0005-0000-0000-000051000000}"/>
    <cellStyle name="_4.06E Pass Throughs_04 07E Wild Horse Wind Expansion (C) (2)_Electric Rev Req Model (2009 GRC) Rebuttal REmoval of New  WH Solar AdjustMI 2" xfId="89" xr:uid="{00000000-0005-0000-0000-000052000000}"/>
    <cellStyle name="_4.06E Pass Throughs_04 07E Wild Horse Wind Expansion (C) (2)_Electric Rev Req Model (2009 GRC) Rebuttal REmoval of New  WH Solar AdjustMI 2 2" xfId="90" xr:uid="{00000000-0005-0000-0000-000053000000}"/>
    <cellStyle name="_4.06E Pass Throughs_04 07E Wild Horse Wind Expansion (C) (2)_Electric Rev Req Model (2009 GRC) Rebuttal REmoval of New  WH Solar AdjustMI 3" xfId="91" xr:uid="{00000000-0005-0000-0000-000054000000}"/>
    <cellStyle name="_4.06E Pass Throughs_04 07E Wild Horse Wind Expansion (C) (2)_Electric Rev Req Model (2009 GRC) Revised 01-18-2010" xfId="92" xr:uid="{00000000-0005-0000-0000-000055000000}"/>
    <cellStyle name="_4.06E Pass Throughs_04 07E Wild Horse Wind Expansion (C) (2)_Electric Rev Req Model (2009 GRC) Revised 01-18-2010 2" xfId="93" xr:uid="{00000000-0005-0000-0000-000056000000}"/>
    <cellStyle name="_4.06E Pass Throughs_04 07E Wild Horse Wind Expansion (C) (2)_Electric Rev Req Model (2009 GRC) Revised 01-18-2010 2 2" xfId="94" xr:uid="{00000000-0005-0000-0000-000057000000}"/>
    <cellStyle name="_4.06E Pass Throughs_04 07E Wild Horse Wind Expansion (C) (2)_Electric Rev Req Model (2009 GRC) Revised 01-18-2010 3" xfId="95" xr:uid="{00000000-0005-0000-0000-000058000000}"/>
    <cellStyle name="_4.06E Pass Throughs_04 07E Wild Horse Wind Expansion (C) (2)_Electric Rev Req Model (2010 GRC)" xfId="96" xr:uid="{00000000-0005-0000-0000-000059000000}"/>
    <cellStyle name="_4.06E Pass Throughs_04 07E Wild Horse Wind Expansion (C) (2)_Electric Rev Req Model (2010 GRC) SF" xfId="97" xr:uid="{00000000-0005-0000-0000-00005A000000}"/>
    <cellStyle name="_4.06E Pass Throughs_04 07E Wild Horse Wind Expansion (C) (2)_Final Order Electric EXHIBIT A-1" xfId="98" xr:uid="{00000000-0005-0000-0000-00005B000000}"/>
    <cellStyle name="_4.06E Pass Throughs_04 07E Wild Horse Wind Expansion (C) (2)_Final Order Electric EXHIBIT A-1 2" xfId="99" xr:uid="{00000000-0005-0000-0000-00005C000000}"/>
    <cellStyle name="_4.06E Pass Throughs_04 07E Wild Horse Wind Expansion (C) (2)_Final Order Electric EXHIBIT A-1 2 2" xfId="100" xr:uid="{00000000-0005-0000-0000-00005D000000}"/>
    <cellStyle name="_4.06E Pass Throughs_04 07E Wild Horse Wind Expansion (C) (2)_Final Order Electric EXHIBIT A-1 3" xfId="101" xr:uid="{00000000-0005-0000-0000-00005E000000}"/>
    <cellStyle name="_4.06E Pass Throughs_04 07E Wild Horse Wind Expansion (C) (2)_TENASKA REGULATORY ASSET" xfId="102" xr:uid="{00000000-0005-0000-0000-00005F000000}"/>
    <cellStyle name="_4.06E Pass Throughs_04 07E Wild Horse Wind Expansion (C) (2)_TENASKA REGULATORY ASSET 2" xfId="103" xr:uid="{00000000-0005-0000-0000-000060000000}"/>
    <cellStyle name="_4.06E Pass Throughs_04 07E Wild Horse Wind Expansion (C) (2)_TENASKA REGULATORY ASSET 2 2" xfId="104" xr:uid="{00000000-0005-0000-0000-000061000000}"/>
    <cellStyle name="_4.06E Pass Throughs_04 07E Wild Horse Wind Expansion (C) (2)_TENASKA REGULATORY ASSET 3" xfId="105" xr:uid="{00000000-0005-0000-0000-000062000000}"/>
    <cellStyle name="_4.06E Pass Throughs_16.37E Wild Horse Expansion DeferralRevwrkingfile SF" xfId="106" xr:uid="{00000000-0005-0000-0000-000063000000}"/>
    <cellStyle name="_4.06E Pass Throughs_16.37E Wild Horse Expansion DeferralRevwrkingfile SF 2" xfId="107" xr:uid="{00000000-0005-0000-0000-000064000000}"/>
    <cellStyle name="_4.06E Pass Throughs_16.37E Wild Horse Expansion DeferralRevwrkingfile SF 2 2" xfId="108" xr:uid="{00000000-0005-0000-0000-000065000000}"/>
    <cellStyle name="_4.06E Pass Throughs_16.37E Wild Horse Expansion DeferralRevwrkingfile SF 3" xfId="109" xr:uid="{00000000-0005-0000-0000-000066000000}"/>
    <cellStyle name="_4.06E Pass Throughs_2009 Compliance Filing PCA Exhibits for GRC" xfId="110" xr:uid="{00000000-0005-0000-0000-000067000000}"/>
    <cellStyle name="_4.06E Pass Throughs_2009 GRC Compl Filing - Exhibit D" xfId="111" xr:uid="{00000000-0005-0000-0000-000068000000}"/>
    <cellStyle name="_4.06E Pass Throughs_2009 GRC Compl Filing - Exhibit D 2" xfId="112" xr:uid="{00000000-0005-0000-0000-000069000000}"/>
    <cellStyle name="_4.06E Pass Throughs_3.01 Income Statement" xfId="113" xr:uid="{00000000-0005-0000-0000-00006A000000}"/>
    <cellStyle name="_4.06E Pass Throughs_4 31 Regulatory Assets and Liabilities  7 06- Exhibit D" xfId="114" xr:uid="{00000000-0005-0000-0000-00006B000000}"/>
    <cellStyle name="_4.06E Pass Throughs_4 31 Regulatory Assets and Liabilities  7 06- Exhibit D 2" xfId="115" xr:uid="{00000000-0005-0000-0000-00006C000000}"/>
    <cellStyle name="_4.06E Pass Throughs_4 31 Regulatory Assets and Liabilities  7 06- Exhibit D 2 2" xfId="116" xr:uid="{00000000-0005-0000-0000-00006D000000}"/>
    <cellStyle name="_4.06E Pass Throughs_4 31 Regulatory Assets and Liabilities  7 06- Exhibit D 3" xfId="117" xr:uid="{00000000-0005-0000-0000-00006E000000}"/>
    <cellStyle name="_4.06E Pass Throughs_4 31 Regulatory Assets and Liabilities  7 06- Exhibit D_NIM Summary" xfId="118" xr:uid="{00000000-0005-0000-0000-00006F000000}"/>
    <cellStyle name="_4.06E Pass Throughs_4 31 Regulatory Assets and Liabilities  7 06- Exhibit D_NIM Summary 2" xfId="119" xr:uid="{00000000-0005-0000-0000-000070000000}"/>
    <cellStyle name="_4.06E Pass Throughs_4 32 Regulatory Assets and Liabilities  7 06- Exhibit D" xfId="120" xr:uid="{00000000-0005-0000-0000-000071000000}"/>
    <cellStyle name="_4.06E Pass Throughs_4 32 Regulatory Assets and Liabilities  7 06- Exhibit D 2" xfId="121" xr:uid="{00000000-0005-0000-0000-000072000000}"/>
    <cellStyle name="_4.06E Pass Throughs_4 32 Regulatory Assets and Liabilities  7 06- Exhibit D 2 2" xfId="122" xr:uid="{00000000-0005-0000-0000-000073000000}"/>
    <cellStyle name="_4.06E Pass Throughs_4 32 Regulatory Assets and Liabilities  7 06- Exhibit D 3" xfId="123" xr:uid="{00000000-0005-0000-0000-000074000000}"/>
    <cellStyle name="_4.06E Pass Throughs_4 32 Regulatory Assets and Liabilities  7 06- Exhibit D_NIM Summary" xfId="124" xr:uid="{00000000-0005-0000-0000-000075000000}"/>
    <cellStyle name="_4.06E Pass Throughs_4 32 Regulatory Assets and Liabilities  7 06- Exhibit D_NIM Summary 2" xfId="125" xr:uid="{00000000-0005-0000-0000-000076000000}"/>
    <cellStyle name="_4.06E Pass Throughs_AURORA Total New" xfId="126" xr:uid="{00000000-0005-0000-0000-000077000000}"/>
    <cellStyle name="_4.06E Pass Throughs_AURORA Total New 2" xfId="127" xr:uid="{00000000-0005-0000-0000-000078000000}"/>
    <cellStyle name="_4.06E Pass Throughs_Book2" xfId="128" xr:uid="{00000000-0005-0000-0000-000079000000}"/>
    <cellStyle name="_4.06E Pass Throughs_Book2 2" xfId="129" xr:uid="{00000000-0005-0000-0000-00007A000000}"/>
    <cellStyle name="_4.06E Pass Throughs_Book2 2 2" xfId="130" xr:uid="{00000000-0005-0000-0000-00007B000000}"/>
    <cellStyle name="_4.06E Pass Throughs_Book2 3" xfId="131" xr:uid="{00000000-0005-0000-0000-00007C000000}"/>
    <cellStyle name="_4.06E Pass Throughs_Book2_Adj Bench DR 3 for Initial Briefs (Electric)" xfId="132" xr:uid="{00000000-0005-0000-0000-00007D000000}"/>
    <cellStyle name="_4.06E Pass Throughs_Book2_Adj Bench DR 3 for Initial Briefs (Electric) 2" xfId="133" xr:uid="{00000000-0005-0000-0000-00007E000000}"/>
    <cellStyle name="_4.06E Pass Throughs_Book2_Adj Bench DR 3 for Initial Briefs (Electric) 2 2" xfId="134" xr:uid="{00000000-0005-0000-0000-00007F000000}"/>
    <cellStyle name="_4.06E Pass Throughs_Book2_Adj Bench DR 3 for Initial Briefs (Electric) 3" xfId="135" xr:uid="{00000000-0005-0000-0000-000080000000}"/>
    <cellStyle name="_4.06E Pass Throughs_Book2_Electric Rev Req Model (2009 GRC) Rebuttal" xfId="136" xr:uid="{00000000-0005-0000-0000-000081000000}"/>
    <cellStyle name="_4.06E Pass Throughs_Book2_Electric Rev Req Model (2009 GRC) Rebuttal 2" xfId="137" xr:uid="{00000000-0005-0000-0000-000082000000}"/>
    <cellStyle name="_4.06E Pass Throughs_Book2_Electric Rev Req Model (2009 GRC) Rebuttal 2 2" xfId="138" xr:uid="{00000000-0005-0000-0000-000083000000}"/>
    <cellStyle name="_4.06E Pass Throughs_Book2_Electric Rev Req Model (2009 GRC) Rebuttal 3" xfId="139" xr:uid="{00000000-0005-0000-0000-000084000000}"/>
    <cellStyle name="_4.06E Pass Throughs_Book2_Electric Rev Req Model (2009 GRC) Rebuttal REmoval of New  WH Solar AdjustMI" xfId="140" xr:uid="{00000000-0005-0000-0000-000085000000}"/>
    <cellStyle name="_4.06E Pass Throughs_Book2_Electric Rev Req Model (2009 GRC) Rebuttal REmoval of New  WH Solar AdjustMI 2" xfId="141" xr:uid="{00000000-0005-0000-0000-000086000000}"/>
    <cellStyle name="_4.06E Pass Throughs_Book2_Electric Rev Req Model (2009 GRC) Rebuttal REmoval of New  WH Solar AdjustMI 2 2" xfId="142" xr:uid="{00000000-0005-0000-0000-000087000000}"/>
    <cellStyle name="_4.06E Pass Throughs_Book2_Electric Rev Req Model (2009 GRC) Rebuttal REmoval of New  WH Solar AdjustMI 3" xfId="143" xr:uid="{00000000-0005-0000-0000-000088000000}"/>
    <cellStyle name="_4.06E Pass Throughs_Book2_Electric Rev Req Model (2009 GRC) Revised 01-18-2010" xfId="144" xr:uid="{00000000-0005-0000-0000-000089000000}"/>
    <cellStyle name="_4.06E Pass Throughs_Book2_Electric Rev Req Model (2009 GRC) Revised 01-18-2010 2" xfId="145" xr:uid="{00000000-0005-0000-0000-00008A000000}"/>
    <cellStyle name="_4.06E Pass Throughs_Book2_Electric Rev Req Model (2009 GRC) Revised 01-18-2010 2 2" xfId="146" xr:uid="{00000000-0005-0000-0000-00008B000000}"/>
    <cellStyle name="_4.06E Pass Throughs_Book2_Electric Rev Req Model (2009 GRC) Revised 01-18-2010 3" xfId="147" xr:uid="{00000000-0005-0000-0000-00008C000000}"/>
    <cellStyle name="_4.06E Pass Throughs_Book2_Final Order Electric EXHIBIT A-1" xfId="148" xr:uid="{00000000-0005-0000-0000-00008D000000}"/>
    <cellStyle name="_4.06E Pass Throughs_Book2_Final Order Electric EXHIBIT A-1 2" xfId="149" xr:uid="{00000000-0005-0000-0000-00008E000000}"/>
    <cellStyle name="_4.06E Pass Throughs_Book2_Final Order Electric EXHIBIT A-1 2 2" xfId="150" xr:uid="{00000000-0005-0000-0000-00008F000000}"/>
    <cellStyle name="_4.06E Pass Throughs_Book2_Final Order Electric EXHIBIT A-1 3" xfId="151" xr:uid="{00000000-0005-0000-0000-000090000000}"/>
    <cellStyle name="_4.06E Pass Throughs_Book4" xfId="152" xr:uid="{00000000-0005-0000-0000-000091000000}"/>
    <cellStyle name="_4.06E Pass Throughs_Book4 2" xfId="153" xr:uid="{00000000-0005-0000-0000-000092000000}"/>
    <cellStyle name="_4.06E Pass Throughs_Book4 2 2" xfId="154" xr:uid="{00000000-0005-0000-0000-000093000000}"/>
    <cellStyle name="_4.06E Pass Throughs_Book4 3" xfId="155" xr:uid="{00000000-0005-0000-0000-000094000000}"/>
    <cellStyle name="_4.06E Pass Throughs_Book9" xfId="156" xr:uid="{00000000-0005-0000-0000-000095000000}"/>
    <cellStyle name="_4.06E Pass Throughs_Book9 2" xfId="157" xr:uid="{00000000-0005-0000-0000-000096000000}"/>
    <cellStyle name="_4.06E Pass Throughs_Book9 2 2" xfId="158" xr:uid="{00000000-0005-0000-0000-000097000000}"/>
    <cellStyle name="_4.06E Pass Throughs_Book9 3" xfId="159" xr:uid="{00000000-0005-0000-0000-000098000000}"/>
    <cellStyle name="_4.06E Pass Throughs_Chelan PUD Power Costs (8-10)" xfId="160" xr:uid="{00000000-0005-0000-0000-000099000000}"/>
    <cellStyle name="_4.06E Pass Throughs_INPUTS" xfId="161" xr:uid="{00000000-0005-0000-0000-00009A000000}"/>
    <cellStyle name="_4.06E Pass Throughs_INPUTS 2" xfId="162" xr:uid="{00000000-0005-0000-0000-00009B000000}"/>
    <cellStyle name="_4.06E Pass Throughs_INPUTS 2 2" xfId="163" xr:uid="{00000000-0005-0000-0000-00009C000000}"/>
    <cellStyle name="_4.06E Pass Throughs_INPUTS 3" xfId="164" xr:uid="{00000000-0005-0000-0000-00009D000000}"/>
    <cellStyle name="_4.06E Pass Throughs_NIM Summary" xfId="165" xr:uid="{00000000-0005-0000-0000-00009E000000}"/>
    <cellStyle name="_4.06E Pass Throughs_NIM Summary 09GRC" xfId="166" xr:uid="{00000000-0005-0000-0000-00009F000000}"/>
    <cellStyle name="_4.06E Pass Throughs_NIM Summary 09GRC 2" xfId="167" xr:uid="{00000000-0005-0000-0000-0000A0000000}"/>
    <cellStyle name="_4.06E Pass Throughs_NIM Summary 2" xfId="168" xr:uid="{00000000-0005-0000-0000-0000A1000000}"/>
    <cellStyle name="_4.06E Pass Throughs_NIM Summary 3" xfId="169" xr:uid="{00000000-0005-0000-0000-0000A2000000}"/>
    <cellStyle name="_4.06E Pass Throughs_NIM Summary 4" xfId="170" xr:uid="{00000000-0005-0000-0000-0000A3000000}"/>
    <cellStyle name="_4.06E Pass Throughs_NIM Summary 5" xfId="171" xr:uid="{00000000-0005-0000-0000-0000A4000000}"/>
    <cellStyle name="_4.06E Pass Throughs_NIM Summary 6" xfId="172" xr:uid="{00000000-0005-0000-0000-0000A5000000}"/>
    <cellStyle name="_4.06E Pass Throughs_NIM Summary 7" xfId="173" xr:uid="{00000000-0005-0000-0000-0000A6000000}"/>
    <cellStyle name="_4.06E Pass Throughs_NIM Summary 8" xfId="174" xr:uid="{00000000-0005-0000-0000-0000A7000000}"/>
    <cellStyle name="_4.06E Pass Throughs_NIM Summary 9" xfId="175" xr:uid="{00000000-0005-0000-0000-0000A8000000}"/>
    <cellStyle name="_4.06E Pass Throughs_PCA 10 -  Exhibit D from A Kellogg Jan 2011" xfId="176" xr:uid="{00000000-0005-0000-0000-0000A9000000}"/>
    <cellStyle name="_4.06E Pass Throughs_PCA 10 -  Exhibit D from A Kellogg July 2011" xfId="177" xr:uid="{00000000-0005-0000-0000-0000AA000000}"/>
    <cellStyle name="_4.06E Pass Throughs_PCA 10 -  Exhibit D from S Free Rcv'd 12-11" xfId="178" xr:uid="{00000000-0005-0000-0000-0000AB000000}"/>
    <cellStyle name="_4.06E Pass Throughs_PCA 9 -  Exhibit D April 2010" xfId="179" xr:uid="{00000000-0005-0000-0000-0000AC000000}"/>
    <cellStyle name="_4.06E Pass Throughs_PCA 9 -  Exhibit D April 2010 (3)" xfId="180" xr:uid="{00000000-0005-0000-0000-0000AD000000}"/>
    <cellStyle name="_4.06E Pass Throughs_PCA 9 -  Exhibit D April 2010 (3) 2" xfId="181" xr:uid="{00000000-0005-0000-0000-0000AE000000}"/>
    <cellStyle name="_4.06E Pass Throughs_PCA 9 -  Exhibit D Nov 2010" xfId="182" xr:uid="{00000000-0005-0000-0000-0000AF000000}"/>
    <cellStyle name="_4.06E Pass Throughs_PCA 9 - Exhibit D at August 2010" xfId="183" xr:uid="{00000000-0005-0000-0000-0000B0000000}"/>
    <cellStyle name="_4.06E Pass Throughs_PCA 9 - Exhibit D June 2010 GRC" xfId="184" xr:uid="{00000000-0005-0000-0000-0000B1000000}"/>
    <cellStyle name="_4.06E Pass Throughs_Power Costs - Comparison bx Rbtl-Staff-Jt-PC" xfId="185" xr:uid="{00000000-0005-0000-0000-0000B2000000}"/>
    <cellStyle name="_4.06E Pass Throughs_Power Costs - Comparison bx Rbtl-Staff-Jt-PC 2" xfId="186" xr:uid="{00000000-0005-0000-0000-0000B3000000}"/>
    <cellStyle name="_4.06E Pass Throughs_Power Costs - Comparison bx Rbtl-Staff-Jt-PC 2 2" xfId="187" xr:uid="{00000000-0005-0000-0000-0000B4000000}"/>
    <cellStyle name="_4.06E Pass Throughs_Power Costs - Comparison bx Rbtl-Staff-Jt-PC 3" xfId="188" xr:uid="{00000000-0005-0000-0000-0000B5000000}"/>
    <cellStyle name="_4.06E Pass Throughs_Power Costs - Comparison bx Rbtl-Staff-Jt-PC_Adj Bench DR 3 for Initial Briefs (Electric)" xfId="189" xr:uid="{00000000-0005-0000-0000-0000B6000000}"/>
    <cellStyle name="_4.06E Pass Throughs_Power Costs - Comparison bx Rbtl-Staff-Jt-PC_Adj Bench DR 3 for Initial Briefs (Electric) 2" xfId="190" xr:uid="{00000000-0005-0000-0000-0000B7000000}"/>
    <cellStyle name="_4.06E Pass Throughs_Power Costs - Comparison bx Rbtl-Staff-Jt-PC_Adj Bench DR 3 for Initial Briefs (Electric) 2 2" xfId="191" xr:uid="{00000000-0005-0000-0000-0000B8000000}"/>
    <cellStyle name="_4.06E Pass Throughs_Power Costs - Comparison bx Rbtl-Staff-Jt-PC_Adj Bench DR 3 for Initial Briefs (Electric) 3" xfId="192" xr:uid="{00000000-0005-0000-0000-0000B9000000}"/>
    <cellStyle name="_4.06E Pass Throughs_Power Costs - Comparison bx Rbtl-Staff-Jt-PC_Electric Rev Req Model (2009 GRC) Rebuttal" xfId="193" xr:uid="{00000000-0005-0000-0000-0000BA000000}"/>
    <cellStyle name="_4.06E Pass Throughs_Power Costs - Comparison bx Rbtl-Staff-Jt-PC_Electric Rev Req Model (2009 GRC) Rebuttal 2" xfId="194" xr:uid="{00000000-0005-0000-0000-0000BB000000}"/>
    <cellStyle name="_4.06E Pass Throughs_Power Costs - Comparison bx Rbtl-Staff-Jt-PC_Electric Rev Req Model (2009 GRC) Rebuttal 2 2" xfId="195" xr:uid="{00000000-0005-0000-0000-0000BC000000}"/>
    <cellStyle name="_4.06E Pass Throughs_Power Costs - Comparison bx Rbtl-Staff-Jt-PC_Electric Rev Req Model (2009 GRC) Rebuttal 3" xfId="196" xr:uid="{00000000-0005-0000-0000-0000BD000000}"/>
    <cellStyle name="_4.06E Pass Throughs_Power Costs - Comparison bx Rbtl-Staff-Jt-PC_Electric Rev Req Model (2009 GRC) Rebuttal REmoval of New  WH Solar AdjustMI" xfId="197" xr:uid="{00000000-0005-0000-0000-0000BE000000}"/>
    <cellStyle name="_4.06E Pass Throughs_Power Costs - Comparison bx Rbtl-Staff-Jt-PC_Electric Rev Req Model (2009 GRC) Rebuttal REmoval of New  WH Solar AdjustMI 2" xfId="198" xr:uid="{00000000-0005-0000-0000-0000BF000000}"/>
    <cellStyle name="_4.06E Pass Throughs_Power Costs - Comparison bx Rbtl-Staff-Jt-PC_Electric Rev Req Model (2009 GRC) Rebuttal REmoval of New  WH Solar AdjustMI 2 2" xfId="199" xr:uid="{00000000-0005-0000-0000-0000C0000000}"/>
    <cellStyle name="_4.06E Pass Throughs_Power Costs - Comparison bx Rbtl-Staff-Jt-PC_Electric Rev Req Model (2009 GRC) Rebuttal REmoval of New  WH Solar AdjustMI 3" xfId="200" xr:uid="{00000000-0005-0000-0000-0000C1000000}"/>
    <cellStyle name="_4.06E Pass Throughs_Power Costs - Comparison bx Rbtl-Staff-Jt-PC_Electric Rev Req Model (2009 GRC) Revised 01-18-2010" xfId="201" xr:uid="{00000000-0005-0000-0000-0000C2000000}"/>
    <cellStyle name="_4.06E Pass Throughs_Power Costs - Comparison bx Rbtl-Staff-Jt-PC_Electric Rev Req Model (2009 GRC) Revised 01-18-2010 2" xfId="202" xr:uid="{00000000-0005-0000-0000-0000C3000000}"/>
    <cellStyle name="_4.06E Pass Throughs_Power Costs - Comparison bx Rbtl-Staff-Jt-PC_Electric Rev Req Model (2009 GRC) Revised 01-18-2010 2 2" xfId="203" xr:uid="{00000000-0005-0000-0000-0000C4000000}"/>
    <cellStyle name="_4.06E Pass Throughs_Power Costs - Comparison bx Rbtl-Staff-Jt-PC_Electric Rev Req Model (2009 GRC) Revised 01-18-2010 3" xfId="204" xr:uid="{00000000-0005-0000-0000-0000C5000000}"/>
    <cellStyle name="_4.06E Pass Throughs_Power Costs - Comparison bx Rbtl-Staff-Jt-PC_Final Order Electric EXHIBIT A-1" xfId="205" xr:uid="{00000000-0005-0000-0000-0000C6000000}"/>
    <cellStyle name="_4.06E Pass Throughs_Power Costs - Comparison bx Rbtl-Staff-Jt-PC_Final Order Electric EXHIBIT A-1 2" xfId="206" xr:uid="{00000000-0005-0000-0000-0000C7000000}"/>
    <cellStyle name="_4.06E Pass Throughs_Power Costs - Comparison bx Rbtl-Staff-Jt-PC_Final Order Electric EXHIBIT A-1 2 2" xfId="207" xr:uid="{00000000-0005-0000-0000-0000C8000000}"/>
    <cellStyle name="_4.06E Pass Throughs_Power Costs - Comparison bx Rbtl-Staff-Jt-PC_Final Order Electric EXHIBIT A-1 3" xfId="208" xr:uid="{00000000-0005-0000-0000-0000C9000000}"/>
    <cellStyle name="_4.06E Pass Throughs_Production Adj 4.37" xfId="209" xr:uid="{00000000-0005-0000-0000-0000CA000000}"/>
    <cellStyle name="_4.06E Pass Throughs_Production Adj 4.37 2" xfId="210" xr:uid="{00000000-0005-0000-0000-0000CB000000}"/>
    <cellStyle name="_4.06E Pass Throughs_Production Adj 4.37 2 2" xfId="211" xr:uid="{00000000-0005-0000-0000-0000CC000000}"/>
    <cellStyle name="_4.06E Pass Throughs_Production Adj 4.37 3" xfId="212" xr:uid="{00000000-0005-0000-0000-0000CD000000}"/>
    <cellStyle name="_4.06E Pass Throughs_Purchased Power Adj 4.03" xfId="213" xr:uid="{00000000-0005-0000-0000-0000CE000000}"/>
    <cellStyle name="_4.06E Pass Throughs_Purchased Power Adj 4.03 2" xfId="214" xr:uid="{00000000-0005-0000-0000-0000CF000000}"/>
    <cellStyle name="_4.06E Pass Throughs_Purchased Power Adj 4.03 2 2" xfId="215" xr:uid="{00000000-0005-0000-0000-0000D0000000}"/>
    <cellStyle name="_4.06E Pass Throughs_Purchased Power Adj 4.03 3" xfId="216" xr:uid="{00000000-0005-0000-0000-0000D1000000}"/>
    <cellStyle name="_4.06E Pass Throughs_Rebuttal Power Costs" xfId="217" xr:uid="{00000000-0005-0000-0000-0000D2000000}"/>
    <cellStyle name="_4.06E Pass Throughs_Rebuttal Power Costs 2" xfId="218" xr:uid="{00000000-0005-0000-0000-0000D3000000}"/>
    <cellStyle name="_4.06E Pass Throughs_Rebuttal Power Costs 2 2" xfId="219" xr:uid="{00000000-0005-0000-0000-0000D4000000}"/>
    <cellStyle name="_4.06E Pass Throughs_Rebuttal Power Costs 3" xfId="220" xr:uid="{00000000-0005-0000-0000-0000D5000000}"/>
    <cellStyle name="_4.06E Pass Throughs_Rebuttal Power Costs_Adj Bench DR 3 for Initial Briefs (Electric)" xfId="221" xr:uid="{00000000-0005-0000-0000-0000D6000000}"/>
    <cellStyle name="_4.06E Pass Throughs_Rebuttal Power Costs_Adj Bench DR 3 for Initial Briefs (Electric) 2" xfId="222" xr:uid="{00000000-0005-0000-0000-0000D7000000}"/>
    <cellStyle name="_4.06E Pass Throughs_Rebuttal Power Costs_Adj Bench DR 3 for Initial Briefs (Electric) 2 2" xfId="223" xr:uid="{00000000-0005-0000-0000-0000D8000000}"/>
    <cellStyle name="_4.06E Pass Throughs_Rebuttal Power Costs_Adj Bench DR 3 for Initial Briefs (Electric) 3" xfId="224" xr:uid="{00000000-0005-0000-0000-0000D9000000}"/>
    <cellStyle name="_4.06E Pass Throughs_Rebuttal Power Costs_Electric Rev Req Model (2009 GRC) Rebuttal" xfId="225" xr:uid="{00000000-0005-0000-0000-0000DA000000}"/>
    <cellStyle name="_4.06E Pass Throughs_Rebuttal Power Costs_Electric Rev Req Model (2009 GRC) Rebuttal 2" xfId="226" xr:uid="{00000000-0005-0000-0000-0000DB000000}"/>
    <cellStyle name="_4.06E Pass Throughs_Rebuttal Power Costs_Electric Rev Req Model (2009 GRC) Rebuttal 2 2" xfId="227" xr:uid="{00000000-0005-0000-0000-0000DC000000}"/>
    <cellStyle name="_4.06E Pass Throughs_Rebuttal Power Costs_Electric Rev Req Model (2009 GRC) Rebuttal 3" xfId="228" xr:uid="{00000000-0005-0000-0000-0000DD000000}"/>
    <cellStyle name="_4.06E Pass Throughs_Rebuttal Power Costs_Electric Rev Req Model (2009 GRC) Rebuttal REmoval of New  WH Solar AdjustMI" xfId="229" xr:uid="{00000000-0005-0000-0000-0000DE000000}"/>
    <cellStyle name="_4.06E Pass Throughs_Rebuttal Power Costs_Electric Rev Req Model (2009 GRC) Rebuttal REmoval of New  WH Solar AdjustMI 2" xfId="230" xr:uid="{00000000-0005-0000-0000-0000DF000000}"/>
    <cellStyle name="_4.06E Pass Throughs_Rebuttal Power Costs_Electric Rev Req Model (2009 GRC) Rebuttal REmoval of New  WH Solar AdjustMI 2 2" xfId="231" xr:uid="{00000000-0005-0000-0000-0000E0000000}"/>
    <cellStyle name="_4.06E Pass Throughs_Rebuttal Power Costs_Electric Rev Req Model (2009 GRC) Rebuttal REmoval of New  WH Solar AdjustMI 3" xfId="232" xr:uid="{00000000-0005-0000-0000-0000E1000000}"/>
    <cellStyle name="_4.06E Pass Throughs_Rebuttal Power Costs_Electric Rev Req Model (2009 GRC) Revised 01-18-2010" xfId="233" xr:uid="{00000000-0005-0000-0000-0000E2000000}"/>
    <cellStyle name="_4.06E Pass Throughs_Rebuttal Power Costs_Electric Rev Req Model (2009 GRC) Revised 01-18-2010 2" xfId="234" xr:uid="{00000000-0005-0000-0000-0000E3000000}"/>
    <cellStyle name="_4.06E Pass Throughs_Rebuttal Power Costs_Electric Rev Req Model (2009 GRC) Revised 01-18-2010 2 2" xfId="235" xr:uid="{00000000-0005-0000-0000-0000E4000000}"/>
    <cellStyle name="_4.06E Pass Throughs_Rebuttal Power Costs_Electric Rev Req Model (2009 GRC) Revised 01-18-2010 3" xfId="236" xr:uid="{00000000-0005-0000-0000-0000E5000000}"/>
    <cellStyle name="_4.06E Pass Throughs_Rebuttal Power Costs_Final Order Electric EXHIBIT A-1" xfId="237" xr:uid="{00000000-0005-0000-0000-0000E6000000}"/>
    <cellStyle name="_4.06E Pass Throughs_Rebuttal Power Costs_Final Order Electric EXHIBIT A-1 2" xfId="238" xr:uid="{00000000-0005-0000-0000-0000E7000000}"/>
    <cellStyle name="_4.06E Pass Throughs_Rebuttal Power Costs_Final Order Electric EXHIBIT A-1 2 2" xfId="239" xr:uid="{00000000-0005-0000-0000-0000E8000000}"/>
    <cellStyle name="_4.06E Pass Throughs_Rebuttal Power Costs_Final Order Electric EXHIBIT A-1 3" xfId="240" xr:uid="{00000000-0005-0000-0000-0000E9000000}"/>
    <cellStyle name="_4.06E Pass Throughs_ROR &amp; CONV FACTOR" xfId="241" xr:uid="{00000000-0005-0000-0000-0000EA000000}"/>
    <cellStyle name="_4.06E Pass Throughs_ROR &amp; CONV FACTOR 2" xfId="242" xr:uid="{00000000-0005-0000-0000-0000EB000000}"/>
    <cellStyle name="_4.06E Pass Throughs_ROR &amp; CONV FACTOR 2 2" xfId="243" xr:uid="{00000000-0005-0000-0000-0000EC000000}"/>
    <cellStyle name="_4.06E Pass Throughs_ROR &amp; CONV FACTOR 3" xfId="244" xr:uid="{00000000-0005-0000-0000-0000ED000000}"/>
    <cellStyle name="_4.06E Pass Throughs_ROR 5.02" xfId="245" xr:uid="{00000000-0005-0000-0000-0000EE000000}"/>
    <cellStyle name="_4.06E Pass Throughs_ROR 5.02 2" xfId="246" xr:uid="{00000000-0005-0000-0000-0000EF000000}"/>
    <cellStyle name="_4.06E Pass Throughs_ROR 5.02 2 2" xfId="247" xr:uid="{00000000-0005-0000-0000-0000F0000000}"/>
    <cellStyle name="_4.06E Pass Throughs_ROR 5.02 3" xfId="248" xr:uid="{00000000-0005-0000-0000-0000F1000000}"/>
    <cellStyle name="_4.06E Pass Throughs_Wind Integration 10GRC" xfId="249" xr:uid="{00000000-0005-0000-0000-0000F2000000}"/>
    <cellStyle name="_4.06E Pass Throughs_Wind Integration 10GRC 2" xfId="250" xr:uid="{00000000-0005-0000-0000-0000F3000000}"/>
    <cellStyle name="_4.13E Montana Energy Tax" xfId="251" xr:uid="{00000000-0005-0000-0000-0000F4000000}"/>
    <cellStyle name="_4.13E Montana Energy Tax 2" xfId="252" xr:uid="{00000000-0005-0000-0000-0000F5000000}"/>
    <cellStyle name="_4.13E Montana Energy Tax 2 2" xfId="253" xr:uid="{00000000-0005-0000-0000-0000F6000000}"/>
    <cellStyle name="_4.13E Montana Energy Tax 2 2 2" xfId="254" xr:uid="{00000000-0005-0000-0000-0000F7000000}"/>
    <cellStyle name="_4.13E Montana Energy Tax 2 3" xfId="255" xr:uid="{00000000-0005-0000-0000-0000F8000000}"/>
    <cellStyle name="_4.13E Montana Energy Tax 3" xfId="256" xr:uid="{00000000-0005-0000-0000-0000F9000000}"/>
    <cellStyle name="_4.13E Montana Energy Tax 3 2" xfId="257" xr:uid="{00000000-0005-0000-0000-0000FA000000}"/>
    <cellStyle name="_4.13E Montana Energy Tax 3 2 2" xfId="258" xr:uid="{00000000-0005-0000-0000-0000FB000000}"/>
    <cellStyle name="_4.13E Montana Energy Tax 3 3" xfId="259" xr:uid="{00000000-0005-0000-0000-0000FC000000}"/>
    <cellStyle name="_4.13E Montana Energy Tax 3 3 2" xfId="260" xr:uid="{00000000-0005-0000-0000-0000FD000000}"/>
    <cellStyle name="_4.13E Montana Energy Tax 3 4" xfId="261" xr:uid="{00000000-0005-0000-0000-0000FE000000}"/>
    <cellStyle name="_4.13E Montana Energy Tax 3 4 2" xfId="262" xr:uid="{00000000-0005-0000-0000-0000FF000000}"/>
    <cellStyle name="_4.13E Montana Energy Tax 4" xfId="263" xr:uid="{00000000-0005-0000-0000-000000010000}"/>
    <cellStyle name="_4.13E Montana Energy Tax 4 2" xfId="264" xr:uid="{00000000-0005-0000-0000-000001010000}"/>
    <cellStyle name="_4.13E Montana Energy Tax 5" xfId="265" xr:uid="{00000000-0005-0000-0000-000002010000}"/>
    <cellStyle name="_4.13E Montana Energy Tax 6" xfId="266" xr:uid="{00000000-0005-0000-0000-000003010000}"/>
    <cellStyle name="_4.13E Montana Energy Tax 7" xfId="267" xr:uid="{00000000-0005-0000-0000-000004010000}"/>
    <cellStyle name="_4.13E Montana Energy Tax_04 07E Wild Horse Wind Expansion (C) (2)" xfId="268" xr:uid="{00000000-0005-0000-0000-000005010000}"/>
    <cellStyle name="_4.13E Montana Energy Tax_04 07E Wild Horse Wind Expansion (C) (2) 2" xfId="269" xr:uid="{00000000-0005-0000-0000-000006010000}"/>
    <cellStyle name="_4.13E Montana Energy Tax_04 07E Wild Horse Wind Expansion (C) (2) 2 2" xfId="270" xr:uid="{00000000-0005-0000-0000-000007010000}"/>
    <cellStyle name="_4.13E Montana Energy Tax_04 07E Wild Horse Wind Expansion (C) (2) 3" xfId="271" xr:uid="{00000000-0005-0000-0000-000008010000}"/>
    <cellStyle name="_4.13E Montana Energy Tax_04 07E Wild Horse Wind Expansion (C) (2)_Adj Bench DR 3 for Initial Briefs (Electric)" xfId="272" xr:uid="{00000000-0005-0000-0000-000009010000}"/>
    <cellStyle name="_4.13E Montana Energy Tax_04 07E Wild Horse Wind Expansion (C) (2)_Adj Bench DR 3 for Initial Briefs (Electric) 2" xfId="273" xr:uid="{00000000-0005-0000-0000-00000A010000}"/>
    <cellStyle name="_4.13E Montana Energy Tax_04 07E Wild Horse Wind Expansion (C) (2)_Adj Bench DR 3 for Initial Briefs (Electric) 2 2" xfId="274" xr:uid="{00000000-0005-0000-0000-00000B010000}"/>
    <cellStyle name="_4.13E Montana Energy Tax_04 07E Wild Horse Wind Expansion (C) (2)_Adj Bench DR 3 for Initial Briefs (Electric) 3" xfId="275" xr:uid="{00000000-0005-0000-0000-00000C010000}"/>
    <cellStyle name="_4.13E Montana Energy Tax_04 07E Wild Horse Wind Expansion (C) (2)_Book1" xfId="276" xr:uid="{00000000-0005-0000-0000-00000D010000}"/>
    <cellStyle name="_4.13E Montana Energy Tax_04 07E Wild Horse Wind Expansion (C) (2)_Electric Rev Req Model (2009 GRC) " xfId="277" xr:uid="{00000000-0005-0000-0000-00000E010000}"/>
    <cellStyle name="_4.13E Montana Energy Tax_04 07E Wild Horse Wind Expansion (C) (2)_Electric Rev Req Model (2009 GRC)  2" xfId="278" xr:uid="{00000000-0005-0000-0000-00000F010000}"/>
    <cellStyle name="_4.13E Montana Energy Tax_04 07E Wild Horse Wind Expansion (C) (2)_Electric Rev Req Model (2009 GRC)  2 2" xfId="279" xr:uid="{00000000-0005-0000-0000-000010010000}"/>
    <cellStyle name="_4.13E Montana Energy Tax_04 07E Wild Horse Wind Expansion (C) (2)_Electric Rev Req Model (2009 GRC)  3" xfId="280" xr:uid="{00000000-0005-0000-0000-000011010000}"/>
    <cellStyle name="_4.13E Montana Energy Tax_04 07E Wild Horse Wind Expansion (C) (2)_Electric Rev Req Model (2009 GRC) Rebuttal" xfId="281" xr:uid="{00000000-0005-0000-0000-000012010000}"/>
    <cellStyle name="_4.13E Montana Energy Tax_04 07E Wild Horse Wind Expansion (C) (2)_Electric Rev Req Model (2009 GRC) Rebuttal 2" xfId="282" xr:uid="{00000000-0005-0000-0000-000013010000}"/>
    <cellStyle name="_4.13E Montana Energy Tax_04 07E Wild Horse Wind Expansion (C) (2)_Electric Rev Req Model (2009 GRC) Rebuttal 2 2" xfId="283" xr:uid="{00000000-0005-0000-0000-000014010000}"/>
    <cellStyle name="_4.13E Montana Energy Tax_04 07E Wild Horse Wind Expansion (C) (2)_Electric Rev Req Model (2009 GRC) Rebuttal 3" xfId="284" xr:uid="{00000000-0005-0000-0000-000015010000}"/>
    <cellStyle name="_4.13E Montana Energy Tax_04 07E Wild Horse Wind Expansion (C) (2)_Electric Rev Req Model (2009 GRC) Rebuttal REmoval of New  WH Solar AdjustMI" xfId="285" xr:uid="{00000000-0005-0000-0000-000016010000}"/>
    <cellStyle name="_4.13E Montana Energy Tax_04 07E Wild Horse Wind Expansion (C) (2)_Electric Rev Req Model (2009 GRC) Rebuttal REmoval of New  WH Solar AdjustMI 2" xfId="286" xr:uid="{00000000-0005-0000-0000-000017010000}"/>
    <cellStyle name="_4.13E Montana Energy Tax_04 07E Wild Horse Wind Expansion (C) (2)_Electric Rev Req Model (2009 GRC) Rebuttal REmoval of New  WH Solar AdjustMI 2 2" xfId="287" xr:uid="{00000000-0005-0000-0000-000018010000}"/>
    <cellStyle name="_4.13E Montana Energy Tax_04 07E Wild Horse Wind Expansion (C) (2)_Electric Rev Req Model (2009 GRC) Rebuttal REmoval of New  WH Solar AdjustMI 3" xfId="288" xr:uid="{00000000-0005-0000-0000-000019010000}"/>
    <cellStyle name="_4.13E Montana Energy Tax_04 07E Wild Horse Wind Expansion (C) (2)_Electric Rev Req Model (2009 GRC) Revised 01-18-2010" xfId="289" xr:uid="{00000000-0005-0000-0000-00001A010000}"/>
    <cellStyle name="_4.13E Montana Energy Tax_04 07E Wild Horse Wind Expansion (C) (2)_Electric Rev Req Model (2009 GRC) Revised 01-18-2010 2" xfId="290" xr:uid="{00000000-0005-0000-0000-00001B010000}"/>
    <cellStyle name="_4.13E Montana Energy Tax_04 07E Wild Horse Wind Expansion (C) (2)_Electric Rev Req Model (2009 GRC) Revised 01-18-2010 2 2" xfId="291" xr:uid="{00000000-0005-0000-0000-00001C010000}"/>
    <cellStyle name="_4.13E Montana Energy Tax_04 07E Wild Horse Wind Expansion (C) (2)_Electric Rev Req Model (2009 GRC) Revised 01-18-2010 3" xfId="292" xr:uid="{00000000-0005-0000-0000-00001D010000}"/>
    <cellStyle name="_4.13E Montana Energy Tax_04 07E Wild Horse Wind Expansion (C) (2)_Electric Rev Req Model (2010 GRC)" xfId="293" xr:uid="{00000000-0005-0000-0000-00001E010000}"/>
    <cellStyle name="_4.13E Montana Energy Tax_04 07E Wild Horse Wind Expansion (C) (2)_Electric Rev Req Model (2010 GRC) SF" xfId="294" xr:uid="{00000000-0005-0000-0000-00001F010000}"/>
    <cellStyle name="_4.13E Montana Energy Tax_04 07E Wild Horse Wind Expansion (C) (2)_Final Order Electric EXHIBIT A-1" xfId="295" xr:uid="{00000000-0005-0000-0000-000020010000}"/>
    <cellStyle name="_4.13E Montana Energy Tax_04 07E Wild Horse Wind Expansion (C) (2)_Final Order Electric EXHIBIT A-1 2" xfId="296" xr:uid="{00000000-0005-0000-0000-000021010000}"/>
    <cellStyle name="_4.13E Montana Energy Tax_04 07E Wild Horse Wind Expansion (C) (2)_Final Order Electric EXHIBIT A-1 2 2" xfId="297" xr:uid="{00000000-0005-0000-0000-000022010000}"/>
    <cellStyle name="_4.13E Montana Energy Tax_04 07E Wild Horse Wind Expansion (C) (2)_Final Order Electric EXHIBIT A-1 3" xfId="298" xr:uid="{00000000-0005-0000-0000-000023010000}"/>
    <cellStyle name="_4.13E Montana Energy Tax_04 07E Wild Horse Wind Expansion (C) (2)_TENASKA REGULATORY ASSET" xfId="299" xr:uid="{00000000-0005-0000-0000-000024010000}"/>
    <cellStyle name="_4.13E Montana Energy Tax_04 07E Wild Horse Wind Expansion (C) (2)_TENASKA REGULATORY ASSET 2" xfId="300" xr:uid="{00000000-0005-0000-0000-000025010000}"/>
    <cellStyle name="_4.13E Montana Energy Tax_04 07E Wild Horse Wind Expansion (C) (2)_TENASKA REGULATORY ASSET 2 2" xfId="301" xr:uid="{00000000-0005-0000-0000-000026010000}"/>
    <cellStyle name="_4.13E Montana Energy Tax_04 07E Wild Horse Wind Expansion (C) (2)_TENASKA REGULATORY ASSET 3" xfId="302" xr:uid="{00000000-0005-0000-0000-000027010000}"/>
    <cellStyle name="_4.13E Montana Energy Tax_16.37E Wild Horse Expansion DeferralRevwrkingfile SF" xfId="303" xr:uid="{00000000-0005-0000-0000-000028010000}"/>
    <cellStyle name="_4.13E Montana Energy Tax_16.37E Wild Horse Expansion DeferralRevwrkingfile SF 2" xfId="304" xr:uid="{00000000-0005-0000-0000-000029010000}"/>
    <cellStyle name="_4.13E Montana Energy Tax_16.37E Wild Horse Expansion DeferralRevwrkingfile SF 2 2" xfId="305" xr:uid="{00000000-0005-0000-0000-00002A010000}"/>
    <cellStyle name="_4.13E Montana Energy Tax_16.37E Wild Horse Expansion DeferralRevwrkingfile SF 3" xfId="306" xr:uid="{00000000-0005-0000-0000-00002B010000}"/>
    <cellStyle name="_4.13E Montana Energy Tax_2009 Compliance Filing PCA Exhibits for GRC" xfId="307" xr:uid="{00000000-0005-0000-0000-00002C010000}"/>
    <cellStyle name="_4.13E Montana Energy Tax_2009 GRC Compl Filing - Exhibit D" xfId="308" xr:uid="{00000000-0005-0000-0000-00002D010000}"/>
    <cellStyle name="_4.13E Montana Energy Tax_2009 GRC Compl Filing - Exhibit D 2" xfId="309" xr:uid="{00000000-0005-0000-0000-00002E010000}"/>
    <cellStyle name="_4.13E Montana Energy Tax_3.01 Income Statement" xfId="310" xr:uid="{00000000-0005-0000-0000-00002F010000}"/>
    <cellStyle name="_4.13E Montana Energy Tax_4 31 Regulatory Assets and Liabilities  7 06- Exhibit D" xfId="311" xr:uid="{00000000-0005-0000-0000-000030010000}"/>
    <cellStyle name="_4.13E Montana Energy Tax_4 31 Regulatory Assets and Liabilities  7 06- Exhibit D 2" xfId="312" xr:uid="{00000000-0005-0000-0000-000031010000}"/>
    <cellStyle name="_4.13E Montana Energy Tax_4 31 Regulatory Assets and Liabilities  7 06- Exhibit D 2 2" xfId="313" xr:uid="{00000000-0005-0000-0000-000032010000}"/>
    <cellStyle name="_4.13E Montana Energy Tax_4 31 Regulatory Assets and Liabilities  7 06- Exhibit D 3" xfId="314" xr:uid="{00000000-0005-0000-0000-000033010000}"/>
    <cellStyle name="_4.13E Montana Energy Tax_4 31 Regulatory Assets and Liabilities  7 06- Exhibit D_NIM Summary" xfId="315" xr:uid="{00000000-0005-0000-0000-000034010000}"/>
    <cellStyle name="_4.13E Montana Energy Tax_4 31 Regulatory Assets and Liabilities  7 06- Exhibit D_NIM Summary 2" xfId="316" xr:uid="{00000000-0005-0000-0000-000035010000}"/>
    <cellStyle name="_4.13E Montana Energy Tax_4 32 Regulatory Assets and Liabilities  7 06- Exhibit D" xfId="317" xr:uid="{00000000-0005-0000-0000-000036010000}"/>
    <cellStyle name="_4.13E Montana Energy Tax_4 32 Regulatory Assets and Liabilities  7 06- Exhibit D 2" xfId="318" xr:uid="{00000000-0005-0000-0000-000037010000}"/>
    <cellStyle name="_4.13E Montana Energy Tax_4 32 Regulatory Assets and Liabilities  7 06- Exhibit D 2 2" xfId="319" xr:uid="{00000000-0005-0000-0000-000038010000}"/>
    <cellStyle name="_4.13E Montana Energy Tax_4 32 Regulatory Assets and Liabilities  7 06- Exhibit D 3" xfId="320" xr:uid="{00000000-0005-0000-0000-000039010000}"/>
    <cellStyle name="_4.13E Montana Energy Tax_4 32 Regulatory Assets and Liabilities  7 06- Exhibit D_NIM Summary" xfId="321" xr:uid="{00000000-0005-0000-0000-00003A010000}"/>
    <cellStyle name="_4.13E Montana Energy Tax_4 32 Regulatory Assets and Liabilities  7 06- Exhibit D_NIM Summary 2" xfId="322" xr:uid="{00000000-0005-0000-0000-00003B010000}"/>
    <cellStyle name="_4.13E Montana Energy Tax_AURORA Total New" xfId="323" xr:uid="{00000000-0005-0000-0000-00003C010000}"/>
    <cellStyle name="_4.13E Montana Energy Tax_AURORA Total New 2" xfId="324" xr:uid="{00000000-0005-0000-0000-00003D010000}"/>
    <cellStyle name="_4.13E Montana Energy Tax_Book2" xfId="325" xr:uid="{00000000-0005-0000-0000-00003E010000}"/>
    <cellStyle name="_4.13E Montana Energy Tax_Book2 2" xfId="326" xr:uid="{00000000-0005-0000-0000-00003F010000}"/>
    <cellStyle name="_4.13E Montana Energy Tax_Book2 2 2" xfId="327" xr:uid="{00000000-0005-0000-0000-000040010000}"/>
    <cellStyle name="_4.13E Montana Energy Tax_Book2 3" xfId="328" xr:uid="{00000000-0005-0000-0000-000041010000}"/>
    <cellStyle name="_4.13E Montana Energy Tax_Book2_Adj Bench DR 3 for Initial Briefs (Electric)" xfId="329" xr:uid="{00000000-0005-0000-0000-000042010000}"/>
    <cellStyle name="_4.13E Montana Energy Tax_Book2_Adj Bench DR 3 for Initial Briefs (Electric) 2" xfId="330" xr:uid="{00000000-0005-0000-0000-000043010000}"/>
    <cellStyle name="_4.13E Montana Energy Tax_Book2_Adj Bench DR 3 for Initial Briefs (Electric) 2 2" xfId="331" xr:uid="{00000000-0005-0000-0000-000044010000}"/>
    <cellStyle name="_4.13E Montana Energy Tax_Book2_Adj Bench DR 3 for Initial Briefs (Electric) 3" xfId="332" xr:uid="{00000000-0005-0000-0000-000045010000}"/>
    <cellStyle name="_4.13E Montana Energy Tax_Book2_Electric Rev Req Model (2009 GRC) Rebuttal" xfId="333" xr:uid="{00000000-0005-0000-0000-000046010000}"/>
    <cellStyle name="_4.13E Montana Energy Tax_Book2_Electric Rev Req Model (2009 GRC) Rebuttal 2" xfId="334" xr:uid="{00000000-0005-0000-0000-000047010000}"/>
    <cellStyle name="_4.13E Montana Energy Tax_Book2_Electric Rev Req Model (2009 GRC) Rebuttal 2 2" xfId="335" xr:uid="{00000000-0005-0000-0000-000048010000}"/>
    <cellStyle name="_4.13E Montana Energy Tax_Book2_Electric Rev Req Model (2009 GRC) Rebuttal 3" xfId="336" xr:uid="{00000000-0005-0000-0000-000049010000}"/>
    <cellStyle name="_4.13E Montana Energy Tax_Book2_Electric Rev Req Model (2009 GRC) Rebuttal REmoval of New  WH Solar AdjustMI" xfId="337" xr:uid="{00000000-0005-0000-0000-00004A010000}"/>
    <cellStyle name="_4.13E Montana Energy Tax_Book2_Electric Rev Req Model (2009 GRC) Rebuttal REmoval of New  WH Solar AdjustMI 2" xfId="338" xr:uid="{00000000-0005-0000-0000-00004B010000}"/>
    <cellStyle name="_4.13E Montana Energy Tax_Book2_Electric Rev Req Model (2009 GRC) Rebuttal REmoval of New  WH Solar AdjustMI 2 2" xfId="339" xr:uid="{00000000-0005-0000-0000-00004C010000}"/>
    <cellStyle name="_4.13E Montana Energy Tax_Book2_Electric Rev Req Model (2009 GRC) Rebuttal REmoval of New  WH Solar AdjustMI 3" xfId="340" xr:uid="{00000000-0005-0000-0000-00004D010000}"/>
    <cellStyle name="_4.13E Montana Energy Tax_Book2_Electric Rev Req Model (2009 GRC) Revised 01-18-2010" xfId="341" xr:uid="{00000000-0005-0000-0000-00004E010000}"/>
    <cellStyle name="_4.13E Montana Energy Tax_Book2_Electric Rev Req Model (2009 GRC) Revised 01-18-2010 2" xfId="342" xr:uid="{00000000-0005-0000-0000-00004F010000}"/>
    <cellStyle name="_4.13E Montana Energy Tax_Book2_Electric Rev Req Model (2009 GRC) Revised 01-18-2010 2 2" xfId="343" xr:uid="{00000000-0005-0000-0000-000050010000}"/>
    <cellStyle name="_4.13E Montana Energy Tax_Book2_Electric Rev Req Model (2009 GRC) Revised 01-18-2010 3" xfId="344" xr:uid="{00000000-0005-0000-0000-000051010000}"/>
    <cellStyle name="_4.13E Montana Energy Tax_Book2_Final Order Electric EXHIBIT A-1" xfId="345" xr:uid="{00000000-0005-0000-0000-000052010000}"/>
    <cellStyle name="_4.13E Montana Energy Tax_Book2_Final Order Electric EXHIBIT A-1 2" xfId="346" xr:uid="{00000000-0005-0000-0000-000053010000}"/>
    <cellStyle name="_4.13E Montana Energy Tax_Book2_Final Order Electric EXHIBIT A-1 2 2" xfId="347" xr:uid="{00000000-0005-0000-0000-000054010000}"/>
    <cellStyle name="_4.13E Montana Energy Tax_Book2_Final Order Electric EXHIBIT A-1 3" xfId="348" xr:uid="{00000000-0005-0000-0000-000055010000}"/>
    <cellStyle name="_4.13E Montana Energy Tax_Book4" xfId="349" xr:uid="{00000000-0005-0000-0000-000056010000}"/>
    <cellStyle name="_4.13E Montana Energy Tax_Book4 2" xfId="350" xr:uid="{00000000-0005-0000-0000-000057010000}"/>
    <cellStyle name="_4.13E Montana Energy Tax_Book4 2 2" xfId="351" xr:uid="{00000000-0005-0000-0000-000058010000}"/>
    <cellStyle name="_4.13E Montana Energy Tax_Book4 3" xfId="352" xr:uid="{00000000-0005-0000-0000-000059010000}"/>
    <cellStyle name="_4.13E Montana Energy Tax_Book9" xfId="353" xr:uid="{00000000-0005-0000-0000-00005A010000}"/>
    <cellStyle name="_4.13E Montana Energy Tax_Book9 2" xfId="354" xr:uid="{00000000-0005-0000-0000-00005B010000}"/>
    <cellStyle name="_4.13E Montana Energy Tax_Book9 2 2" xfId="355" xr:uid="{00000000-0005-0000-0000-00005C010000}"/>
    <cellStyle name="_4.13E Montana Energy Tax_Book9 3" xfId="356" xr:uid="{00000000-0005-0000-0000-00005D010000}"/>
    <cellStyle name="_4.13E Montana Energy Tax_Chelan PUD Power Costs (8-10)" xfId="357" xr:uid="{00000000-0005-0000-0000-00005E010000}"/>
    <cellStyle name="_4.13E Montana Energy Tax_INPUTS" xfId="358" xr:uid="{00000000-0005-0000-0000-00005F010000}"/>
    <cellStyle name="_4.13E Montana Energy Tax_INPUTS 2" xfId="359" xr:uid="{00000000-0005-0000-0000-000060010000}"/>
    <cellStyle name="_4.13E Montana Energy Tax_INPUTS 2 2" xfId="360" xr:uid="{00000000-0005-0000-0000-000061010000}"/>
    <cellStyle name="_4.13E Montana Energy Tax_INPUTS 3" xfId="361" xr:uid="{00000000-0005-0000-0000-000062010000}"/>
    <cellStyle name="_4.13E Montana Energy Tax_NIM Summary" xfId="362" xr:uid="{00000000-0005-0000-0000-000063010000}"/>
    <cellStyle name="_4.13E Montana Energy Tax_NIM Summary 09GRC" xfId="363" xr:uid="{00000000-0005-0000-0000-000064010000}"/>
    <cellStyle name="_4.13E Montana Energy Tax_NIM Summary 09GRC 2" xfId="364" xr:uid="{00000000-0005-0000-0000-000065010000}"/>
    <cellStyle name="_4.13E Montana Energy Tax_NIM Summary 2" xfId="365" xr:uid="{00000000-0005-0000-0000-000066010000}"/>
    <cellStyle name="_4.13E Montana Energy Tax_NIM Summary 3" xfId="366" xr:uid="{00000000-0005-0000-0000-000067010000}"/>
    <cellStyle name="_4.13E Montana Energy Tax_NIM Summary 4" xfId="367" xr:uid="{00000000-0005-0000-0000-000068010000}"/>
    <cellStyle name="_4.13E Montana Energy Tax_NIM Summary 5" xfId="368" xr:uid="{00000000-0005-0000-0000-000069010000}"/>
    <cellStyle name="_4.13E Montana Energy Tax_NIM Summary 6" xfId="369" xr:uid="{00000000-0005-0000-0000-00006A010000}"/>
    <cellStyle name="_4.13E Montana Energy Tax_NIM Summary 7" xfId="370" xr:uid="{00000000-0005-0000-0000-00006B010000}"/>
    <cellStyle name="_4.13E Montana Energy Tax_NIM Summary 8" xfId="371" xr:uid="{00000000-0005-0000-0000-00006C010000}"/>
    <cellStyle name="_4.13E Montana Energy Tax_NIM Summary 9" xfId="372" xr:uid="{00000000-0005-0000-0000-00006D010000}"/>
    <cellStyle name="_4.13E Montana Energy Tax_PCA 10 -  Exhibit D from A Kellogg Jan 2011" xfId="373" xr:uid="{00000000-0005-0000-0000-00006E010000}"/>
    <cellStyle name="_4.13E Montana Energy Tax_PCA 10 -  Exhibit D from A Kellogg July 2011" xfId="374" xr:uid="{00000000-0005-0000-0000-00006F010000}"/>
    <cellStyle name="_4.13E Montana Energy Tax_PCA 10 -  Exhibit D from S Free Rcv'd 12-11" xfId="375" xr:uid="{00000000-0005-0000-0000-000070010000}"/>
    <cellStyle name="_4.13E Montana Energy Tax_PCA 9 -  Exhibit D April 2010" xfId="376" xr:uid="{00000000-0005-0000-0000-000071010000}"/>
    <cellStyle name="_4.13E Montana Energy Tax_PCA 9 -  Exhibit D April 2010 (3)" xfId="377" xr:uid="{00000000-0005-0000-0000-000072010000}"/>
    <cellStyle name="_4.13E Montana Energy Tax_PCA 9 -  Exhibit D April 2010 (3) 2" xfId="378" xr:uid="{00000000-0005-0000-0000-000073010000}"/>
    <cellStyle name="_4.13E Montana Energy Tax_PCA 9 -  Exhibit D Nov 2010" xfId="379" xr:uid="{00000000-0005-0000-0000-000074010000}"/>
    <cellStyle name="_4.13E Montana Energy Tax_PCA 9 - Exhibit D at August 2010" xfId="380" xr:uid="{00000000-0005-0000-0000-000075010000}"/>
    <cellStyle name="_4.13E Montana Energy Tax_PCA 9 - Exhibit D June 2010 GRC" xfId="381" xr:uid="{00000000-0005-0000-0000-000076010000}"/>
    <cellStyle name="_4.13E Montana Energy Tax_Power Costs - Comparison bx Rbtl-Staff-Jt-PC" xfId="382" xr:uid="{00000000-0005-0000-0000-000077010000}"/>
    <cellStyle name="_4.13E Montana Energy Tax_Power Costs - Comparison bx Rbtl-Staff-Jt-PC 2" xfId="383" xr:uid="{00000000-0005-0000-0000-000078010000}"/>
    <cellStyle name="_4.13E Montana Energy Tax_Power Costs - Comparison bx Rbtl-Staff-Jt-PC 2 2" xfId="384" xr:uid="{00000000-0005-0000-0000-000079010000}"/>
    <cellStyle name="_4.13E Montana Energy Tax_Power Costs - Comparison bx Rbtl-Staff-Jt-PC 3" xfId="385" xr:uid="{00000000-0005-0000-0000-00007A010000}"/>
    <cellStyle name="_4.13E Montana Energy Tax_Power Costs - Comparison bx Rbtl-Staff-Jt-PC_Adj Bench DR 3 for Initial Briefs (Electric)" xfId="386" xr:uid="{00000000-0005-0000-0000-00007B010000}"/>
    <cellStyle name="_4.13E Montana Energy Tax_Power Costs - Comparison bx Rbtl-Staff-Jt-PC_Adj Bench DR 3 for Initial Briefs (Electric) 2" xfId="387" xr:uid="{00000000-0005-0000-0000-00007C010000}"/>
    <cellStyle name="_4.13E Montana Energy Tax_Power Costs - Comparison bx Rbtl-Staff-Jt-PC_Adj Bench DR 3 for Initial Briefs (Electric) 2 2" xfId="388" xr:uid="{00000000-0005-0000-0000-00007D010000}"/>
    <cellStyle name="_4.13E Montana Energy Tax_Power Costs - Comparison bx Rbtl-Staff-Jt-PC_Adj Bench DR 3 for Initial Briefs (Electric) 3" xfId="389" xr:uid="{00000000-0005-0000-0000-00007E010000}"/>
    <cellStyle name="_4.13E Montana Energy Tax_Power Costs - Comparison bx Rbtl-Staff-Jt-PC_Electric Rev Req Model (2009 GRC) Rebuttal" xfId="390" xr:uid="{00000000-0005-0000-0000-00007F010000}"/>
    <cellStyle name="_4.13E Montana Energy Tax_Power Costs - Comparison bx Rbtl-Staff-Jt-PC_Electric Rev Req Model (2009 GRC) Rebuttal 2" xfId="391" xr:uid="{00000000-0005-0000-0000-000080010000}"/>
    <cellStyle name="_4.13E Montana Energy Tax_Power Costs - Comparison bx Rbtl-Staff-Jt-PC_Electric Rev Req Model (2009 GRC) Rebuttal 2 2" xfId="392" xr:uid="{00000000-0005-0000-0000-000081010000}"/>
    <cellStyle name="_4.13E Montana Energy Tax_Power Costs - Comparison bx Rbtl-Staff-Jt-PC_Electric Rev Req Model (2009 GRC) Rebuttal 3" xfId="393" xr:uid="{00000000-0005-0000-0000-000082010000}"/>
    <cellStyle name="_4.13E Montana Energy Tax_Power Costs - Comparison bx Rbtl-Staff-Jt-PC_Electric Rev Req Model (2009 GRC) Rebuttal REmoval of New  WH Solar AdjustMI" xfId="394" xr:uid="{00000000-0005-0000-0000-000083010000}"/>
    <cellStyle name="_4.13E Montana Energy Tax_Power Costs - Comparison bx Rbtl-Staff-Jt-PC_Electric Rev Req Model (2009 GRC) Rebuttal REmoval of New  WH Solar AdjustMI 2" xfId="395" xr:uid="{00000000-0005-0000-0000-000084010000}"/>
    <cellStyle name="_4.13E Montana Energy Tax_Power Costs - Comparison bx Rbtl-Staff-Jt-PC_Electric Rev Req Model (2009 GRC) Rebuttal REmoval of New  WH Solar AdjustMI 2 2" xfId="396" xr:uid="{00000000-0005-0000-0000-000085010000}"/>
    <cellStyle name="_4.13E Montana Energy Tax_Power Costs - Comparison bx Rbtl-Staff-Jt-PC_Electric Rev Req Model (2009 GRC) Rebuttal REmoval of New  WH Solar AdjustMI 3" xfId="397" xr:uid="{00000000-0005-0000-0000-000086010000}"/>
    <cellStyle name="_4.13E Montana Energy Tax_Power Costs - Comparison bx Rbtl-Staff-Jt-PC_Electric Rev Req Model (2009 GRC) Revised 01-18-2010" xfId="398" xr:uid="{00000000-0005-0000-0000-000087010000}"/>
    <cellStyle name="_4.13E Montana Energy Tax_Power Costs - Comparison bx Rbtl-Staff-Jt-PC_Electric Rev Req Model (2009 GRC) Revised 01-18-2010 2" xfId="399" xr:uid="{00000000-0005-0000-0000-000088010000}"/>
    <cellStyle name="_4.13E Montana Energy Tax_Power Costs - Comparison bx Rbtl-Staff-Jt-PC_Electric Rev Req Model (2009 GRC) Revised 01-18-2010 2 2" xfId="400" xr:uid="{00000000-0005-0000-0000-000089010000}"/>
    <cellStyle name="_4.13E Montana Energy Tax_Power Costs - Comparison bx Rbtl-Staff-Jt-PC_Electric Rev Req Model (2009 GRC) Revised 01-18-2010 3" xfId="401" xr:uid="{00000000-0005-0000-0000-00008A010000}"/>
    <cellStyle name="_4.13E Montana Energy Tax_Power Costs - Comparison bx Rbtl-Staff-Jt-PC_Final Order Electric EXHIBIT A-1" xfId="402" xr:uid="{00000000-0005-0000-0000-00008B010000}"/>
    <cellStyle name="_4.13E Montana Energy Tax_Power Costs - Comparison bx Rbtl-Staff-Jt-PC_Final Order Electric EXHIBIT A-1 2" xfId="403" xr:uid="{00000000-0005-0000-0000-00008C010000}"/>
    <cellStyle name="_4.13E Montana Energy Tax_Power Costs - Comparison bx Rbtl-Staff-Jt-PC_Final Order Electric EXHIBIT A-1 2 2" xfId="404" xr:uid="{00000000-0005-0000-0000-00008D010000}"/>
    <cellStyle name="_4.13E Montana Energy Tax_Power Costs - Comparison bx Rbtl-Staff-Jt-PC_Final Order Electric EXHIBIT A-1 3" xfId="405" xr:uid="{00000000-0005-0000-0000-00008E010000}"/>
    <cellStyle name="_4.13E Montana Energy Tax_Production Adj 4.37" xfId="406" xr:uid="{00000000-0005-0000-0000-00008F010000}"/>
    <cellStyle name="_4.13E Montana Energy Tax_Production Adj 4.37 2" xfId="407" xr:uid="{00000000-0005-0000-0000-000090010000}"/>
    <cellStyle name="_4.13E Montana Energy Tax_Production Adj 4.37 2 2" xfId="408" xr:uid="{00000000-0005-0000-0000-000091010000}"/>
    <cellStyle name="_4.13E Montana Energy Tax_Production Adj 4.37 3" xfId="409" xr:uid="{00000000-0005-0000-0000-000092010000}"/>
    <cellStyle name="_4.13E Montana Energy Tax_Purchased Power Adj 4.03" xfId="410" xr:uid="{00000000-0005-0000-0000-000093010000}"/>
    <cellStyle name="_4.13E Montana Energy Tax_Purchased Power Adj 4.03 2" xfId="411" xr:uid="{00000000-0005-0000-0000-000094010000}"/>
    <cellStyle name="_4.13E Montana Energy Tax_Purchased Power Adj 4.03 2 2" xfId="412" xr:uid="{00000000-0005-0000-0000-000095010000}"/>
    <cellStyle name="_4.13E Montana Energy Tax_Purchased Power Adj 4.03 3" xfId="413" xr:uid="{00000000-0005-0000-0000-000096010000}"/>
    <cellStyle name="_4.13E Montana Energy Tax_Rebuttal Power Costs" xfId="414" xr:uid="{00000000-0005-0000-0000-000097010000}"/>
    <cellStyle name="_4.13E Montana Energy Tax_Rebuttal Power Costs 2" xfId="415" xr:uid="{00000000-0005-0000-0000-000098010000}"/>
    <cellStyle name="_4.13E Montana Energy Tax_Rebuttal Power Costs 2 2" xfId="416" xr:uid="{00000000-0005-0000-0000-000099010000}"/>
    <cellStyle name="_4.13E Montana Energy Tax_Rebuttal Power Costs 3" xfId="417" xr:uid="{00000000-0005-0000-0000-00009A010000}"/>
    <cellStyle name="_4.13E Montana Energy Tax_Rebuttal Power Costs_Adj Bench DR 3 for Initial Briefs (Electric)" xfId="418" xr:uid="{00000000-0005-0000-0000-00009B010000}"/>
    <cellStyle name="_4.13E Montana Energy Tax_Rebuttal Power Costs_Adj Bench DR 3 for Initial Briefs (Electric) 2" xfId="419" xr:uid="{00000000-0005-0000-0000-00009C010000}"/>
    <cellStyle name="_4.13E Montana Energy Tax_Rebuttal Power Costs_Adj Bench DR 3 for Initial Briefs (Electric) 2 2" xfId="420" xr:uid="{00000000-0005-0000-0000-00009D010000}"/>
    <cellStyle name="_4.13E Montana Energy Tax_Rebuttal Power Costs_Adj Bench DR 3 for Initial Briefs (Electric) 3" xfId="421" xr:uid="{00000000-0005-0000-0000-00009E010000}"/>
    <cellStyle name="_4.13E Montana Energy Tax_Rebuttal Power Costs_Electric Rev Req Model (2009 GRC) Rebuttal" xfId="422" xr:uid="{00000000-0005-0000-0000-00009F010000}"/>
    <cellStyle name="_4.13E Montana Energy Tax_Rebuttal Power Costs_Electric Rev Req Model (2009 GRC) Rebuttal 2" xfId="423" xr:uid="{00000000-0005-0000-0000-0000A0010000}"/>
    <cellStyle name="_4.13E Montana Energy Tax_Rebuttal Power Costs_Electric Rev Req Model (2009 GRC) Rebuttal 2 2" xfId="424" xr:uid="{00000000-0005-0000-0000-0000A1010000}"/>
    <cellStyle name="_4.13E Montana Energy Tax_Rebuttal Power Costs_Electric Rev Req Model (2009 GRC) Rebuttal 3" xfId="425" xr:uid="{00000000-0005-0000-0000-0000A2010000}"/>
    <cellStyle name="_4.13E Montana Energy Tax_Rebuttal Power Costs_Electric Rev Req Model (2009 GRC) Rebuttal REmoval of New  WH Solar AdjustMI" xfId="426" xr:uid="{00000000-0005-0000-0000-0000A3010000}"/>
    <cellStyle name="_4.13E Montana Energy Tax_Rebuttal Power Costs_Electric Rev Req Model (2009 GRC) Rebuttal REmoval of New  WH Solar AdjustMI 2" xfId="427" xr:uid="{00000000-0005-0000-0000-0000A4010000}"/>
    <cellStyle name="_4.13E Montana Energy Tax_Rebuttal Power Costs_Electric Rev Req Model (2009 GRC) Rebuttal REmoval of New  WH Solar AdjustMI 2 2" xfId="428" xr:uid="{00000000-0005-0000-0000-0000A5010000}"/>
    <cellStyle name="_4.13E Montana Energy Tax_Rebuttal Power Costs_Electric Rev Req Model (2009 GRC) Rebuttal REmoval of New  WH Solar AdjustMI 3" xfId="429" xr:uid="{00000000-0005-0000-0000-0000A6010000}"/>
    <cellStyle name="_4.13E Montana Energy Tax_Rebuttal Power Costs_Electric Rev Req Model (2009 GRC) Revised 01-18-2010" xfId="430" xr:uid="{00000000-0005-0000-0000-0000A7010000}"/>
    <cellStyle name="_4.13E Montana Energy Tax_Rebuttal Power Costs_Electric Rev Req Model (2009 GRC) Revised 01-18-2010 2" xfId="431" xr:uid="{00000000-0005-0000-0000-0000A8010000}"/>
    <cellStyle name="_4.13E Montana Energy Tax_Rebuttal Power Costs_Electric Rev Req Model (2009 GRC) Revised 01-18-2010 2 2" xfId="432" xr:uid="{00000000-0005-0000-0000-0000A9010000}"/>
    <cellStyle name="_4.13E Montana Energy Tax_Rebuttal Power Costs_Electric Rev Req Model (2009 GRC) Revised 01-18-2010 3" xfId="433" xr:uid="{00000000-0005-0000-0000-0000AA010000}"/>
    <cellStyle name="_4.13E Montana Energy Tax_Rebuttal Power Costs_Final Order Electric EXHIBIT A-1" xfId="434" xr:uid="{00000000-0005-0000-0000-0000AB010000}"/>
    <cellStyle name="_4.13E Montana Energy Tax_Rebuttal Power Costs_Final Order Electric EXHIBIT A-1 2" xfId="435" xr:uid="{00000000-0005-0000-0000-0000AC010000}"/>
    <cellStyle name="_4.13E Montana Energy Tax_Rebuttal Power Costs_Final Order Electric EXHIBIT A-1 2 2" xfId="436" xr:uid="{00000000-0005-0000-0000-0000AD010000}"/>
    <cellStyle name="_4.13E Montana Energy Tax_Rebuttal Power Costs_Final Order Electric EXHIBIT A-1 3" xfId="437" xr:uid="{00000000-0005-0000-0000-0000AE010000}"/>
    <cellStyle name="_4.13E Montana Energy Tax_ROR &amp; CONV FACTOR" xfId="438" xr:uid="{00000000-0005-0000-0000-0000AF010000}"/>
    <cellStyle name="_4.13E Montana Energy Tax_ROR &amp; CONV FACTOR 2" xfId="439" xr:uid="{00000000-0005-0000-0000-0000B0010000}"/>
    <cellStyle name="_4.13E Montana Energy Tax_ROR &amp; CONV FACTOR 2 2" xfId="440" xr:uid="{00000000-0005-0000-0000-0000B1010000}"/>
    <cellStyle name="_4.13E Montana Energy Tax_ROR &amp; CONV FACTOR 3" xfId="441" xr:uid="{00000000-0005-0000-0000-0000B2010000}"/>
    <cellStyle name="_4.13E Montana Energy Tax_ROR 5.02" xfId="442" xr:uid="{00000000-0005-0000-0000-0000B3010000}"/>
    <cellStyle name="_4.13E Montana Energy Tax_ROR 5.02 2" xfId="443" xr:uid="{00000000-0005-0000-0000-0000B4010000}"/>
    <cellStyle name="_4.13E Montana Energy Tax_ROR 5.02 2 2" xfId="444" xr:uid="{00000000-0005-0000-0000-0000B5010000}"/>
    <cellStyle name="_4.13E Montana Energy Tax_ROR 5.02 3" xfId="445" xr:uid="{00000000-0005-0000-0000-0000B6010000}"/>
    <cellStyle name="_4.13E Montana Energy Tax_Wind Integration 10GRC" xfId="446" xr:uid="{00000000-0005-0000-0000-0000B7010000}"/>
    <cellStyle name="_4.13E Montana Energy Tax_Wind Integration 10GRC 2" xfId="447" xr:uid="{00000000-0005-0000-0000-0000B8010000}"/>
    <cellStyle name="_4.17E Montana Energy Tax Working File" xfId="448" xr:uid="{00000000-0005-0000-0000-0000B9010000}"/>
    <cellStyle name="_5 year summary (9-25-09)" xfId="449" xr:uid="{00000000-0005-0000-0000-0000BA010000}"/>
    <cellStyle name="_5.03G-Conversion Factor Working FileMI" xfId="450" xr:uid="{00000000-0005-0000-0000-0000BB010000}"/>
    <cellStyle name="_x0013__Adj Bench DR 3 for Initial Briefs (Electric)" xfId="451" xr:uid="{00000000-0005-0000-0000-0000BC010000}"/>
    <cellStyle name="_x0013__Adj Bench DR 3 for Initial Briefs (Electric) 2" xfId="452" xr:uid="{00000000-0005-0000-0000-0000BD010000}"/>
    <cellStyle name="_x0013__Adj Bench DR 3 for Initial Briefs (Electric) 2 2" xfId="453" xr:uid="{00000000-0005-0000-0000-0000BE010000}"/>
    <cellStyle name="_x0013__Adj Bench DR 3 for Initial Briefs (Electric) 3" xfId="454" xr:uid="{00000000-0005-0000-0000-0000BF010000}"/>
    <cellStyle name="_AURORA WIP" xfId="455" xr:uid="{00000000-0005-0000-0000-0000C0010000}"/>
    <cellStyle name="_AURORA WIP 2" xfId="456" xr:uid="{00000000-0005-0000-0000-0000C1010000}"/>
    <cellStyle name="_AURORA WIP 2 2" xfId="457" xr:uid="{00000000-0005-0000-0000-0000C2010000}"/>
    <cellStyle name="_AURORA WIP 3" xfId="458" xr:uid="{00000000-0005-0000-0000-0000C3010000}"/>
    <cellStyle name="_AURORA WIP_Chelan PUD Power Costs (8-10)" xfId="459" xr:uid="{00000000-0005-0000-0000-0000C4010000}"/>
    <cellStyle name="_AURORA WIP_DEM-WP(C) Costs Not In AURORA 2010GRC As Filed" xfId="460" xr:uid="{00000000-0005-0000-0000-0000C5010000}"/>
    <cellStyle name="_AURORA WIP_DEM-WP(C) Costs Not In AURORA 2010GRC As Filed 2" xfId="461" xr:uid="{00000000-0005-0000-0000-0000C6010000}"/>
    <cellStyle name="_AURORA WIP_NIM Summary" xfId="462" xr:uid="{00000000-0005-0000-0000-0000C7010000}"/>
    <cellStyle name="_AURORA WIP_NIM Summary 09GRC" xfId="463" xr:uid="{00000000-0005-0000-0000-0000C8010000}"/>
    <cellStyle name="_AURORA WIP_NIM Summary 09GRC 2" xfId="464" xr:uid="{00000000-0005-0000-0000-0000C9010000}"/>
    <cellStyle name="_AURORA WIP_NIM Summary 2" xfId="465" xr:uid="{00000000-0005-0000-0000-0000CA010000}"/>
    <cellStyle name="_AURORA WIP_NIM Summary 3" xfId="466" xr:uid="{00000000-0005-0000-0000-0000CB010000}"/>
    <cellStyle name="_AURORA WIP_NIM Summary 4" xfId="467" xr:uid="{00000000-0005-0000-0000-0000CC010000}"/>
    <cellStyle name="_AURORA WIP_NIM Summary 5" xfId="468" xr:uid="{00000000-0005-0000-0000-0000CD010000}"/>
    <cellStyle name="_AURORA WIP_NIM Summary 6" xfId="469" xr:uid="{00000000-0005-0000-0000-0000CE010000}"/>
    <cellStyle name="_AURORA WIP_NIM Summary 7" xfId="470" xr:uid="{00000000-0005-0000-0000-0000CF010000}"/>
    <cellStyle name="_AURORA WIP_NIM Summary 8" xfId="471" xr:uid="{00000000-0005-0000-0000-0000D0010000}"/>
    <cellStyle name="_AURORA WIP_NIM Summary 9" xfId="472" xr:uid="{00000000-0005-0000-0000-0000D1010000}"/>
    <cellStyle name="_AURORA WIP_PCA 9 -  Exhibit D April 2010 (3)" xfId="473" xr:uid="{00000000-0005-0000-0000-0000D2010000}"/>
    <cellStyle name="_AURORA WIP_PCA 9 -  Exhibit D April 2010 (3) 2" xfId="474" xr:uid="{00000000-0005-0000-0000-0000D3010000}"/>
    <cellStyle name="_AURORA WIP_Reconciliation" xfId="475" xr:uid="{00000000-0005-0000-0000-0000D4010000}"/>
    <cellStyle name="_AURORA WIP_Reconciliation 2" xfId="476" xr:uid="{00000000-0005-0000-0000-0000D5010000}"/>
    <cellStyle name="_AURORA WIP_Wind Integration 10GRC" xfId="477" xr:uid="{00000000-0005-0000-0000-0000D6010000}"/>
    <cellStyle name="_AURORA WIP_Wind Integration 10GRC 2" xfId="478" xr:uid="{00000000-0005-0000-0000-0000D7010000}"/>
    <cellStyle name="_Book1" xfId="479" xr:uid="{00000000-0005-0000-0000-0000D8010000}"/>
    <cellStyle name="_x0013__Book1" xfId="480" xr:uid="{00000000-0005-0000-0000-0000D9010000}"/>
    <cellStyle name="_Book1 (2)" xfId="481" xr:uid="{00000000-0005-0000-0000-0000DA010000}"/>
    <cellStyle name="_Book1 (2) 2" xfId="482" xr:uid="{00000000-0005-0000-0000-0000DB010000}"/>
    <cellStyle name="_Book1 (2) 2 2" xfId="483" xr:uid="{00000000-0005-0000-0000-0000DC010000}"/>
    <cellStyle name="_Book1 (2) 2 2 2" xfId="484" xr:uid="{00000000-0005-0000-0000-0000DD010000}"/>
    <cellStyle name="_Book1 (2) 2 3" xfId="485" xr:uid="{00000000-0005-0000-0000-0000DE010000}"/>
    <cellStyle name="_Book1 (2) 3" xfId="486" xr:uid="{00000000-0005-0000-0000-0000DF010000}"/>
    <cellStyle name="_Book1 (2) 3 2" xfId="487" xr:uid="{00000000-0005-0000-0000-0000E0010000}"/>
    <cellStyle name="_Book1 (2) 3 2 2" xfId="488" xr:uid="{00000000-0005-0000-0000-0000E1010000}"/>
    <cellStyle name="_Book1 (2) 3 3" xfId="489" xr:uid="{00000000-0005-0000-0000-0000E2010000}"/>
    <cellStyle name="_Book1 (2) 3 3 2" xfId="490" xr:uid="{00000000-0005-0000-0000-0000E3010000}"/>
    <cellStyle name="_Book1 (2) 3 4" xfId="491" xr:uid="{00000000-0005-0000-0000-0000E4010000}"/>
    <cellStyle name="_Book1 (2) 3 4 2" xfId="492" xr:uid="{00000000-0005-0000-0000-0000E5010000}"/>
    <cellStyle name="_Book1 (2) 4" xfId="493" xr:uid="{00000000-0005-0000-0000-0000E6010000}"/>
    <cellStyle name="_Book1 (2) 4 2" xfId="494" xr:uid="{00000000-0005-0000-0000-0000E7010000}"/>
    <cellStyle name="_Book1 (2) 5" xfId="495" xr:uid="{00000000-0005-0000-0000-0000E8010000}"/>
    <cellStyle name="_Book1 (2) 6" xfId="496" xr:uid="{00000000-0005-0000-0000-0000E9010000}"/>
    <cellStyle name="_Book1 (2) 7" xfId="497" xr:uid="{00000000-0005-0000-0000-0000EA010000}"/>
    <cellStyle name="_Book1 (2)_04 07E Wild Horse Wind Expansion (C) (2)" xfId="498" xr:uid="{00000000-0005-0000-0000-0000EB010000}"/>
    <cellStyle name="_Book1 (2)_04 07E Wild Horse Wind Expansion (C) (2) 2" xfId="499" xr:uid="{00000000-0005-0000-0000-0000EC010000}"/>
    <cellStyle name="_Book1 (2)_04 07E Wild Horse Wind Expansion (C) (2) 2 2" xfId="500" xr:uid="{00000000-0005-0000-0000-0000ED010000}"/>
    <cellStyle name="_Book1 (2)_04 07E Wild Horse Wind Expansion (C) (2) 3" xfId="501" xr:uid="{00000000-0005-0000-0000-0000EE010000}"/>
    <cellStyle name="_Book1 (2)_04 07E Wild Horse Wind Expansion (C) (2)_Adj Bench DR 3 for Initial Briefs (Electric)" xfId="502" xr:uid="{00000000-0005-0000-0000-0000EF010000}"/>
    <cellStyle name="_Book1 (2)_04 07E Wild Horse Wind Expansion (C) (2)_Adj Bench DR 3 for Initial Briefs (Electric) 2" xfId="503" xr:uid="{00000000-0005-0000-0000-0000F0010000}"/>
    <cellStyle name="_Book1 (2)_04 07E Wild Horse Wind Expansion (C) (2)_Adj Bench DR 3 for Initial Briefs (Electric) 2 2" xfId="504" xr:uid="{00000000-0005-0000-0000-0000F1010000}"/>
    <cellStyle name="_Book1 (2)_04 07E Wild Horse Wind Expansion (C) (2)_Adj Bench DR 3 for Initial Briefs (Electric) 3" xfId="505" xr:uid="{00000000-0005-0000-0000-0000F2010000}"/>
    <cellStyle name="_Book1 (2)_04 07E Wild Horse Wind Expansion (C) (2)_Book1" xfId="506" xr:uid="{00000000-0005-0000-0000-0000F3010000}"/>
    <cellStyle name="_Book1 (2)_04 07E Wild Horse Wind Expansion (C) (2)_Electric Rev Req Model (2009 GRC) " xfId="507" xr:uid="{00000000-0005-0000-0000-0000F4010000}"/>
    <cellStyle name="_Book1 (2)_04 07E Wild Horse Wind Expansion (C) (2)_Electric Rev Req Model (2009 GRC)  2" xfId="508" xr:uid="{00000000-0005-0000-0000-0000F5010000}"/>
    <cellStyle name="_Book1 (2)_04 07E Wild Horse Wind Expansion (C) (2)_Electric Rev Req Model (2009 GRC)  2 2" xfId="509" xr:uid="{00000000-0005-0000-0000-0000F6010000}"/>
    <cellStyle name="_Book1 (2)_04 07E Wild Horse Wind Expansion (C) (2)_Electric Rev Req Model (2009 GRC)  3" xfId="510" xr:uid="{00000000-0005-0000-0000-0000F7010000}"/>
    <cellStyle name="_Book1 (2)_04 07E Wild Horse Wind Expansion (C) (2)_Electric Rev Req Model (2009 GRC) Rebuttal" xfId="511" xr:uid="{00000000-0005-0000-0000-0000F8010000}"/>
    <cellStyle name="_Book1 (2)_04 07E Wild Horse Wind Expansion (C) (2)_Electric Rev Req Model (2009 GRC) Rebuttal 2" xfId="512" xr:uid="{00000000-0005-0000-0000-0000F9010000}"/>
    <cellStyle name="_Book1 (2)_04 07E Wild Horse Wind Expansion (C) (2)_Electric Rev Req Model (2009 GRC) Rebuttal 2 2" xfId="513" xr:uid="{00000000-0005-0000-0000-0000FA010000}"/>
    <cellStyle name="_Book1 (2)_04 07E Wild Horse Wind Expansion (C) (2)_Electric Rev Req Model (2009 GRC) Rebuttal 3" xfId="514" xr:uid="{00000000-0005-0000-0000-0000FB010000}"/>
    <cellStyle name="_Book1 (2)_04 07E Wild Horse Wind Expansion (C) (2)_Electric Rev Req Model (2009 GRC) Rebuttal REmoval of New  WH Solar AdjustMI" xfId="515" xr:uid="{00000000-0005-0000-0000-0000FC010000}"/>
    <cellStyle name="_Book1 (2)_04 07E Wild Horse Wind Expansion (C) (2)_Electric Rev Req Model (2009 GRC) Rebuttal REmoval of New  WH Solar AdjustMI 2" xfId="516" xr:uid="{00000000-0005-0000-0000-0000FD010000}"/>
    <cellStyle name="_Book1 (2)_04 07E Wild Horse Wind Expansion (C) (2)_Electric Rev Req Model (2009 GRC) Rebuttal REmoval of New  WH Solar AdjustMI 2 2" xfId="517" xr:uid="{00000000-0005-0000-0000-0000FE010000}"/>
    <cellStyle name="_Book1 (2)_04 07E Wild Horse Wind Expansion (C) (2)_Electric Rev Req Model (2009 GRC) Rebuttal REmoval of New  WH Solar AdjustMI 3" xfId="518" xr:uid="{00000000-0005-0000-0000-0000FF010000}"/>
    <cellStyle name="_Book1 (2)_04 07E Wild Horse Wind Expansion (C) (2)_Electric Rev Req Model (2009 GRC) Revised 01-18-2010" xfId="519" xr:uid="{00000000-0005-0000-0000-000000020000}"/>
    <cellStyle name="_Book1 (2)_04 07E Wild Horse Wind Expansion (C) (2)_Electric Rev Req Model (2009 GRC) Revised 01-18-2010 2" xfId="520" xr:uid="{00000000-0005-0000-0000-000001020000}"/>
    <cellStyle name="_Book1 (2)_04 07E Wild Horse Wind Expansion (C) (2)_Electric Rev Req Model (2009 GRC) Revised 01-18-2010 2 2" xfId="521" xr:uid="{00000000-0005-0000-0000-000002020000}"/>
    <cellStyle name="_Book1 (2)_04 07E Wild Horse Wind Expansion (C) (2)_Electric Rev Req Model (2009 GRC) Revised 01-18-2010 3" xfId="522" xr:uid="{00000000-0005-0000-0000-000003020000}"/>
    <cellStyle name="_Book1 (2)_04 07E Wild Horse Wind Expansion (C) (2)_Electric Rev Req Model (2010 GRC)" xfId="523" xr:uid="{00000000-0005-0000-0000-000004020000}"/>
    <cellStyle name="_Book1 (2)_04 07E Wild Horse Wind Expansion (C) (2)_Electric Rev Req Model (2010 GRC) SF" xfId="524" xr:uid="{00000000-0005-0000-0000-000005020000}"/>
    <cellStyle name="_Book1 (2)_04 07E Wild Horse Wind Expansion (C) (2)_Final Order Electric EXHIBIT A-1" xfId="525" xr:uid="{00000000-0005-0000-0000-000006020000}"/>
    <cellStyle name="_Book1 (2)_04 07E Wild Horse Wind Expansion (C) (2)_Final Order Electric EXHIBIT A-1 2" xfId="526" xr:uid="{00000000-0005-0000-0000-000007020000}"/>
    <cellStyle name="_Book1 (2)_04 07E Wild Horse Wind Expansion (C) (2)_Final Order Electric EXHIBIT A-1 2 2" xfId="527" xr:uid="{00000000-0005-0000-0000-000008020000}"/>
    <cellStyle name="_Book1 (2)_04 07E Wild Horse Wind Expansion (C) (2)_Final Order Electric EXHIBIT A-1 3" xfId="528" xr:uid="{00000000-0005-0000-0000-000009020000}"/>
    <cellStyle name="_Book1 (2)_04 07E Wild Horse Wind Expansion (C) (2)_TENASKA REGULATORY ASSET" xfId="529" xr:uid="{00000000-0005-0000-0000-00000A020000}"/>
    <cellStyle name="_Book1 (2)_04 07E Wild Horse Wind Expansion (C) (2)_TENASKA REGULATORY ASSET 2" xfId="530" xr:uid="{00000000-0005-0000-0000-00000B020000}"/>
    <cellStyle name="_Book1 (2)_04 07E Wild Horse Wind Expansion (C) (2)_TENASKA REGULATORY ASSET 2 2" xfId="531" xr:uid="{00000000-0005-0000-0000-00000C020000}"/>
    <cellStyle name="_Book1 (2)_04 07E Wild Horse Wind Expansion (C) (2)_TENASKA REGULATORY ASSET 3" xfId="532" xr:uid="{00000000-0005-0000-0000-00000D020000}"/>
    <cellStyle name="_Book1 (2)_16.37E Wild Horse Expansion DeferralRevwrkingfile SF" xfId="533" xr:uid="{00000000-0005-0000-0000-00000E020000}"/>
    <cellStyle name="_Book1 (2)_16.37E Wild Horse Expansion DeferralRevwrkingfile SF 2" xfId="534" xr:uid="{00000000-0005-0000-0000-00000F020000}"/>
    <cellStyle name="_Book1 (2)_16.37E Wild Horse Expansion DeferralRevwrkingfile SF 2 2" xfId="535" xr:uid="{00000000-0005-0000-0000-000010020000}"/>
    <cellStyle name="_Book1 (2)_16.37E Wild Horse Expansion DeferralRevwrkingfile SF 3" xfId="536" xr:uid="{00000000-0005-0000-0000-000011020000}"/>
    <cellStyle name="_Book1 (2)_2009 Compliance Filing PCA Exhibits for GRC" xfId="537" xr:uid="{00000000-0005-0000-0000-000012020000}"/>
    <cellStyle name="_Book1 (2)_2009 GRC Compl Filing - Exhibit D" xfId="538" xr:uid="{00000000-0005-0000-0000-000013020000}"/>
    <cellStyle name="_Book1 (2)_2009 GRC Compl Filing - Exhibit D 2" xfId="539" xr:uid="{00000000-0005-0000-0000-000014020000}"/>
    <cellStyle name="_Book1 (2)_3.01 Income Statement" xfId="540" xr:uid="{00000000-0005-0000-0000-000015020000}"/>
    <cellStyle name="_Book1 (2)_4 31 Regulatory Assets and Liabilities  7 06- Exhibit D" xfId="541" xr:uid="{00000000-0005-0000-0000-000016020000}"/>
    <cellStyle name="_Book1 (2)_4 31 Regulatory Assets and Liabilities  7 06- Exhibit D 2" xfId="542" xr:uid="{00000000-0005-0000-0000-000017020000}"/>
    <cellStyle name="_Book1 (2)_4 31 Regulatory Assets and Liabilities  7 06- Exhibit D 2 2" xfId="543" xr:uid="{00000000-0005-0000-0000-000018020000}"/>
    <cellStyle name="_Book1 (2)_4 31 Regulatory Assets and Liabilities  7 06- Exhibit D 3" xfId="544" xr:uid="{00000000-0005-0000-0000-000019020000}"/>
    <cellStyle name="_Book1 (2)_4 31 Regulatory Assets and Liabilities  7 06- Exhibit D_NIM Summary" xfId="545" xr:uid="{00000000-0005-0000-0000-00001A020000}"/>
    <cellStyle name="_Book1 (2)_4 31 Regulatory Assets and Liabilities  7 06- Exhibit D_NIM Summary 2" xfId="546" xr:uid="{00000000-0005-0000-0000-00001B020000}"/>
    <cellStyle name="_Book1 (2)_4 32 Regulatory Assets and Liabilities  7 06- Exhibit D" xfId="547" xr:uid="{00000000-0005-0000-0000-00001C020000}"/>
    <cellStyle name="_Book1 (2)_4 32 Regulatory Assets and Liabilities  7 06- Exhibit D 2" xfId="548" xr:uid="{00000000-0005-0000-0000-00001D020000}"/>
    <cellStyle name="_Book1 (2)_4 32 Regulatory Assets and Liabilities  7 06- Exhibit D 2 2" xfId="549" xr:uid="{00000000-0005-0000-0000-00001E020000}"/>
    <cellStyle name="_Book1 (2)_4 32 Regulatory Assets and Liabilities  7 06- Exhibit D 3" xfId="550" xr:uid="{00000000-0005-0000-0000-00001F020000}"/>
    <cellStyle name="_Book1 (2)_4 32 Regulatory Assets and Liabilities  7 06- Exhibit D_NIM Summary" xfId="551" xr:uid="{00000000-0005-0000-0000-000020020000}"/>
    <cellStyle name="_Book1 (2)_4 32 Regulatory Assets and Liabilities  7 06- Exhibit D_NIM Summary 2" xfId="552" xr:uid="{00000000-0005-0000-0000-000021020000}"/>
    <cellStyle name="_Book1 (2)_ACCOUNTS" xfId="553" xr:uid="{00000000-0005-0000-0000-000022020000}"/>
    <cellStyle name="_Book1 (2)_AURORA Total New" xfId="554" xr:uid="{00000000-0005-0000-0000-000023020000}"/>
    <cellStyle name="_Book1 (2)_AURORA Total New 2" xfId="555" xr:uid="{00000000-0005-0000-0000-000024020000}"/>
    <cellStyle name="_Book1 (2)_Book2" xfId="556" xr:uid="{00000000-0005-0000-0000-000025020000}"/>
    <cellStyle name="_Book1 (2)_Book2 2" xfId="557" xr:uid="{00000000-0005-0000-0000-000026020000}"/>
    <cellStyle name="_Book1 (2)_Book2 2 2" xfId="558" xr:uid="{00000000-0005-0000-0000-000027020000}"/>
    <cellStyle name="_Book1 (2)_Book2 3" xfId="559" xr:uid="{00000000-0005-0000-0000-000028020000}"/>
    <cellStyle name="_Book1 (2)_Book2_Adj Bench DR 3 for Initial Briefs (Electric)" xfId="560" xr:uid="{00000000-0005-0000-0000-000029020000}"/>
    <cellStyle name="_Book1 (2)_Book2_Adj Bench DR 3 for Initial Briefs (Electric) 2" xfId="561" xr:uid="{00000000-0005-0000-0000-00002A020000}"/>
    <cellStyle name="_Book1 (2)_Book2_Adj Bench DR 3 for Initial Briefs (Electric) 2 2" xfId="562" xr:uid="{00000000-0005-0000-0000-00002B020000}"/>
    <cellStyle name="_Book1 (2)_Book2_Adj Bench DR 3 for Initial Briefs (Electric) 3" xfId="563" xr:uid="{00000000-0005-0000-0000-00002C020000}"/>
    <cellStyle name="_Book1 (2)_Book2_Electric Rev Req Model (2009 GRC) Rebuttal" xfId="564" xr:uid="{00000000-0005-0000-0000-00002D020000}"/>
    <cellStyle name="_Book1 (2)_Book2_Electric Rev Req Model (2009 GRC) Rebuttal 2" xfId="565" xr:uid="{00000000-0005-0000-0000-00002E020000}"/>
    <cellStyle name="_Book1 (2)_Book2_Electric Rev Req Model (2009 GRC) Rebuttal 2 2" xfId="566" xr:uid="{00000000-0005-0000-0000-00002F020000}"/>
    <cellStyle name="_Book1 (2)_Book2_Electric Rev Req Model (2009 GRC) Rebuttal 3" xfId="567" xr:uid="{00000000-0005-0000-0000-000030020000}"/>
    <cellStyle name="_Book1 (2)_Book2_Electric Rev Req Model (2009 GRC) Rebuttal REmoval of New  WH Solar AdjustMI" xfId="568" xr:uid="{00000000-0005-0000-0000-000031020000}"/>
    <cellStyle name="_Book1 (2)_Book2_Electric Rev Req Model (2009 GRC) Rebuttal REmoval of New  WH Solar AdjustMI 2" xfId="569" xr:uid="{00000000-0005-0000-0000-000032020000}"/>
    <cellStyle name="_Book1 (2)_Book2_Electric Rev Req Model (2009 GRC) Rebuttal REmoval of New  WH Solar AdjustMI 2 2" xfId="570" xr:uid="{00000000-0005-0000-0000-000033020000}"/>
    <cellStyle name="_Book1 (2)_Book2_Electric Rev Req Model (2009 GRC) Rebuttal REmoval of New  WH Solar AdjustMI 3" xfId="571" xr:uid="{00000000-0005-0000-0000-000034020000}"/>
    <cellStyle name="_Book1 (2)_Book2_Electric Rev Req Model (2009 GRC) Revised 01-18-2010" xfId="572" xr:uid="{00000000-0005-0000-0000-000035020000}"/>
    <cellStyle name="_Book1 (2)_Book2_Electric Rev Req Model (2009 GRC) Revised 01-18-2010 2" xfId="573" xr:uid="{00000000-0005-0000-0000-000036020000}"/>
    <cellStyle name="_Book1 (2)_Book2_Electric Rev Req Model (2009 GRC) Revised 01-18-2010 2 2" xfId="574" xr:uid="{00000000-0005-0000-0000-000037020000}"/>
    <cellStyle name="_Book1 (2)_Book2_Electric Rev Req Model (2009 GRC) Revised 01-18-2010 3" xfId="575" xr:uid="{00000000-0005-0000-0000-000038020000}"/>
    <cellStyle name="_Book1 (2)_Book2_Final Order Electric EXHIBIT A-1" xfId="576" xr:uid="{00000000-0005-0000-0000-000039020000}"/>
    <cellStyle name="_Book1 (2)_Book2_Final Order Electric EXHIBIT A-1 2" xfId="577" xr:uid="{00000000-0005-0000-0000-00003A020000}"/>
    <cellStyle name="_Book1 (2)_Book2_Final Order Electric EXHIBIT A-1 2 2" xfId="578" xr:uid="{00000000-0005-0000-0000-00003B020000}"/>
    <cellStyle name="_Book1 (2)_Book2_Final Order Electric EXHIBIT A-1 3" xfId="579" xr:uid="{00000000-0005-0000-0000-00003C020000}"/>
    <cellStyle name="_Book1 (2)_Book4" xfId="580" xr:uid="{00000000-0005-0000-0000-00003D020000}"/>
    <cellStyle name="_Book1 (2)_Book4 2" xfId="581" xr:uid="{00000000-0005-0000-0000-00003E020000}"/>
    <cellStyle name="_Book1 (2)_Book4 2 2" xfId="582" xr:uid="{00000000-0005-0000-0000-00003F020000}"/>
    <cellStyle name="_Book1 (2)_Book4 3" xfId="583" xr:uid="{00000000-0005-0000-0000-000040020000}"/>
    <cellStyle name="_Book1 (2)_Book9" xfId="584" xr:uid="{00000000-0005-0000-0000-000041020000}"/>
    <cellStyle name="_Book1 (2)_Book9 2" xfId="585" xr:uid="{00000000-0005-0000-0000-000042020000}"/>
    <cellStyle name="_Book1 (2)_Book9 2 2" xfId="586" xr:uid="{00000000-0005-0000-0000-000043020000}"/>
    <cellStyle name="_Book1 (2)_Book9 3" xfId="587" xr:uid="{00000000-0005-0000-0000-000044020000}"/>
    <cellStyle name="_Book1 (2)_Chelan PUD Power Costs (8-10)" xfId="588" xr:uid="{00000000-0005-0000-0000-000045020000}"/>
    <cellStyle name="_Book1 (2)_Gas Rev Req Model (2010 GRC)" xfId="589" xr:uid="{00000000-0005-0000-0000-000046020000}"/>
    <cellStyle name="_Book1 (2)_INPUTS" xfId="590" xr:uid="{00000000-0005-0000-0000-000047020000}"/>
    <cellStyle name="_Book1 (2)_INPUTS 2" xfId="591" xr:uid="{00000000-0005-0000-0000-000048020000}"/>
    <cellStyle name="_Book1 (2)_INPUTS 2 2" xfId="592" xr:uid="{00000000-0005-0000-0000-000049020000}"/>
    <cellStyle name="_Book1 (2)_INPUTS 3" xfId="593" xr:uid="{00000000-0005-0000-0000-00004A020000}"/>
    <cellStyle name="_Book1 (2)_NIM Summary" xfId="594" xr:uid="{00000000-0005-0000-0000-00004B020000}"/>
    <cellStyle name="_Book1 (2)_NIM Summary 09GRC" xfId="595" xr:uid="{00000000-0005-0000-0000-00004C020000}"/>
    <cellStyle name="_Book1 (2)_NIM Summary 09GRC 2" xfId="596" xr:uid="{00000000-0005-0000-0000-00004D020000}"/>
    <cellStyle name="_Book1 (2)_NIM Summary 2" xfId="597" xr:uid="{00000000-0005-0000-0000-00004E020000}"/>
    <cellStyle name="_Book1 (2)_NIM Summary 3" xfId="598" xr:uid="{00000000-0005-0000-0000-00004F020000}"/>
    <cellStyle name="_Book1 (2)_NIM Summary 4" xfId="599" xr:uid="{00000000-0005-0000-0000-000050020000}"/>
    <cellStyle name="_Book1 (2)_NIM Summary 5" xfId="600" xr:uid="{00000000-0005-0000-0000-000051020000}"/>
    <cellStyle name="_Book1 (2)_NIM Summary 6" xfId="601" xr:uid="{00000000-0005-0000-0000-000052020000}"/>
    <cellStyle name="_Book1 (2)_NIM Summary 7" xfId="602" xr:uid="{00000000-0005-0000-0000-000053020000}"/>
    <cellStyle name="_Book1 (2)_NIM Summary 8" xfId="603" xr:uid="{00000000-0005-0000-0000-000054020000}"/>
    <cellStyle name="_Book1 (2)_NIM Summary 9" xfId="604" xr:uid="{00000000-0005-0000-0000-000055020000}"/>
    <cellStyle name="_Book1 (2)_PCA 10 -  Exhibit D from A Kellogg Jan 2011" xfId="605" xr:uid="{00000000-0005-0000-0000-000056020000}"/>
    <cellStyle name="_Book1 (2)_PCA 10 -  Exhibit D from A Kellogg July 2011" xfId="606" xr:uid="{00000000-0005-0000-0000-000057020000}"/>
    <cellStyle name="_Book1 (2)_PCA 10 -  Exhibit D from S Free Rcv'd 12-11" xfId="607" xr:uid="{00000000-0005-0000-0000-000058020000}"/>
    <cellStyle name="_Book1 (2)_PCA 9 -  Exhibit D April 2010" xfId="608" xr:uid="{00000000-0005-0000-0000-000059020000}"/>
    <cellStyle name="_Book1 (2)_PCA 9 -  Exhibit D April 2010 (3)" xfId="609" xr:uid="{00000000-0005-0000-0000-00005A020000}"/>
    <cellStyle name="_Book1 (2)_PCA 9 -  Exhibit D April 2010 (3) 2" xfId="610" xr:uid="{00000000-0005-0000-0000-00005B020000}"/>
    <cellStyle name="_Book1 (2)_PCA 9 -  Exhibit D Nov 2010" xfId="611" xr:uid="{00000000-0005-0000-0000-00005C020000}"/>
    <cellStyle name="_Book1 (2)_PCA 9 - Exhibit D at August 2010" xfId="612" xr:uid="{00000000-0005-0000-0000-00005D020000}"/>
    <cellStyle name="_Book1 (2)_PCA 9 - Exhibit D June 2010 GRC" xfId="613" xr:uid="{00000000-0005-0000-0000-00005E020000}"/>
    <cellStyle name="_Book1 (2)_Power Costs - Comparison bx Rbtl-Staff-Jt-PC" xfId="614" xr:uid="{00000000-0005-0000-0000-00005F020000}"/>
    <cellStyle name="_Book1 (2)_Power Costs - Comparison bx Rbtl-Staff-Jt-PC 2" xfId="615" xr:uid="{00000000-0005-0000-0000-000060020000}"/>
    <cellStyle name="_Book1 (2)_Power Costs - Comparison bx Rbtl-Staff-Jt-PC 2 2" xfId="616" xr:uid="{00000000-0005-0000-0000-000061020000}"/>
    <cellStyle name="_Book1 (2)_Power Costs - Comparison bx Rbtl-Staff-Jt-PC 3" xfId="617" xr:uid="{00000000-0005-0000-0000-000062020000}"/>
    <cellStyle name="_Book1 (2)_Power Costs - Comparison bx Rbtl-Staff-Jt-PC_Adj Bench DR 3 for Initial Briefs (Electric)" xfId="618" xr:uid="{00000000-0005-0000-0000-000063020000}"/>
    <cellStyle name="_Book1 (2)_Power Costs - Comparison bx Rbtl-Staff-Jt-PC_Adj Bench DR 3 for Initial Briefs (Electric) 2" xfId="619" xr:uid="{00000000-0005-0000-0000-000064020000}"/>
    <cellStyle name="_Book1 (2)_Power Costs - Comparison bx Rbtl-Staff-Jt-PC_Adj Bench DR 3 for Initial Briefs (Electric) 2 2" xfId="620" xr:uid="{00000000-0005-0000-0000-000065020000}"/>
    <cellStyle name="_Book1 (2)_Power Costs - Comparison bx Rbtl-Staff-Jt-PC_Adj Bench DR 3 for Initial Briefs (Electric) 3" xfId="621" xr:uid="{00000000-0005-0000-0000-000066020000}"/>
    <cellStyle name="_Book1 (2)_Power Costs - Comparison bx Rbtl-Staff-Jt-PC_Electric Rev Req Model (2009 GRC) Rebuttal" xfId="622" xr:uid="{00000000-0005-0000-0000-000067020000}"/>
    <cellStyle name="_Book1 (2)_Power Costs - Comparison bx Rbtl-Staff-Jt-PC_Electric Rev Req Model (2009 GRC) Rebuttal 2" xfId="623" xr:uid="{00000000-0005-0000-0000-000068020000}"/>
    <cellStyle name="_Book1 (2)_Power Costs - Comparison bx Rbtl-Staff-Jt-PC_Electric Rev Req Model (2009 GRC) Rebuttal 2 2" xfId="624" xr:uid="{00000000-0005-0000-0000-000069020000}"/>
    <cellStyle name="_Book1 (2)_Power Costs - Comparison bx Rbtl-Staff-Jt-PC_Electric Rev Req Model (2009 GRC) Rebuttal 3" xfId="625" xr:uid="{00000000-0005-0000-0000-00006A020000}"/>
    <cellStyle name="_Book1 (2)_Power Costs - Comparison bx Rbtl-Staff-Jt-PC_Electric Rev Req Model (2009 GRC) Rebuttal REmoval of New  WH Solar AdjustMI" xfId="626" xr:uid="{00000000-0005-0000-0000-00006B020000}"/>
    <cellStyle name="_Book1 (2)_Power Costs - Comparison bx Rbtl-Staff-Jt-PC_Electric Rev Req Model (2009 GRC) Rebuttal REmoval of New  WH Solar AdjustMI 2" xfId="627" xr:uid="{00000000-0005-0000-0000-00006C020000}"/>
    <cellStyle name="_Book1 (2)_Power Costs - Comparison bx Rbtl-Staff-Jt-PC_Electric Rev Req Model (2009 GRC) Rebuttal REmoval of New  WH Solar AdjustMI 2 2" xfId="628" xr:uid="{00000000-0005-0000-0000-00006D020000}"/>
    <cellStyle name="_Book1 (2)_Power Costs - Comparison bx Rbtl-Staff-Jt-PC_Electric Rev Req Model (2009 GRC) Rebuttal REmoval of New  WH Solar AdjustMI 3" xfId="629" xr:uid="{00000000-0005-0000-0000-00006E020000}"/>
    <cellStyle name="_Book1 (2)_Power Costs - Comparison bx Rbtl-Staff-Jt-PC_Electric Rev Req Model (2009 GRC) Revised 01-18-2010" xfId="630" xr:uid="{00000000-0005-0000-0000-00006F020000}"/>
    <cellStyle name="_Book1 (2)_Power Costs - Comparison bx Rbtl-Staff-Jt-PC_Electric Rev Req Model (2009 GRC) Revised 01-18-2010 2" xfId="631" xr:uid="{00000000-0005-0000-0000-000070020000}"/>
    <cellStyle name="_Book1 (2)_Power Costs - Comparison bx Rbtl-Staff-Jt-PC_Electric Rev Req Model (2009 GRC) Revised 01-18-2010 2 2" xfId="632" xr:uid="{00000000-0005-0000-0000-000071020000}"/>
    <cellStyle name="_Book1 (2)_Power Costs - Comparison bx Rbtl-Staff-Jt-PC_Electric Rev Req Model (2009 GRC) Revised 01-18-2010 3" xfId="633" xr:uid="{00000000-0005-0000-0000-000072020000}"/>
    <cellStyle name="_Book1 (2)_Power Costs - Comparison bx Rbtl-Staff-Jt-PC_Final Order Electric EXHIBIT A-1" xfId="634" xr:uid="{00000000-0005-0000-0000-000073020000}"/>
    <cellStyle name="_Book1 (2)_Power Costs - Comparison bx Rbtl-Staff-Jt-PC_Final Order Electric EXHIBIT A-1 2" xfId="635" xr:uid="{00000000-0005-0000-0000-000074020000}"/>
    <cellStyle name="_Book1 (2)_Power Costs - Comparison bx Rbtl-Staff-Jt-PC_Final Order Electric EXHIBIT A-1 2 2" xfId="636" xr:uid="{00000000-0005-0000-0000-000075020000}"/>
    <cellStyle name="_Book1 (2)_Power Costs - Comparison bx Rbtl-Staff-Jt-PC_Final Order Electric EXHIBIT A-1 3" xfId="637" xr:uid="{00000000-0005-0000-0000-000076020000}"/>
    <cellStyle name="_Book1 (2)_Production Adj 4.37" xfId="638" xr:uid="{00000000-0005-0000-0000-000077020000}"/>
    <cellStyle name="_Book1 (2)_Production Adj 4.37 2" xfId="639" xr:uid="{00000000-0005-0000-0000-000078020000}"/>
    <cellStyle name="_Book1 (2)_Production Adj 4.37 2 2" xfId="640" xr:uid="{00000000-0005-0000-0000-000079020000}"/>
    <cellStyle name="_Book1 (2)_Production Adj 4.37 3" xfId="641" xr:uid="{00000000-0005-0000-0000-00007A020000}"/>
    <cellStyle name="_Book1 (2)_Purchased Power Adj 4.03" xfId="642" xr:uid="{00000000-0005-0000-0000-00007B020000}"/>
    <cellStyle name="_Book1 (2)_Purchased Power Adj 4.03 2" xfId="643" xr:uid="{00000000-0005-0000-0000-00007C020000}"/>
    <cellStyle name="_Book1 (2)_Purchased Power Adj 4.03 2 2" xfId="644" xr:uid="{00000000-0005-0000-0000-00007D020000}"/>
    <cellStyle name="_Book1 (2)_Purchased Power Adj 4.03 3" xfId="645" xr:uid="{00000000-0005-0000-0000-00007E020000}"/>
    <cellStyle name="_Book1 (2)_Rebuttal Power Costs" xfId="646" xr:uid="{00000000-0005-0000-0000-00007F020000}"/>
    <cellStyle name="_Book1 (2)_Rebuttal Power Costs 2" xfId="647" xr:uid="{00000000-0005-0000-0000-000080020000}"/>
    <cellStyle name="_Book1 (2)_Rebuttal Power Costs 2 2" xfId="648" xr:uid="{00000000-0005-0000-0000-000081020000}"/>
    <cellStyle name="_Book1 (2)_Rebuttal Power Costs 3" xfId="649" xr:uid="{00000000-0005-0000-0000-000082020000}"/>
    <cellStyle name="_Book1 (2)_Rebuttal Power Costs_Adj Bench DR 3 for Initial Briefs (Electric)" xfId="650" xr:uid="{00000000-0005-0000-0000-000083020000}"/>
    <cellStyle name="_Book1 (2)_Rebuttal Power Costs_Adj Bench DR 3 for Initial Briefs (Electric) 2" xfId="651" xr:uid="{00000000-0005-0000-0000-000084020000}"/>
    <cellStyle name="_Book1 (2)_Rebuttal Power Costs_Adj Bench DR 3 for Initial Briefs (Electric) 2 2" xfId="652" xr:uid="{00000000-0005-0000-0000-000085020000}"/>
    <cellStyle name="_Book1 (2)_Rebuttal Power Costs_Adj Bench DR 3 for Initial Briefs (Electric) 3" xfId="653" xr:uid="{00000000-0005-0000-0000-000086020000}"/>
    <cellStyle name="_Book1 (2)_Rebuttal Power Costs_Electric Rev Req Model (2009 GRC) Rebuttal" xfId="654" xr:uid="{00000000-0005-0000-0000-000087020000}"/>
    <cellStyle name="_Book1 (2)_Rebuttal Power Costs_Electric Rev Req Model (2009 GRC) Rebuttal 2" xfId="655" xr:uid="{00000000-0005-0000-0000-000088020000}"/>
    <cellStyle name="_Book1 (2)_Rebuttal Power Costs_Electric Rev Req Model (2009 GRC) Rebuttal 2 2" xfId="656" xr:uid="{00000000-0005-0000-0000-000089020000}"/>
    <cellStyle name="_Book1 (2)_Rebuttal Power Costs_Electric Rev Req Model (2009 GRC) Rebuttal 3" xfId="657" xr:uid="{00000000-0005-0000-0000-00008A020000}"/>
    <cellStyle name="_Book1 (2)_Rebuttal Power Costs_Electric Rev Req Model (2009 GRC) Rebuttal REmoval of New  WH Solar AdjustMI" xfId="658" xr:uid="{00000000-0005-0000-0000-00008B020000}"/>
    <cellStyle name="_Book1 (2)_Rebuttal Power Costs_Electric Rev Req Model (2009 GRC) Rebuttal REmoval of New  WH Solar AdjustMI 2" xfId="659" xr:uid="{00000000-0005-0000-0000-00008C020000}"/>
    <cellStyle name="_Book1 (2)_Rebuttal Power Costs_Electric Rev Req Model (2009 GRC) Rebuttal REmoval of New  WH Solar AdjustMI 2 2" xfId="660" xr:uid="{00000000-0005-0000-0000-00008D020000}"/>
    <cellStyle name="_Book1 (2)_Rebuttal Power Costs_Electric Rev Req Model (2009 GRC) Rebuttal REmoval of New  WH Solar AdjustMI 3" xfId="661" xr:uid="{00000000-0005-0000-0000-00008E020000}"/>
    <cellStyle name="_Book1 (2)_Rebuttal Power Costs_Electric Rev Req Model (2009 GRC) Revised 01-18-2010" xfId="662" xr:uid="{00000000-0005-0000-0000-00008F020000}"/>
    <cellStyle name="_Book1 (2)_Rebuttal Power Costs_Electric Rev Req Model (2009 GRC) Revised 01-18-2010 2" xfId="663" xr:uid="{00000000-0005-0000-0000-000090020000}"/>
    <cellStyle name="_Book1 (2)_Rebuttal Power Costs_Electric Rev Req Model (2009 GRC) Revised 01-18-2010 2 2" xfId="664" xr:uid="{00000000-0005-0000-0000-000091020000}"/>
    <cellStyle name="_Book1 (2)_Rebuttal Power Costs_Electric Rev Req Model (2009 GRC) Revised 01-18-2010 3" xfId="665" xr:uid="{00000000-0005-0000-0000-000092020000}"/>
    <cellStyle name="_Book1 (2)_Rebuttal Power Costs_Final Order Electric EXHIBIT A-1" xfId="666" xr:uid="{00000000-0005-0000-0000-000093020000}"/>
    <cellStyle name="_Book1 (2)_Rebuttal Power Costs_Final Order Electric EXHIBIT A-1 2" xfId="667" xr:uid="{00000000-0005-0000-0000-000094020000}"/>
    <cellStyle name="_Book1 (2)_Rebuttal Power Costs_Final Order Electric EXHIBIT A-1 2 2" xfId="668" xr:uid="{00000000-0005-0000-0000-000095020000}"/>
    <cellStyle name="_Book1 (2)_Rebuttal Power Costs_Final Order Electric EXHIBIT A-1 3" xfId="669" xr:uid="{00000000-0005-0000-0000-000096020000}"/>
    <cellStyle name="_Book1 (2)_ROR &amp; CONV FACTOR" xfId="670" xr:uid="{00000000-0005-0000-0000-000097020000}"/>
    <cellStyle name="_Book1 (2)_ROR &amp; CONV FACTOR 2" xfId="671" xr:uid="{00000000-0005-0000-0000-000098020000}"/>
    <cellStyle name="_Book1 (2)_ROR &amp; CONV FACTOR 2 2" xfId="672" xr:uid="{00000000-0005-0000-0000-000099020000}"/>
    <cellStyle name="_Book1 (2)_ROR &amp; CONV FACTOR 3" xfId="673" xr:uid="{00000000-0005-0000-0000-00009A020000}"/>
    <cellStyle name="_Book1 (2)_ROR 5.02" xfId="674" xr:uid="{00000000-0005-0000-0000-00009B020000}"/>
    <cellStyle name="_Book1 (2)_ROR 5.02 2" xfId="675" xr:uid="{00000000-0005-0000-0000-00009C020000}"/>
    <cellStyle name="_Book1 (2)_ROR 5.02 2 2" xfId="676" xr:uid="{00000000-0005-0000-0000-00009D020000}"/>
    <cellStyle name="_Book1 (2)_ROR 5.02 3" xfId="677" xr:uid="{00000000-0005-0000-0000-00009E020000}"/>
    <cellStyle name="_Book1 (2)_Wind Integration 10GRC" xfId="678" xr:uid="{00000000-0005-0000-0000-00009F020000}"/>
    <cellStyle name="_Book1 (2)_Wind Integration 10GRC 2" xfId="679" xr:uid="{00000000-0005-0000-0000-0000A0020000}"/>
    <cellStyle name="_Book1 10" xfId="680" xr:uid="{00000000-0005-0000-0000-0000A1020000}"/>
    <cellStyle name="_Book1 10 2" xfId="681" xr:uid="{00000000-0005-0000-0000-0000A2020000}"/>
    <cellStyle name="_Book1 11" xfId="682" xr:uid="{00000000-0005-0000-0000-0000A3020000}"/>
    <cellStyle name="_Book1 12" xfId="683" xr:uid="{00000000-0005-0000-0000-0000A4020000}"/>
    <cellStyle name="_Book1 13" xfId="684" xr:uid="{00000000-0005-0000-0000-0000A5020000}"/>
    <cellStyle name="_Book1 2" xfId="685" xr:uid="{00000000-0005-0000-0000-0000A6020000}"/>
    <cellStyle name="_Book1 2 2" xfId="686" xr:uid="{00000000-0005-0000-0000-0000A7020000}"/>
    <cellStyle name="_Book1 2 2 2" xfId="687" xr:uid="{00000000-0005-0000-0000-0000A8020000}"/>
    <cellStyle name="_Book1 2 3" xfId="688" xr:uid="{00000000-0005-0000-0000-0000A9020000}"/>
    <cellStyle name="_Book1 3" xfId="689" xr:uid="{00000000-0005-0000-0000-0000AA020000}"/>
    <cellStyle name="_Book1 3 2" xfId="690" xr:uid="{00000000-0005-0000-0000-0000AB020000}"/>
    <cellStyle name="_Book1 4" xfId="691" xr:uid="{00000000-0005-0000-0000-0000AC020000}"/>
    <cellStyle name="_Book1 4 2" xfId="692" xr:uid="{00000000-0005-0000-0000-0000AD020000}"/>
    <cellStyle name="_Book1 5" xfId="693" xr:uid="{00000000-0005-0000-0000-0000AE020000}"/>
    <cellStyle name="_Book1 5 2" xfId="694" xr:uid="{00000000-0005-0000-0000-0000AF020000}"/>
    <cellStyle name="_Book1 6" xfId="695" xr:uid="{00000000-0005-0000-0000-0000B0020000}"/>
    <cellStyle name="_Book1 6 2" xfId="696" xr:uid="{00000000-0005-0000-0000-0000B1020000}"/>
    <cellStyle name="_Book1 7" xfId="697" xr:uid="{00000000-0005-0000-0000-0000B2020000}"/>
    <cellStyle name="_Book1 7 2" xfId="698" xr:uid="{00000000-0005-0000-0000-0000B3020000}"/>
    <cellStyle name="_Book1 8" xfId="699" xr:uid="{00000000-0005-0000-0000-0000B4020000}"/>
    <cellStyle name="_Book1 8 2" xfId="700" xr:uid="{00000000-0005-0000-0000-0000B5020000}"/>
    <cellStyle name="_Book1 9" xfId="701" xr:uid="{00000000-0005-0000-0000-0000B6020000}"/>
    <cellStyle name="_Book1 9 2" xfId="702" xr:uid="{00000000-0005-0000-0000-0000B7020000}"/>
    <cellStyle name="_Book1_(C) WHE Proforma with ITC cash grant 10 Yr Amort_for deferral_102809" xfId="703" xr:uid="{00000000-0005-0000-0000-0000B8020000}"/>
    <cellStyle name="_Book1_(C) WHE Proforma with ITC cash grant 10 Yr Amort_for deferral_102809 2" xfId="704" xr:uid="{00000000-0005-0000-0000-0000B9020000}"/>
    <cellStyle name="_Book1_(C) WHE Proforma with ITC cash grant 10 Yr Amort_for deferral_102809 2 2" xfId="705" xr:uid="{00000000-0005-0000-0000-0000BA020000}"/>
    <cellStyle name="_Book1_(C) WHE Proforma with ITC cash grant 10 Yr Amort_for deferral_102809 3" xfId="706" xr:uid="{00000000-0005-0000-0000-0000BB020000}"/>
    <cellStyle name="_Book1_(C) WHE Proforma with ITC cash grant 10 Yr Amort_for deferral_102809_16.07E Wild Horse Wind Expansionwrkingfile" xfId="707" xr:uid="{00000000-0005-0000-0000-0000BC020000}"/>
    <cellStyle name="_Book1_(C) WHE Proforma with ITC cash grant 10 Yr Amort_for deferral_102809_16.07E Wild Horse Wind Expansionwrkingfile 2" xfId="708" xr:uid="{00000000-0005-0000-0000-0000BD020000}"/>
    <cellStyle name="_Book1_(C) WHE Proforma with ITC cash grant 10 Yr Amort_for deferral_102809_16.07E Wild Horse Wind Expansionwrkingfile 2 2" xfId="709" xr:uid="{00000000-0005-0000-0000-0000BE020000}"/>
    <cellStyle name="_Book1_(C) WHE Proforma with ITC cash grant 10 Yr Amort_for deferral_102809_16.07E Wild Horse Wind Expansionwrkingfile 3" xfId="710" xr:uid="{00000000-0005-0000-0000-0000BF020000}"/>
    <cellStyle name="_Book1_(C) WHE Proforma with ITC cash grant 10 Yr Amort_for deferral_102809_16.07E Wild Horse Wind Expansionwrkingfile SF" xfId="711" xr:uid="{00000000-0005-0000-0000-0000C0020000}"/>
    <cellStyle name="_Book1_(C) WHE Proforma with ITC cash grant 10 Yr Amort_for deferral_102809_16.07E Wild Horse Wind Expansionwrkingfile SF 2" xfId="712" xr:uid="{00000000-0005-0000-0000-0000C1020000}"/>
    <cellStyle name="_Book1_(C) WHE Proforma with ITC cash grant 10 Yr Amort_for deferral_102809_16.07E Wild Horse Wind Expansionwrkingfile SF 2 2" xfId="713" xr:uid="{00000000-0005-0000-0000-0000C2020000}"/>
    <cellStyle name="_Book1_(C) WHE Proforma with ITC cash grant 10 Yr Amort_for deferral_102809_16.07E Wild Horse Wind Expansionwrkingfile SF 3" xfId="714" xr:uid="{00000000-0005-0000-0000-0000C3020000}"/>
    <cellStyle name="_Book1_(C) WHE Proforma with ITC cash grant 10 Yr Amort_for deferral_102809_16.37E Wild Horse Expansion DeferralRevwrkingfile SF" xfId="715" xr:uid="{00000000-0005-0000-0000-0000C4020000}"/>
    <cellStyle name="_Book1_(C) WHE Proforma with ITC cash grant 10 Yr Amort_for deferral_102809_16.37E Wild Horse Expansion DeferralRevwrkingfile SF 2" xfId="716" xr:uid="{00000000-0005-0000-0000-0000C5020000}"/>
    <cellStyle name="_Book1_(C) WHE Proforma with ITC cash grant 10 Yr Amort_for deferral_102809_16.37E Wild Horse Expansion DeferralRevwrkingfile SF 2 2" xfId="717" xr:uid="{00000000-0005-0000-0000-0000C6020000}"/>
    <cellStyle name="_Book1_(C) WHE Proforma with ITC cash grant 10 Yr Amort_for deferral_102809_16.37E Wild Horse Expansion DeferralRevwrkingfile SF 3" xfId="718" xr:uid="{00000000-0005-0000-0000-0000C7020000}"/>
    <cellStyle name="_Book1_(C) WHE Proforma with ITC cash grant 10 Yr Amort_for rebuttal_120709" xfId="719" xr:uid="{00000000-0005-0000-0000-0000C8020000}"/>
    <cellStyle name="_Book1_(C) WHE Proforma with ITC cash grant 10 Yr Amort_for rebuttal_120709 2" xfId="720" xr:uid="{00000000-0005-0000-0000-0000C9020000}"/>
    <cellStyle name="_Book1_(C) WHE Proforma with ITC cash grant 10 Yr Amort_for rebuttal_120709 2 2" xfId="721" xr:uid="{00000000-0005-0000-0000-0000CA020000}"/>
    <cellStyle name="_Book1_(C) WHE Proforma with ITC cash grant 10 Yr Amort_for rebuttal_120709 3" xfId="722" xr:uid="{00000000-0005-0000-0000-0000CB020000}"/>
    <cellStyle name="_Book1_04.07E Wild Horse Wind Expansion" xfId="723" xr:uid="{00000000-0005-0000-0000-0000CC020000}"/>
    <cellStyle name="_Book1_04.07E Wild Horse Wind Expansion 2" xfId="724" xr:uid="{00000000-0005-0000-0000-0000CD020000}"/>
    <cellStyle name="_Book1_04.07E Wild Horse Wind Expansion 2 2" xfId="725" xr:uid="{00000000-0005-0000-0000-0000CE020000}"/>
    <cellStyle name="_Book1_04.07E Wild Horse Wind Expansion 3" xfId="726" xr:uid="{00000000-0005-0000-0000-0000CF020000}"/>
    <cellStyle name="_Book1_04.07E Wild Horse Wind Expansion_16.07E Wild Horse Wind Expansionwrkingfile" xfId="727" xr:uid="{00000000-0005-0000-0000-0000D0020000}"/>
    <cellStyle name="_Book1_04.07E Wild Horse Wind Expansion_16.07E Wild Horse Wind Expansionwrkingfile 2" xfId="728" xr:uid="{00000000-0005-0000-0000-0000D1020000}"/>
    <cellStyle name="_Book1_04.07E Wild Horse Wind Expansion_16.07E Wild Horse Wind Expansionwrkingfile 2 2" xfId="729" xr:uid="{00000000-0005-0000-0000-0000D2020000}"/>
    <cellStyle name="_Book1_04.07E Wild Horse Wind Expansion_16.07E Wild Horse Wind Expansionwrkingfile 3" xfId="730" xr:uid="{00000000-0005-0000-0000-0000D3020000}"/>
    <cellStyle name="_Book1_04.07E Wild Horse Wind Expansion_16.07E Wild Horse Wind Expansionwrkingfile SF" xfId="731" xr:uid="{00000000-0005-0000-0000-0000D4020000}"/>
    <cellStyle name="_Book1_04.07E Wild Horse Wind Expansion_16.07E Wild Horse Wind Expansionwrkingfile SF 2" xfId="732" xr:uid="{00000000-0005-0000-0000-0000D5020000}"/>
    <cellStyle name="_Book1_04.07E Wild Horse Wind Expansion_16.07E Wild Horse Wind Expansionwrkingfile SF 2 2" xfId="733" xr:uid="{00000000-0005-0000-0000-0000D6020000}"/>
    <cellStyle name="_Book1_04.07E Wild Horse Wind Expansion_16.07E Wild Horse Wind Expansionwrkingfile SF 3" xfId="734" xr:uid="{00000000-0005-0000-0000-0000D7020000}"/>
    <cellStyle name="_Book1_04.07E Wild Horse Wind Expansion_16.37E Wild Horse Expansion DeferralRevwrkingfile SF" xfId="735" xr:uid="{00000000-0005-0000-0000-0000D8020000}"/>
    <cellStyle name="_Book1_04.07E Wild Horse Wind Expansion_16.37E Wild Horse Expansion DeferralRevwrkingfile SF 2" xfId="736" xr:uid="{00000000-0005-0000-0000-0000D9020000}"/>
    <cellStyle name="_Book1_04.07E Wild Horse Wind Expansion_16.37E Wild Horse Expansion DeferralRevwrkingfile SF 2 2" xfId="737" xr:uid="{00000000-0005-0000-0000-0000DA020000}"/>
    <cellStyle name="_Book1_04.07E Wild Horse Wind Expansion_16.37E Wild Horse Expansion DeferralRevwrkingfile SF 3" xfId="738" xr:uid="{00000000-0005-0000-0000-0000DB020000}"/>
    <cellStyle name="_Book1_16.07E Wild Horse Wind Expansionwrkingfile" xfId="739" xr:uid="{00000000-0005-0000-0000-0000DC020000}"/>
    <cellStyle name="_Book1_16.07E Wild Horse Wind Expansionwrkingfile 2" xfId="740" xr:uid="{00000000-0005-0000-0000-0000DD020000}"/>
    <cellStyle name="_Book1_16.07E Wild Horse Wind Expansionwrkingfile 2 2" xfId="741" xr:uid="{00000000-0005-0000-0000-0000DE020000}"/>
    <cellStyle name="_Book1_16.07E Wild Horse Wind Expansionwrkingfile 3" xfId="742" xr:uid="{00000000-0005-0000-0000-0000DF020000}"/>
    <cellStyle name="_Book1_16.07E Wild Horse Wind Expansionwrkingfile SF" xfId="743" xr:uid="{00000000-0005-0000-0000-0000E0020000}"/>
    <cellStyle name="_Book1_16.07E Wild Horse Wind Expansionwrkingfile SF 2" xfId="744" xr:uid="{00000000-0005-0000-0000-0000E1020000}"/>
    <cellStyle name="_Book1_16.07E Wild Horse Wind Expansionwrkingfile SF 2 2" xfId="745" xr:uid="{00000000-0005-0000-0000-0000E2020000}"/>
    <cellStyle name="_Book1_16.07E Wild Horse Wind Expansionwrkingfile SF 3" xfId="746" xr:uid="{00000000-0005-0000-0000-0000E3020000}"/>
    <cellStyle name="_Book1_16.37E Wild Horse Expansion DeferralRevwrkingfile SF" xfId="747" xr:uid="{00000000-0005-0000-0000-0000E4020000}"/>
    <cellStyle name="_Book1_16.37E Wild Horse Expansion DeferralRevwrkingfile SF 2" xfId="748" xr:uid="{00000000-0005-0000-0000-0000E5020000}"/>
    <cellStyle name="_Book1_16.37E Wild Horse Expansion DeferralRevwrkingfile SF 2 2" xfId="749" xr:uid="{00000000-0005-0000-0000-0000E6020000}"/>
    <cellStyle name="_Book1_16.37E Wild Horse Expansion DeferralRevwrkingfile SF 3" xfId="750" xr:uid="{00000000-0005-0000-0000-0000E7020000}"/>
    <cellStyle name="_Book1_2009 Compliance Filing PCA Exhibits for GRC" xfId="751" xr:uid="{00000000-0005-0000-0000-0000E8020000}"/>
    <cellStyle name="_Book1_2009 GRC Compl Filing - Exhibit D" xfId="752" xr:uid="{00000000-0005-0000-0000-0000E9020000}"/>
    <cellStyle name="_Book1_2009 GRC Compl Filing - Exhibit D 2" xfId="753" xr:uid="{00000000-0005-0000-0000-0000EA020000}"/>
    <cellStyle name="_Book1_3.01 Income Statement" xfId="754" xr:uid="{00000000-0005-0000-0000-0000EB020000}"/>
    <cellStyle name="_Book1_4 31 Regulatory Assets and Liabilities  7 06- Exhibit D" xfId="755" xr:uid="{00000000-0005-0000-0000-0000EC020000}"/>
    <cellStyle name="_Book1_4 31 Regulatory Assets and Liabilities  7 06- Exhibit D 2" xfId="756" xr:uid="{00000000-0005-0000-0000-0000ED020000}"/>
    <cellStyle name="_Book1_4 31 Regulatory Assets and Liabilities  7 06- Exhibit D 2 2" xfId="757" xr:uid="{00000000-0005-0000-0000-0000EE020000}"/>
    <cellStyle name="_Book1_4 31 Regulatory Assets and Liabilities  7 06- Exhibit D 3" xfId="758" xr:uid="{00000000-0005-0000-0000-0000EF020000}"/>
    <cellStyle name="_Book1_4 31 Regulatory Assets and Liabilities  7 06- Exhibit D_NIM Summary" xfId="759" xr:uid="{00000000-0005-0000-0000-0000F0020000}"/>
    <cellStyle name="_Book1_4 31 Regulatory Assets and Liabilities  7 06- Exhibit D_NIM Summary 2" xfId="760" xr:uid="{00000000-0005-0000-0000-0000F1020000}"/>
    <cellStyle name="_Book1_4 32 Regulatory Assets and Liabilities  7 06- Exhibit D" xfId="761" xr:uid="{00000000-0005-0000-0000-0000F2020000}"/>
    <cellStyle name="_Book1_4 32 Regulatory Assets and Liabilities  7 06- Exhibit D 2" xfId="762" xr:uid="{00000000-0005-0000-0000-0000F3020000}"/>
    <cellStyle name="_Book1_4 32 Regulatory Assets and Liabilities  7 06- Exhibit D 2 2" xfId="763" xr:uid="{00000000-0005-0000-0000-0000F4020000}"/>
    <cellStyle name="_Book1_4 32 Regulatory Assets and Liabilities  7 06- Exhibit D 3" xfId="764" xr:uid="{00000000-0005-0000-0000-0000F5020000}"/>
    <cellStyle name="_Book1_4 32 Regulatory Assets and Liabilities  7 06- Exhibit D_NIM Summary" xfId="765" xr:uid="{00000000-0005-0000-0000-0000F6020000}"/>
    <cellStyle name="_Book1_4 32 Regulatory Assets and Liabilities  7 06- Exhibit D_NIM Summary 2" xfId="766" xr:uid="{00000000-0005-0000-0000-0000F7020000}"/>
    <cellStyle name="_Book1_AURORA Total New" xfId="767" xr:uid="{00000000-0005-0000-0000-0000F8020000}"/>
    <cellStyle name="_Book1_AURORA Total New 2" xfId="768" xr:uid="{00000000-0005-0000-0000-0000F9020000}"/>
    <cellStyle name="_Book1_Book2" xfId="769" xr:uid="{00000000-0005-0000-0000-0000FA020000}"/>
    <cellStyle name="_Book1_Book2 2" xfId="770" xr:uid="{00000000-0005-0000-0000-0000FB020000}"/>
    <cellStyle name="_Book1_Book2 2 2" xfId="771" xr:uid="{00000000-0005-0000-0000-0000FC020000}"/>
    <cellStyle name="_Book1_Book2 3" xfId="772" xr:uid="{00000000-0005-0000-0000-0000FD020000}"/>
    <cellStyle name="_Book1_Book2_Adj Bench DR 3 for Initial Briefs (Electric)" xfId="773" xr:uid="{00000000-0005-0000-0000-0000FE020000}"/>
    <cellStyle name="_Book1_Book2_Adj Bench DR 3 for Initial Briefs (Electric) 2" xfId="774" xr:uid="{00000000-0005-0000-0000-0000FF020000}"/>
    <cellStyle name="_Book1_Book2_Adj Bench DR 3 for Initial Briefs (Electric) 2 2" xfId="775" xr:uid="{00000000-0005-0000-0000-000000030000}"/>
    <cellStyle name="_Book1_Book2_Adj Bench DR 3 for Initial Briefs (Electric) 3" xfId="776" xr:uid="{00000000-0005-0000-0000-000001030000}"/>
    <cellStyle name="_Book1_Book2_Electric Rev Req Model (2009 GRC) Rebuttal" xfId="777" xr:uid="{00000000-0005-0000-0000-000002030000}"/>
    <cellStyle name="_Book1_Book2_Electric Rev Req Model (2009 GRC) Rebuttal 2" xfId="778" xr:uid="{00000000-0005-0000-0000-000003030000}"/>
    <cellStyle name="_Book1_Book2_Electric Rev Req Model (2009 GRC) Rebuttal 2 2" xfId="779" xr:uid="{00000000-0005-0000-0000-000004030000}"/>
    <cellStyle name="_Book1_Book2_Electric Rev Req Model (2009 GRC) Rebuttal 3" xfId="780" xr:uid="{00000000-0005-0000-0000-000005030000}"/>
    <cellStyle name="_Book1_Book2_Electric Rev Req Model (2009 GRC) Rebuttal REmoval of New  WH Solar AdjustMI" xfId="781" xr:uid="{00000000-0005-0000-0000-000006030000}"/>
    <cellStyle name="_Book1_Book2_Electric Rev Req Model (2009 GRC) Rebuttal REmoval of New  WH Solar AdjustMI 2" xfId="782" xr:uid="{00000000-0005-0000-0000-000007030000}"/>
    <cellStyle name="_Book1_Book2_Electric Rev Req Model (2009 GRC) Rebuttal REmoval of New  WH Solar AdjustMI 2 2" xfId="783" xr:uid="{00000000-0005-0000-0000-000008030000}"/>
    <cellStyle name="_Book1_Book2_Electric Rev Req Model (2009 GRC) Rebuttal REmoval of New  WH Solar AdjustMI 3" xfId="784" xr:uid="{00000000-0005-0000-0000-000009030000}"/>
    <cellStyle name="_Book1_Book2_Electric Rev Req Model (2009 GRC) Revised 01-18-2010" xfId="785" xr:uid="{00000000-0005-0000-0000-00000A030000}"/>
    <cellStyle name="_Book1_Book2_Electric Rev Req Model (2009 GRC) Revised 01-18-2010 2" xfId="786" xr:uid="{00000000-0005-0000-0000-00000B030000}"/>
    <cellStyle name="_Book1_Book2_Electric Rev Req Model (2009 GRC) Revised 01-18-2010 2 2" xfId="787" xr:uid="{00000000-0005-0000-0000-00000C030000}"/>
    <cellStyle name="_Book1_Book2_Electric Rev Req Model (2009 GRC) Revised 01-18-2010 3" xfId="788" xr:uid="{00000000-0005-0000-0000-00000D030000}"/>
    <cellStyle name="_Book1_Book2_Final Order Electric EXHIBIT A-1" xfId="789" xr:uid="{00000000-0005-0000-0000-00000E030000}"/>
    <cellStyle name="_Book1_Book2_Final Order Electric EXHIBIT A-1 2" xfId="790" xr:uid="{00000000-0005-0000-0000-00000F030000}"/>
    <cellStyle name="_Book1_Book2_Final Order Electric EXHIBIT A-1 2 2" xfId="791" xr:uid="{00000000-0005-0000-0000-000010030000}"/>
    <cellStyle name="_Book1_Book2_Final Order Electric EXHIBIT A-1 3" xfId="792" xr:uid="{00000000-0005-0000-0000-000011030000}"/>
    <cellStyle name="_Book1_Book4" xfId="793" xr:uid="{00000000-0005-0000-0000-000012030000}"/>
    <cellStyle name="_Book1_Book4 2" xfId="794" xr:uid="{00000000-0005-0000-0000-000013030000}"/>
    <cellStyle name="_Book1_Book4 2 2" xfId="795" xr:uid="{00000000-0005-0000-0000-000014030000}"/>
    <cellStyle name="_Book1_Book4 3" xfId="796" xr:uid="{00000000-0005-0000-0000-000015030000}"/>
    <cellStyle name="_Book1_Book9" xfId="797" xr:uid="{00000000-0005-0000-0000-000016030000}"/>
    <cellStyle name="_Book1_Book9 2" xfId="798" xr:uid="{00000000-0005-0000-0000-000017030000}"/>
    <cellStyle name="_Book1_Book9 2 2" xfId="799" xr:uid="{00000000-0005-0000-0000-000018030000}"/>
    <cellStyle name="_Book1_Book9 3" xfId="800" xr:uid="{00000000-0005-0000-0000-000019030000}"/>
    <cellStyle name="_Book1_Chelan PUD Power Costs (8-10)" xfId="801" xr:uid="{00000000-0005-0000-0000-00001A030000}"/>
    <cellStyle name="_Book1_Electric COS Inputs" xfId="802" xr:uid="{00000000-0005-0000-0000-00001B030000}"/>
    <cellStyle name="_Book1_Electric COS Inputs 2" xfId="803" xr:uid="{00000000-0005-0000-0000-00001C030000}"/>
    <cellStyle name="_Book1_Electric COS Inputs 2 2" xfId="804" xr:uid="{00000000-0005-0000-0000-00001D030000}"/>
    <cellStyle name="_Book1_Electric COS Inputs 2 2 2" xfId="805" xr:uid="{00000000-0005-0000-0000-00001E030000}"/>
    <cellStyle name="_Book1_Electric COS Inputs 2 3" xfId="806" xr:uid="{00000000-0005-0000-0000-00001F030000}"/>
    <cellStyle name="_Book1_Electric COS Inputs 2 3 2" xfId="807" xr:uid="{00000000-0005-0000-0000-000020030000}"/>
    <cellStyle name="_Book1_Electric COS Inputs 2 4" xfId="808" xr:uid="{00000000-0005-0000-0000-000021030000}"/>
    <cellStyle name="_Book1_Electric COS Inputs 2 4 2" xfId="809" xr:uid="{00000000-0005-0000-0000-000022030000}"/>
    <cellStyle name="_Book1_Electric COS Inputs 3" xfId="810" xr:uid="{00000000-0005-0000-0000-000023030000}"/>
    <cellStyle name="_Book1_Electric COS Inputs 3 2" xfId="811" xr:uid="{00000000-0005-0000-0000-000024030000}"/>
    <cellStyle name="_Book1_Electric COS Inputs 4" xfId="812" xr:uid="{00000000-0005-0000-0000-000025030000}"/>
    <cellStyle name="_Book1_Electric COS Inputs 4 2" xfId="813" xr:uid="{00000000-0005-0000-0000-000026030000}"/>
    <cellStyle name="_Book1_Electric COS Inputs 5" xfId="814" xr:uid="{00000000-0005-0000-0000-000027030000}"/>
    <cellStyle name="_Book1_Electric COS Inputs 6" xfId="815" xr:uid="{00000000-0005-0000-0000-000028030000}"/>
    <cellStyle name="_Book1_NIM Summary" xfId="816" xr:uid="{00000000-0005-0000-0000-000029030000}"/>
    <cellStyle name="_Book1_NIM Summary 09GRC" xfId="817" xr:uid="{00000000-0005-0000-0000-00002A030000}"/>
    <cellStyle name="_Book1_NIM Summary 09GRC 2" xfId="818" xr:uid="{00000000-0005-0000-0000-00002B030000}"/>
    <cellStyle name="_Book1_NIM Summary 2" xfId="819" xr:uid="{00000000-0005-0000-0000-00002C030000}"/>
    <cellStyle name="_Book1_NIM Summary 3" xfId="820" xr:uid="{00000000-0005-0000-0000-00002D030000}"/>
    <cellStyle name="_Book1_NIM Summary 4" xfId="821" xr:uid="{00000000-0005-0000-0000-00002E030000}"/>
    <cellStyle name="_Book1_NIM Summary 5" xfId="822" xr:uid="{00000000-0005-0000-0000-00002F030000}"/>
    <cellStyle name="_Book1_NIM Summary 6" xfId="823" xr:uid="{00000000-0005-0000-0000-000030030000}"/>
    <cellStyle name="_Book1_NIM Summary 7" xfId="824" xr:uid="{00000000-0005-0000-0000-000031030000}"/>
    <cellStyle name="_Book1_NIM Summary 8" xfId="825" xr:uid="{00000000-0005-0000-0000-000032030000}"/>
    <cellStyle name="_Book1_NIM Summary 9" xfId="826" xr:uid="{00000000-0005-0000-0000-000033030000}"/>
    <cellStyle name="_Book1_PCA 10 -  Exhibit D from A Kellogg Jan 2011" xfId="827" xr:uid="{00000000-0005-0000-0000-000034030000}"/>
    <cellStyle name="_Book1_PCA 10 -  Exhibit D from A Kellogg July 2011" xfId="828" xr:uid="{00000000-0005-0000-0000-000035030000}"/>
    <cellStyle name="_Book1_PCA 10 -  Exhibit D from S Free Rcv'd 12-11" xfId="829" xr:uid="{00000000-0005-0000-0000-000036030000}"/>
    <cellStyle name="_Book1_PCA 9 -  Exhibit D April 2010" xfId="830" xr:uid="{00000000-0005-0000-0000-000037030000}"/>
    <cellStyle name="_Book1_PCA 9 -  Exhibit D April 2010 (3)" xfId="831" xr:uid="{00000000-0005-0000-0000-000038030000}"/>
    <cellStyle name="_Book1_PCA 9 -  Exhibit D April 2010 (3) 2" xfId="832" xr:uid="{00000000-0005-0000-0000-000039030000}"/>
    <cellStyle name="_Book1_PCA 9 -  Exhibit D Nov 2010" xfId="833" xr:uid="{00000000-0005-0000-0000-00003A030000}"/>
    <cellStyle name="_Book1_PCA 9 - Exhibit D at August 2010" xfId="834" xr:uid="{00000000-0005-0000-0000-00003B030000}"/>
    <cellStyle name="_Book1_PCA 9 - Exhibit D June 2010 GRC" xfId="835" xr:uid="{00000000-0005-0000-0000-00003C030000}"/>
    <cellStyle name="_Book1_Power Costs - Comparison bx Rbtl-Staff-Jt-PC" xfId="836" xr:uid="{00000000-0005-0000-0000-00003D030000}"/>
    <cellStyle name="_Book1_Power Costs - Comparison bx Rbtl-Staff-Jt-PC 2" xfId="837" xr:uid="{00000000-0005-0000-0000-00003E030000}"/>
    <cellStyle name="_Book1_Power Costs - Comparison bx Rbtl-Staff-Jt-PC 2 2" xfId="838" xr:uid="{00000000-0005-0000-0000-00003F030000}"/>
    <cellStyle name="_Book1_Power Costs - Comparison bx Rbtl-Staff-Jt-PC 3" xfId="839" xr:uid="{00000000-0005-0000-0000-000040030000}"/>
    <cellStyle name="_Book1_Power Costs - Comparison bx Rbtl-Staff-Jt-PC_Adj Bench DR 3 for Initial Briefs (Electric)" xfId="840" xr:uid="{00000000-0005-0000-0000-000041030000}"/>
    <cellStyle name="_Book1_Power Costs - Comparison bx Rbtl-Staff-Jt-PC_Adj Bench DR 3 for Initial Briefs (Electric) 2" xfId="841" xr:uid="{00000000-0005-0000-0000-000042030000}"/>
    <cellStyle name="_Book1_Power Costs - Comparison bx Rbtl-Staff-Jt-PC_Adj Bench DR 3 for Initial Briefs (Electric) 2 2" xfId="842" xr:uid="{00000000-0005-0000-0000-000043030000}"/>
    <cellStyle name="_Book1_Power Costs - Comparison bx Rbtl-Staff-Jt-PC_Adj Bench DR 3 for Initial Briefs (Electric) 3" xfId="843" xr:uid="{00000000-0005-0000-0000-000044030000}"/>
    <cellStyle name="_Book1_Power Costs - Comparison bx Rbtl-Staff-Jt-PC_Electric Rev Req Model (2009 GRC) Rebuttal" xfId="844" xr:uid="{00000000-0005-0000-0000-000045030000}"/>
    <cellStyle name="_Book1_Power Costs - Comparison bx Rbtl-Staff-Jt-PC_Electric Rev Req Model (2009 GRC) Rebuttal 2" xfId="845" xr:uid="{00000000-0005-0000-0000-000046030000}"/>
    <cellStyle name="_Book1_Power Costs - Comparison bx Rbtl-Staff-Jt-PC_Electric Rev Req Model (2009 GRC) Rebuttal 2 2" xfId="846" xr:uid="{00000000-0005-0000-0000-000047030000}"/>
    <cellStyle name="_Book1_Power Costs - Comparison bx Rbtl-Staff-Jt-PC_Electric Rev Req Model (2009 GRC) Rebuttal 3" xfId="847" xr:uid="{00000000-0005-0000-0000-000048030000}"/>
    <cellStyle name="_Book1_Power Costs - Comparison bx Rbtl-Staff-Jt-PC_Electric Rev Req Model (2009 GRC) Rebuttal REmoval of New  WH Solar AdjustMI" xfId="848" xr:uid="{00000000-0005-0000-0000-000049030000}"/>
    <cellStyle name="_Book1_Power Costs - Comparison bx Rbtl-Staff-Jt-PC_Electric Rev Req Model (2009 GRC) Rebuttal REmoval of New  WH Solar AdjustMI 2" xfId="849" xr:uid="{00000000-0005-0000-0000-00004A030000}"/>
    <cellStyle name="_Book1_Power Costs - Comparison bx Rbtl-Staff-Jt-PC_Electric Rev Req Model (2009 GRC) Rebuttal REmoval of New  WH Solar AdjustMI 2 2" xfId="850" xr:uid="{00000000-0005-0000-0000-00004B030000}"/>
    <cellStyle name="_Book1_Power Costs - Comparison bx Rbtl-Staff-Jt-PC_Electric Rev Req Model (2009 GRC) Rebuttal REmoval of New  WH Solar AdjustMI 3" xfId="851" xr:uid="{00000000-0005-0000-0000-00004C030000}"/>
    <cellStyle name="_Book1_Power Costs - Comparison bx Rbtl-Staff-Jt-PC_Electric Rev Req Model (2009 GRC) Revised 01-18-2010" xfId="852" xr:uid="{00000000-0005-0000-0000-00004D030000}"/>
    <cellStyle name="_Book1_Power Costs - Comparison bx Rbtl-Staff-Jt-PC_Electric Rev Req Model (2009 GRC) Revised 01-18-2010 2" xfId="853" xr:uid="{00000000-0005-0000-0000-00004E030000}"/>
    <cellStyle name="_Book1_Power Costs - Comparison bx Rbtl-Staff-Jt-PC_Electric Rev Req Model (2009 GRC) Revised 01-18-2010 2 2" xfId="854" xr:uid="{00000000-0005-0000-0000-00004F030000}"/>
    <cellStyle name="_Book1_Power Costs - Comparison bx Rbtl-Staff-Jt-PC_Electric Rev Req Model (2009 GRC) Revised 01-18-2010 3" xfId="855" xr:uid="{00000000-0005-0000-0000-000050030000}"/>
    <cellStyle name="_Book1_Power Costs - Comparison bx Rbtl-Staff-Jt-PC_Final Order Electric EXHIBIT A-1" xfId="856" xr:uid="{00000000-0005-0000-0000-000051030000}"/>
    <cellStyle name="_Book1_Power Costs - Comparison bx Rbtl-Staff-Jt-PC_Final Order Electric EXHIBIT A-1 2" xfId="857" xr:uid="{00000000-0005-0000-0000-000052030000}"/>
    <cellStyle name="_Book1_Power Costs - Comparison bx Rbtl-Staff-Jt-PC_Final Order Electric EXHIBIT A-1 2 2" xfId="858" xr:uid="{00000000-0005-0000-0000-000053030000}"/>
    <cellStyle name="_Book1_Power Costs - Comparison bx Rbtl-Staff-Jt-PC_Final Order Electric EXHIBIT A-1 3" xfId="859" xr:uid="{00000000-0005-0000-0000-000054030000}"/>
    <cellStyle name="_Book1_Production Adj 4.37" xfId="860" xr:uid="{00000000-0005-0000-0000-000055030000}"/>
    <cellStyle name="_Book1_Production Adj 4.37 2" xfId="861" xr:uid="{00000000-0005-0000-0000-000056030000}"/>
    <cellStyle name="_Book1_Production Adj 4.37 2 2" xfId="862" xr:uid="{00000000-0005-0000-0000-000057030000}"/>
    <cellStyle name="_Book1_Production Adj 4.37 3" xfId="863" xr:uid="{00000000-0005-0000-0000-000058030000}"/>
    <cellStyle name="_Book1_Purchased Power Adj 4.03" xfId="864" xr:uid="{00000000-0005-0000-0000-000059030000}"/>
    <cellStyle name="_Book1_Purchased Power Adj 4.03 2" xfId="865" xr:uid="{00000000-0005-0000-0000-00005A030000}"/>
    <cellStyle name="_Book1_Purchased Power Adj 4.03 2 2" xfId="866" xr:uid="{00000000-0005-0000-0000-00005B030000}"/>
    <cellStyle name="_Book1_Purchased Power Adj 4.03 3" xfId="867" xr:uid="{00000000-0005-0000-0000-00005C030000}"/>
    <cellStyle name="_Book1_Rebuttal Power Costs" xfId="868" xr:uid="{00000000-0005-0000-0000-00005D030000}"/>
    <cellStyle name="_Book1_Rebuttal Power Costs 2" xfId="869" xr:uid="{00000000-0005-0000-0000-00005E030000}"/>
    <cellStyle name="_Book1_Rebuttal Power Costs 2 2" xfId="870" xr:uid="{00000000-0005-0000-0000-00005F030000}"/>
    <cellStyle name="_Book1_Rebuttal Power Costs 3" xfId="871" xr:uid="{00000000-0005-0000-0000-000060030000}"/>
    <cellStyle name="_Book1_Rebuttal Power Costs_Adj Bench DR 3 for Initial Briefs (Electric)" xfId="872" xr:uid="{00000000-0005-0000-0000-000061030000}"/>
    <cellStyle name="_Book1_Rebuttal Power Costs_Adj Bench DR 3 for Initial Briefs (Electric) 2" xfId="873" xr:uid="{00000000-0005-0000-0000-000062030000}"/>
    <cellStyle name="_Book1_Rebuttal Power Costs_Adj Bench DR 3 for Initial Briefs (Electric) 2 2" xfId="874" xr:uid="{00000000-0005-0000-0000-000063030000}"/>
    <cellStyle name="_Book1_Rebuttal Power Costs_Adj Bench DR 3 for Initial Briefs (Electric) 3" xfId="875" xr:uid="{00000000-0005-0000-0000-000064030000}"/>
    <cellStyle name="_Book1_Rebuttal Power Costs_Electric Rev Req Model (2009 GRC) Rebuttal" xfId="876" xr:uid="{00000000-0005-0000-0000-000065030000}"/>
    <cellStyle name="_Book1_Rebuttal Power Costs_Electric Rev Req Model (2009 GRC) Rebuttal 2" xfId="877" xr:uid="{00000000-0005-0000-0000-000066030000}"/>
    <cellStyle name="_Book1_Rebuttal Power Costs_Electric Rev Req Model (2009 GRC) Rebuttal 2 2" xfId="878" xr:uid="{00000000-0005-0000-0000-000067030000}"/>
    <cellStyle name="_Book1_Rebuttal Power Costs_Electric Rev Req Model (2009 GRC) Rebuttal 3" xfId="879" xr:uid="{00000000-0005-0000-0000-000068030000}"/>
    <cellStyle name="_Book1_Rebuttal Power Costs_Electric Rev Req Model (2009 GRC) Rebuttal REmoval of New  WH Solar AdjustMI" xfId="880" xr:uid="{00000000-0005-0000-0000-000069030000}"/>
    <cellStyle name="_Book1_Rebuttal Power Costs_Electric Rev Req Model (2009 GRC) Rebuttal REmoval of New  WH Solar AdjustMI 2" xfId="881" xr:uid="{00000000-0005-0000-0000-00006A030000}"/>
    <cellStyle name="_Book1_Rebuttal Power Costs_Electric Rev Req Model (2009 GRC) Rebuttal REmoval of New  WH Solar AdjustMI 2 2" xfId="882" xr:uid="{00000000-0005-0000-0000-00006B030000}"/>
    <cellStyle name="_Book1_Rebuttal Power Costs_Electric Rev Req Model (2009 GRC) Rebuttal REmoval of New  WH Solar AdjustMI 3" xfId="883" xr:uid="{00000000-0005-0000-0000-00006C030000}"/>
    <cellStyle name="_Book1_Rebuttal Power Costs_Electric Rev Req Model (2009 GRC) Revised 01-18-2010" xfId="884" xr:uid="{00000000-0005-0000-0000-00006D030000}"/>
    <cellStyle name="_Book1_Rebuttal Power Costs_Electric Rev Req Model (2009 GRC) Revised 01-18-2010 2" xfId="885" xr:uid="{00000000-0005-0000-0000-00006E030000}"/>
    <cellStyle name="_Book1_Rebuttal Power Costs_Electric Rev Req Model (2009 GRC) Revised 01-18-2010 2 2" xfId="886" xr:uid="{00000000-0005-0000-0000-00006F030000}"/>
    <cellStyle name="_Book1_Rebuttal Power Costs_Electric Rev Req Model (2009 GRC) Revised 01-18-2010 3" xfId="887" xr:uid="{00000000-0005-0000-0000-000070030000}"/>
    <cellStyle name="_Book1_Rebuttal Power Costs_Final Order Electric EXHIBIT A-1" xfId="888" xr:uid="{00000000-0005-0000-0000-000071030000}"/>
    <cellStyle name="_Book1_Rebuttal Power Costs_Final Order Electric EXHIBIT A-1 2" xfId="889" xr:uid="{00000000-0005-0000-0000-000072030000}"/>
    <cellStyle name="_Book1_Rebuttal Power Costs_Final Order Electric EXHIBIT A-1 2 2" xfId="890" xr:uid="{00000000-0005-0000-0000-000073030000}"/>
    <cellStyle name="_Book1_Rebuttal Power Costs_Final Order Electric EXHIBIT A-1 3" xfId="891" xr:uid="{00000000-0005-0000-0000-000074030000}"/>
    <cellStyle name="_Book1_ROR 5.02" xfId="892" xr:uid="{00000000-0005-0000-0000-000075030000}"/>
    <cellStyle name="_Book1_ROR 5.02 2" xfId="893" xr:uid="{00000000-0005-0000-0000-000076030000}"/>
    <cellStyle name="_Book1_ROR 5.02 2 2" xfId="894" xr:uid="{00000000-0005-0000-0000-000077030000}"/>
    <cellStyle name="_Book1_ROR 5.02 3" xfId="895" xr:uid="{00000000-0005-0000-0000-000078030000}"/>
    <cellStyle name="_Book1_Transmission Workbook for May BOD" xfId="896" xr:uid="{00000000-0005-0000-0000-000079030000}"/>
    <cellStyle name="_Book1_Transmission Workbook for May BOD 2" xfId="897" xr:uid="{00000000-0005-0000-0000-00007A030000}"/>
    <cellStyle name="_Book1_Wind Integration 10GRC" xfId="898" xr:uid="{00000000-0005-0000-0000-00007B030000}"/>
    <cellStyle name="_Book1_Wind Integration 10GRC 2" xfId="899" xr:uid="{00000000-0005-0000-0000-00007C030000}"/>
    <cellStyle name="_Book2" xfId="900" xr:uid="{00000000-0005-0000-0000-00007D030000}"/>
    <cellStyle name="_x0013__Book2" xfId="901" xr:uid="{00000000-0005-0000-0000-00007E030000}"/>
    <cellStyle name="_Book2 10" xfId="902" xr:uid="{00000000-0005-0000-0000-00007F030000}"/>
    <cellStyle name="_x0013__Book2 10" xfId="903" xr:uid="{00000000-0005-0000-0000-000080030000}"/>
    <cellStyle name="_Book2 10 2" xfId="904" xr:uid="{00000000-0005-0000-0000-000081030000}"/>
    <cellStyle name="_Book2 11" xfId="905" xr:uid="{00000000-0005-0000-0000-000082030000}"/>
    <cellStyle name="_x0013__Book2 11" xfId="906" xr:uid="{00000000-0005-0000-0000-000083030000}"/>
    <cellStyle name="_Book2 11 2" xfId="907" xr:uid="{00000000-0005-0000-0000-000084030000}"/>
    <cellStyle name="_Book2 12" xfId="908" xr:uid="{00000000-0005-0000-0000-000085030000}"/>
    <cellStyle name="_x0013__Book2 12" xfId="909" xr:uid="{00000000-0005-0000-0000-000086030000}"/>
    <cellStyle name="_Book2 12 2" xfId="910" xr:uid="{00000000-0005-0000-0000-000087030000}"/>
    <cellStyle name="_Book2 13" xfId="911" xr:uid="{00000000-0005-0000-0000-000088030000}"/>
    <cellStyle name="_Book2 13 2" xfId="912" xr:uid="{00000000-0005-0000-0000-000089030000}"/>
    <cellStyle name="_Book2 14" xfId="913" xr:uid="{00000000-0005-0000-0000-00008A030000}"/>
    <cellStyle name="_Book2 14 2" xfId="914" xr:uid="{00000000-0005-0000-0000-00008B030000}"/>
    <cellStyle name="_Book2 15" xfId="915" xr:uid="{00000000-0005-0000-0000-00008C030000}"/>
    <cellStyle name="_Book2 15 2" xfId="916" xr:uid="{00000000-0005-0000-0000-00008D030000}"/>
    <cellStyle name="_Book2 16" xfId="917" xr:uid="{00000000-0005-0000-0000-00008E030000}"/>
    <cellStyle name="_Book2 16 2" xfId="918" xr:uid="{00000000-0005-0000-0000-00008F030000}"/>
    <cellStyle name="_Book2 17" xfId="919" xr:uid="{00000000-0005-0000-0000-000090030000}"/>
    <cellStyle name="_Book2 17 2" xfId="920" xr:uid="{00000000-0005-0000-0000-000091030000}"/>
    <cellStyle name="_Book2 18" xfId="921" xr:uid="{00000000-0005-0000-0000-000092030000}"/>
    <cellStyle name="_Book2 18 2" xfId="922" xr:uid="{00000000-0005-0000-0000-000093030000}"/>
    <cellStyle name="_Book2 19" xfId="923" xr:uid="{00000000-0005-0000-0000-000094030000}"/>
    <cellStyle name="_Book2 2" xfId="924" xr:uid="{00000000-0005-0000-0000-000095030000}"/>
    <cellStyle name="_x0013__Book2 2" xfId="925" xr:uid="{00000000-0005-0000-0000-000096030000}"/>
    <cellStyle name="_Book2 2 10" xfId="926" xr:uid="{00000000-0005-0000-0000-000097030000}"/>
    <cellStyle name="_Book2 2 2" xfId="927" xr:uid="{00000000-0005-0000-0000-000098030000}"/>
    <cellStyle name="_x0013__Book2 2 2" xfId="928" xr:uid="{00000000-0005-0000-0000-000099030000}"/>
    <cellStyle name="_Book2 2 2 2" xfId="929" xr:uid="{00000000-0005-0000-0000-00009A030000}"/>
    <cellStyle name="_Book2 2 3" xfId="930" xr:uid="{00000000-0005-0000-0000-00009B030000}"/>
    <cellStyle name="_Book2 2 3 2" xfId="931" xr:uid="{00000000-0005-0000-0000-00009C030000}"/>
    <cellStyle name="_Book2 2 4" xfId="932" xr:uid="{00000000-0005-0000-0000-00009D030000}"/>
    <cellStyle name="_Book2 2 4 2" xfId="933" xr:uid="{00000000-0005-0000-0000-00009E030000}"/>
    <cellStyle name="_Book2 2 5" xfId="934" xr:uid="{00000000-0005-0000-0000-00009F030000}"/>
    <cellStyle name="_Book2 2 5 2" xfId="935" xr:uid="{00000000-0005-0000-0000-0000A0030000}"/>
    <cellStyle name="_Book2 2 6" xfId="936" xr:uid="{00000000-0005-0000-0000-0000A1030000}"/>
    <cellStyle name="_Book2 2 6 2" xfId="937" xr:uid="{00000000-0005-0000-0000-0000A2030000}"/>
    <cellStyle name="_Book2 2 7" xfId="938" xr:uid="{00000000-0005-0000-0000-0000A3030000}"/>
    <cellStyle name="_Book2 2 7 2" xfId="939" xr:uid="{00000000-0005-0000-0000-0000A4030000}"/>
    <cellStyle name="_Book2 2 8" xfId="940" xr:uid="{00000000-0005-0000-0000-0000A5030000}"/>
    <cellStyle name="_Book2 2 8 2" xfId="941" xr:uid="{00000000-0005-0000-0000-0000A6030000}"/>
    <cellStyle name="_Book2 2 9" xfId="942" xr:uid="{00000000-0005-0000-0000-0000A7030000}"/>
    <cellStyle name="_Book2 2 9 2" xfId="943" xr:uid="{00000000-0005-0000-0000-0000A8030000}"/>
    <cellStyle name="_Book2 20" xfId="944" xr:uid="{00000000-0005-0000-0000-0000A9030000}"/>
    <cellStyle name="_Book2 21" xfId="945" xr:uid="{00000000-0005-0000-0000-0000AA030000}"/>
    <cellStyle name="_Book2 22" xfId="946" xr:uid="{00000000-0005-0000-0000-0000AB030000}"/>
    <cellStyle name="_Book2 23" xfId="947" xr:uid="{00000000-0005-0000-0000-0000AC030000}"/>
    <cellStyle name="_Book2 24" xfId="948" xr:uid="{00000000-0005-0000-0000-0000AD030000}"/>
    <cellStyle name="_Book2 25" xfId="949" xr:uid="{00000000-0005-0000-0000-0000AE030000}"/>
    <cellStyle name="_Book2 26" xfId="950" xr:uid="{00000000-0005-0000-0000-0000AF030000}"/>
    <cellStyle name="_Book2 27" xfId="951" xr:uid="{00000000-0005-0000-0000-0000B0030000}"/>
    <cellStyle name="_Book2 28" xfId="952" xr:uid="{00000000-0005-0000-0000-0000B1030000}"/>
    <cellStyle name="_Book2 29" xfId="953" xr:uid="{00000000-0005-0000-0000-0000B2030000}"/>
    <cellStyle name="_Book2 3" xfId="954" xr:uid="{00000000-0005-0000-0000-0000B3030000}"/>
    <cellStyle name="_x0013__Book2 3" xfId="955" xr:uid="{00000000-0005-0000-0000-0000B4030000}"/>
    <cellStyle name="_Book2 3 10" xfId="956" xr:uid="{00000000-0005-0000-0000-0000B5030000}"/>
    <cellStyle name="_Book2 3 10 2" xfId="957" xr:uid="{00000000-0005-0000-0000-0000B6030000}"/>
    <cellStyle name="_Book2 3 11" xfId="958" xr:uid="{00000000-0005-0000-0000-0000B7030000}"/>
    <cellStyle name="_Book2 3 11 2" xfId="959" xr:uid="{00000000-0005-0000-0000-0000B8030000}"/>
    <cellStyle name="_Book2 3 12" xfId="960" xr:uid="{00000000-0005-0000-0000-0000B9030000}"/>
    <cellStyle name="_Book2 3 12 2" xfId="961" xr:uid="{00000000-0005-0000-0000-0000BA030000}"/>
    <cellStyle name="_Book2 3 13" xfId="962" xr:uid="{00000000-0005-0000-0000-0000BB030000}"/>
    <cellStyle name="_Book2 3 13 2" xfId="963" xr:uid="{00000000-0005-0000-0000-0000BC030000}"/>
    <cellStyle name="_Book2 3 14" xfId="964" xr:uid="{00000000-0005-0000-0000-0000BD030000}"/>
    <cellStyle name="_Book2 3 14 2" xfId="965" xr:uid="{00000000-0005-0000-0000-0000BE030000}"/>
    <cellStyle name="_Book2 3 15" xfId="966" xr:uid="{00000000-0005-0000-0000-0000BF030000}"/>
    <cellStyle name="_Book2 3 15 2" xfId="967" xr:uid="{00000000-0005-0000-0000-0000C0030000}"/>
    <cellStyle name="_Book2 3 16" xfId="968" xr:uid="{00000000-0005-0000-0000-0000C1030000}"/>
    <cellStyle name="_Book2 3 16 2" xfId="969" xr:uid="{00000000-0005-0000-0000-0000C2030000}"/>
    <cellStyle name="_Book2 3 17" xfId="970" xr:uid="{00000000-0005-0000-0000-0000C3030000}"/>
    <cellStyle name="_Book2 3 17 2" xfId="971" xr:uid="{00000000-0005-0000-0000-0000C4030000}"/>
    <cellStyle name="_Book2 3 18" xfId="972" xr:uid="{00000000-0005-0000-0000-0000C5030000}"/>
    <cellStyle name="_Book2 3 18 2" xfId="973" xr:uid="{00000000-0005-0000-0000-0000C6030000}"/>
    <cellStyle name="_Book2 3 19" xfId="974" xr:uid="{00000000-0005-0000-0000-0000C7030000}"/>
    <cellStyle name="_Book2 3 19 2" xfId="975" xr:uid="{00000000-0005-0000-0000-0000C8030000}"/>
    <cellStyle name="_Book2 3 2" xfId="976" xr:uid="{00000000-0005-0000-0000-0000C9030000}"/>
    <cellStyle name="_x0013__Book2 3 2" xfId="977" xr:uid="{00000000-0005-0000-0000-0000CA030000}"/>
    <cellStyle name="_Book2 3 2 2" xfId="978" xr:uid="{00000000-0005-0000-0000-0000CB030000}"/>
    <cellStyle name="_Book2 3 20" xfId="979" xr:uid="{00000000-0005-0000-0000-0000CC030000}"/>
    <cellStyle name="_Book2 3 20 2" xfId="980" xr:uid="{00000000-0005-0000-0000-0000CD030000}"/>
    <cellStyle name="_Book2 3 21" xfId="981" xr:uid="{00000000-0005-0000-0000-0000CE030000}"/>
    <cellStyle name="_Book2 3 21 2" xfId="982" xr:uid="{00000000-0005-0000-0000-0000CF030000}"/>
    <cellStyle name="_Book2 3 22" xfId="983" xr:uid="{00000000-0005-0000-0000-0000D0030000}"/>
    <cellStyle name="_Book2 3 23" xfId="984" xr:uid="{00000000-0005-0000-0000-0000D1030000}"/>
    <cellStyle name="_Book2 3 24" xfId="985" xr:uid="{00000000-0005-0000-0000-0000D2030000}"/>
    <cellStyle name="_Book2 3 25" xfId="986" xr:uid="{00000000-0005-0000-0000-0000D3030000}"/>
    <cellStyle name="_Book2 3 26" xfId="987" xr:uid="{00000000-0005-0000-0000-0000D4030000}"/>
    <cellStyle name="_Book2 3 27" xfId="988" xr:uid="{00000000-0005-0000-0000-0000D5030000}"/>
    <cellStyle name="_Book2 3 28" xfId="989" xr:uid="{00000000-0005-0000-0000-0000D6030000}"/>
    <cellStyle name="_Book2 3 29" xfId="990" xr:uid="{00000000-0005-0000-0000-0000D7030000}"/>
    <cellStyle name="_Book2 3 3" xfId="991" xr:uid="{00000000-0005-0000-0000-0000D8030000}"/>
    <cellStyle name="_Book2 3 3 2" xfId="992" xr:uid="{00000000-0005-0000-0000-0000D9030000}"/>
    <cellStyle name="_Book2 3 30" xfId="993" xr:uid="{00000000-0005-0000-0000-0000DA030000}"/>
    <cellStyle name="_Book2 3 31" xfId="994" xr:uid="{00000000-0005-0000-0000-0000DB030000}"/>
    <cellStyle name="_Book2 3 32" xfId="995" xr:uid="{00000000-0005-0000-0000-0000DC030000}"/>
    <cellStyle name="_Book2 3 33" xfId="996" xr:uid="{00000000-0005-0000-0000-0000DD030000}"/>
    <cellStyle name="_Book2 3 34" xfId="997" xr:uid="{00000000-0005-0000-0000-0000DE030000}"/>
    <cellStyle name="_Book2 3 35" xfId="998" xr:uid="{00000000-0005-0000-0000-0000DF030000}"/>
    <cellStyle name="_Book2 3 36" xfId="999" xr:uid="{00000000-0005-0000-0000-0000E0030000}"/>
    <cellStyle name="_Book2 3 37" xfId="1000" xr:uid="{00000000-0005-0000-0000-0000E1030000}"/>
    <cellStyle name="_Book2 3 38" xfId="1001" xr:uid="{00000000-0005-0000-0000-0000E2030000}"/>
    <cellStyle name="_Book2 3 39" xfId="1002" xr:uid="{00000000-0005-0000-0000-0000E3030000}"/>
    <cellStyle name="_Book2 3 4" xfId="1003" xr:uid="{00000000-0005-0000-0000-0000E4030000}"/>
    <cellStyle name="_Book2 3 4 2" xfId="1004" xr:uid="{00000000-0005-0000-0000-0000E5030000}"/>
    <cellStyle name="_Book2 3 40" xfId="1005" xr:uid="{00000000-0005-0000-0000-0000E6030000}"/>
    <cellStyle name="_Book2 3 41" xfId="1006" xr:uid="{00000000-0005-0000-0000-0000E7030000}"/>
    <cellStyle name="_Book2 3 42" xfId="1007" xr:uid="{00000000-0005-0000-0000-0000E8030000}"/>
    <cellStyle name="_Book2 3 43" xfId="1008" xr:uid="{00000000-0005-0000-0000-0000E9030000}"/>
    <cellStyle name="_Book2 3 44" xfId="1009" xr:uid="{00000000-0005-0000-0000-0000EA030000}"/>
    <cellStyle name="_Book2 3 45" xfId="1010" xr:uid="{00000000-0005-0000-0000-0000EB030000}"/>
    <cellStyle name="_Book2 3 5" xfId="1011" xr:uid="{00000000-0005-0000-0000-0000EC030000}"/>
    <cellStyle name="_Book2 3 5 2" xfId="1012" xr:uid="{00000000-0005-0000-0000-0000ED030000}"/>
    <cellStyle name="_Book2 3 6" xfId="1013" xr:uid="{00000000-0005-0000-0000-0000EE030000}"/>
    <cellStyle name="_Book2 3 6 2" xfId="1014" xr:uid="{00000000-0005-0000-0000-0000EF030000}"/>
    <cellStyle name="_Book2 3 7" xfId="1015" xr:uid="{00000000-0005-0000-0000-0000F0030000}"/>
    <cellStyle name="_Book2 3 7 2" xfId="1016" xr:uid="{00000000-0005-0000-0000-0000F1030000}"/>
    <cellStyle name="_Book2 3 8" xfId="1017" xr:uid="{00000000-0005-0000-0000-0000F2030000}"/>
    <cellStyle name="_Book2 3 8 2" xfId="1018" xr:uid="{00000000-0005-0000-0000-0000F3030000}"/>
    <cellStyle name="_Book2 3 9" xfId="1019" xr:uid="{00000000-0005-0000-0000-0000F4030000}"/>
    <cellStyle name="_Book2 3 9 2" xfId="1020" xr:uid="{00000000-0005-0000-0000-0000F5030000}"/>
    <cellStyle name="_Book2 30" xfId="1021" xr:uid="{00000000-0005-0000-0000-0000F6030000}"/>
    <cellStyle name="_Book2 31" xfId="1022" xr:uid="{00000000-0005-0000-0000-0000F7030000}"/>
    <cellStyle name="_Book2 32" xfId="1023" xr:uid="{00000000-0005-0000-0000-0000F8030000}"/>
    <cellStyle name="_Book2 33" xfId="1024" xr:uid="{00000000-0005-0000-0000-0000F9030000}"/>
    <cellStyle name="_Book2 34" xfId="1025" xr:uid="{00000000-0005-0000-0000-0000FA030000}"/>
    <cellStyle name="_Book2 35" xfId="1026" xr:uid="{00000000-0005-0000-0000-0000FB030000}"/>
    <cellStyle name="_Book2 36" xfId="1027" xr:uid="{00000000-0005-0000-0000-0000FC030000}"/>
    <cellStyle name="_Book2 37" xfId="1028" xr:uid="{00000000-0005-0000-0000-0000FD030000}"/>
    <cellStyle name="_Book2 38" xfId="1029" xr:uid="{00000000-0005-0000-0000-0000FE030000}"/>
    <cellStyle name="_Book2 39" xfId="1030" xr:uid="{00000000-0005-0000-0000-0000FF030000}"/>
    <cellStyle name="_Book2 4" xfId="1031" xr:uid="{00000000-0005-0000-0000-000000040000}"/>
    <cellStyle name="_x0013__Book2 4" xfId="1032" xr:uid="{00000000-0005-0000-0000-000001040000}"/>
    <cellStyle name="_Book2 4 10" xfId="1033" xr:uid="{00000000-0005-0000-0000-000002040000}"/>
    <cellStyle name="_Book2 4 10 2" xfId="1034" xr:uid="{00000000-0005-0000-0000-000003040000}"/>
    <cellStyle name="_Book2 4 11" xfId="1035" xr:uid="{00000000-0005-0000-0000-000004040000}"/>
    <cellStyle name="_Book2 4 11 2" xfId="1036" xr:uid="{00000000-0005-0000-0000-000005040000}"/>
    <cellStyle name="_Book2 4 12" xfId="1037" xr:uid="{00000000-0005-0000-0000-000006040000}"/>
    <cellStyle name="_Book2 4 12 2" xfId="1038" xr:uid="{00000000-0005-0000-0000-000007040000}"/>
    <cellStyle name="_Book2 4 13" xfId="1039" xr:uid="{00000000-0005-0000-0000-000008040000}"/>
    <cellStyle name="_Book2 4 13 2" xfId="1040" xr:uid="{00000000-0005-0000-0000-000009040000}"/>
    <cellStyle name="_Book2 4 14" xfId="1041" xr:uid="{00000000-0005-0000-0000-00000A040000}"/>
    <cellStyle name="_Book2 4 14 2" xfId="1042" xr:uid="{00000000-0005-0000-0000-00000B040000}"/>
    <cellStyle name="_Book2 4 15" xfId="1043" xr:uid="{00000000-0005-0000-0000-00000C040000}"/>
    <cellStyle name="_Book2 4 15 2" xfId="1044" xr:uid="{00000000-0005-0000-0000-00000D040000}"/>
    <cellStyle name="_Book2 4 16" xfId="1045" xr:uid="{00000000-0005-0000-0000-00000E040000}"/>
    <cellStyle name="_Book2 4 16 2" xfId="1046" xr:uid="{00000000-0005-0000-0000-00000F040000}"/>
    <cellStyle name="_Book2 4 17" xfId="1047" xr:uid="{00000000-0005-0000-0000-000010040000}"/>
    <cellStyle name="_Book2 4 17 2" xfId="1048" xr:uid="{00000000-0005-0000-0000-000011040000}"/>
    <cellStyle name="_Book2 4 18" xfId="1049" xr:uid="{00000000-0005-0000-0000-000012040000}"/>
    <cellStyle name="_Book2 4 18 2" xfId="1050" xr:uid="{00000000-0005-0000-0000-000013040000}"/>
    <cellStyle name="_Book2 4 19" xfId="1051" xr:uid="{00000000-0005-0000-0000-000014040000}"/>
    <cellStyle name="_Book2 4 19 2" xfId="1052" xr:uid="{00000000-0005-0000-0000-000015040000}"/>
    <cellStyle name="_Book2 4 2" xfId="1053" xr:uid="{00000000-0005-0000-0000-000016040000}"/>
    <cellStyle name="_x0013__Book2 4 2" xfId="1054" xr:uid="{00000000-0005-0000-0000-000017040000}"/>
    <cellStyle name="_Book2 4 2 2" xfId="1055" xr:uid="{00000000-0005-0000-0000-000018040000}"/>
    <cellStyle name="_Book2 4 20" xfId="1056" xr:uid="{00000000-0005-0000-0000-000019040000}"/>
    <cellStyle name="_Book2 4 20 2" xfId="1057" xr:uid="{00000000-0005-0000-0000-00001A040000}"/>
    <cellStyle name="_Book2 4 21" xfId="1058" xr:uid="{00000000-0005-0000-0000-00001B040000}"/>
    <cellStyle name="_Book2 4 22" xfId="1059" xr:uid="{00000000-0005-0000-0000-00001C040000}"/>
    <cellStyle name="_Book2 4 23" xfId="1060" xr:uid="{00000000-0005-0000-0000-00001D040000}"/>
    <cellStyle name="_Book2 4 24" xfId="1061" xr:uid="{00000000-0005-0000-0000-00001E040000}"/>
    <cellStyle name="_Book2 4 25" xfId="1062" xr:uid="{00000000-0005-0000-0000-00001F040000}"/>
    <cellStyle name="_Book2 4 26" xfId="1063" xr:uid="{00000000-0005-0000-0000-000020040000}"/>
    <cellStyle name="_Book2 4 27" xfId="1064" xr:uid="{00000000-0005-0000-0000-000021040000}"/>
    <cellStyle name="_Book2 4 28" xfId="1065" xr:uid="{00000000-0005-0000-0000-000022040000}"/>
    <cellStyle name="_Book2 4 29" xfId="1066" xr:uid="{00000000-0005-0000-0000-000023040000}"/>
    <cellStyle name="_Book2 4 3" xfId="1067" xr:uid="{00000000-0005-0000-0000-000024040000}"/>
    <cellStyle name="_Book2 4 3 2" xfId="1068" xr:uid="{00000000-0005-0000-0000-000025040000}"/>
    <cellStyle name="_Book2 4 30" xfId="1069" xr:uid="{00000000-0005-0000-0000-000026040000}"/>
    <cellStyle name="_Book2 4 31" xfId="1070" xr:uid="{00000000-0005-0000-0000-000027040000}"/>
    <cellStyle name="_Book2 4 32" xfId="1071" xr:uid="{00000000-0005-0000-0000-000028040000}"/>
    <cellStyle name="_Book2 4 33" xfId="1072" xr:uid="{00000000-0005-0000-0000-000029040000}"/>
    <cellStyle name="_Book2 4 34" xfId="1073" xr:uid="{00000000-0005-0000-0000-00002A040000}"/>
    <cellStyle name="_Book2 4 35" xfId="1074" xr:uid="{00000000-0005-0000-0000-00002B040000}"/>
    <cellStyle name="_Book2 4 36" xfId="1075" xr:uid="{00000000-0005-0000-0000-00002C040000}"/>
    <cellStyle name="_Book2 4 37" xfId="1076" xr:uid="{00000000-0005-0000-0000-00002D040000}"/>
    <cellStyle name="_Book2 4 38" xfId="1077" xr:uid="{00000000-0005-0000-0000-00002E040000}"/>
    <cellStyle name="_Book2 4 39" xfId="1078" xr:uid="{00000000-0005-0000-0000-00002F040000}"/>
    <cellStyle name="_Book2 4 4" xfId="1079" xr:uid="{00000000-0005-0000-0000-000030040000}"/>
    <cellStyle name="_Book2 4 4 2" xfId="1080" xr:uid="{00000000-0005-0000-0000-000031040000}"/>
    <cellStyle name="_Book2 4 40" xfId="1081" xr:uid="{00000000-0005-0000-0000-000032040000}"/>
    <cellStyle name="_Book2 4 41" xfId="1082" xr:uid="{00000000-0005-0000-0000-000033040000}"/>
    <cellStyle name="_Book2 4 42" xfId="1083" xr:uid="{00000000-0005-0000-0000-000034040000}"/>
    <cellStyle name="_Book2 4 43" xfId="1084" xr:uid="{00000000-0005-0000-0000-000035040000}"/>
    <cellStyle name="_Book2 4 44" xfId="1085" xr:uid="{00000000-0005-0000-0000-000036040000}"/>
    <cellStyle name="_Book2 4 45" xfId="1086" xr:uid="{00000000-0005-0000-0000-000037040000}"/>
    <cellStyle name="_Book2 4 5" xfId="1087" xr:uid="{00000000-0005-0000-0000-000038040000}"/>
    <cellStyle name="_Book2 4 5 2" xfId="1088" xr:uid="{00000000-0005-0000-0000-000039040000}"/>
    <cellStyle name="_Book2 4 6" xfId="1089" xr:uid="{00000000-0005-0000-0000-00003A040000}"/>
    <cellStyle name="_Book2 4 6 2" xfId="1090" xr:uid="{00000000-0005-0000-0000-00003B040000}"/>
    <cellStyle name="_Book2 4 7" xfId="1091" xr:uid="{00000000-0005-0000-0000-00003C040000}"/>
    <cellStyle name="_Book2 4 7 2" xfId="1092" xr:uid="{00000000-0005-0000-0000-00003D040000}"/>
    <cellStyle name="_Book2 4 8" xfId="1093" xr:uid="{00000000-0005-0000-0000-00003E040000}"/>
    <cellStyle name="_Book2 4 8 2" xfId="1094" xr:uid="{00000000-0005-0000-0000-00003F040000}"/>
    <cellStyle name="_Book2 4 9" xfId="1095" xr:uid="{00000000-0005-0000-0000-000040040000}"/>
    <cellStyle name="_Book2 4 9 2" xfId="1096" xr:uid="{00000000-0005-0000-0000-000041040000}"/>
    <cellStyle name="_Book2 40" xfId="1097" xr:uid="{00000000-0005-0000-0000-000042040000}"/>
    <cellStyle name="_Book2 41" xfId="1098" xr:uid="{00000000-0005-0000-0000-000043040000}"/>
    <cellStyle name="_Book2 42" xfId="1099" xr:uid="{00000000-0005-0000-0000-000044040000}"/>
    <cellStyle name="_Book2 43" xfId="1100" xr:uid="{00000000-0005-0000-0000-000045040000}"/>
    <cellStyle name="_Book2 44" xfId="1101" xr:uid="{00000000-0005-0000-0000-000046040000}"/>
    <cellStyle name="_Book2 45" xfId="1102" xr:uid="{00000000-0005-0000-0000-000047040000}"/>
    <cellStyle name="_Book2 46" xfId="1103" xr:uid="{00000000-0005-0000-0000-000048040000}"/>
    <cellStyle name="_Book2 47" xfId="1104" xr:uid="{00000000-0005-0000-0000-000049040000}"/>
    <cellStyle name="_Book2 48" xfId="1105" xr:uid="{00000000-0005-0000-0000-00004A040000}"/>
    <cellStyle name="_Book2 49" xfId="1106" xr:uid="{00000000-0005-0000-0000-00004B040000}"/>
    <cellStyle name="_Book2 5" xfId="1107" xr:uid="{00000000-0005-0000-0000-00004C040000}"/>
    <cellStyle name="_x0013__Book2 5" xfId="1108" xr:uid="{00000000-0005-0000-0000-00004D040000}"/>
    <cellStyle name="_Book2 5 2" xfId="1109" xr:uid="{00000000-0005-0000-0000-00004E040000}"/>
    <cellStyle name="_x0013__Book2 5 2" xfId="1110" xr:uid="{00000000-0005-0000-0000-00004F040000}"/>
    <cellStyle name="_Book2 5 2 2" xfId="1111" xr:uid="{00000000-0005-0000-0000-000050040000}"/>
    <cellStyle name="_Book2 5 3" xfId="1112" xr:uid="{00000000-0005-0000-0000-000051040000}"/>
    <cellStyle name="_Book2 5 3 2" xfId="1113" xr:uid="{00000000-0005-0000-0000-000052040000}"/>
    <cellStyle name="_Book2 5 4" xfId="1114" xr:uid="{00000000-0005-0000-0000-000053040000}"/>
    <cellStyle name="_Book2 5 4 2" xfId="1115" xr:uid="{00000000-0005-0000-0000-000054040000}"/>
    <cellStyle name="_Book2 5 5" xfId="1116" xr:uid="{00000000-0005-0000-0000-000055040000}"/>
    <cellStyle name="_Book2 5 5 2" xfId="1117" xr:uid="{00000000-0005-0000-0000-000056040000}"/>
    <cellStyle name="_Book2 5 6" xfId="1118" xr:uid="{00000000-0005-0000-0000-000057040000}"/>
    <cellStyle name="_Book2 5 6 2" xfId="1119" xr:uid="{00000000-0005-0000-0000-000058040000}"/>
    <cellStyle name="_Book2 5 7" xfId="1120" xr:uid="{00000000-0005-0000-0000-000059040000}"/>
    <cellStyle name="_Book2 50" xfId="1121" xr:uid="{00000000-0005-0000-0000-00005A040000}"/>
    <cellStyle name="_Book2 51" xfId="1122" xr:uid="{00000000-0005-0000-0000-00005B040000}"/>
    <cellStyle name="_Book2 52" xfId="1123" xr:uid="{00000000-0005-0000-0000-00005C040000}"/>
    <cellStyle name="_Book2 53" xfId="1124" xr:uid="{00000000-0005-0000-0000-00005D040000}"/>
    <cellStyle name="_Book2 54" xfId="1125" xr:uid="{00000000-0005-0000-0000-00005E040000}"/>
    <cellStyle name="_Book2 55" xfId="1126" xr:uid="{00000000-0005-0000-0000-00005F040000}"/>
    <cellStyle name="_Book2 6" xfId="1127" xr:uid="{00000000-0005-0000-0000-000060040000}"/>
    <cellStyle name="_x0013__Book2 6" xfId="1128" xr:uid="{00000000-0005-0000-0000-000061040000}"/>
    <cellStyle name="_Book2 6 2" xfId="1129" xr:uid="{00000000-0005-0000-0000-000062040000}"/>
    <cellStyle name="_x0013__Book2 6 2" xfId="1130" xr:uid="{00000000-0005-0000-0000-000063040000}"/>
    <cellStyle name="_Book2 7" xfId="1131" xr:uid="{00000000-0005-0000-0000-000064040000}"/>
    <cellStyle name="_x0013__Book2 7" xfId="1132" xr:uid="{00000000-0005-0000-0000-000065040000}"/>
    <cellStyle name="_Book2 7 2" xfId="1133" xr:uid="{00000000-0005-0000-0000-000066040000}"/>
    <cellStyle name="_x0013__Book2 7 2" xfId="1134" xr:uid="{00000000-0005-0000-0000-000067040000}"/>
    <cellStyle name="_Book2 8" xfId="1135" xr:uid="{00000000-0005-0000-0000-000068040000}"/>
    <cellStyle name="_x0013__Book2 8" xfId="1136" xr:uid="{00000000-0005-0000-0000-000069040000}"/>
    <cellStyle name="_Book2 8 2" xfId="1137" xr:uid="{00000000-0005-0000-0000-00006A040000}"/>
    <cellStyle name="_x0013__Book2 8 2" xfId="1138" xr:uid="{00000000-0005-0000-0000-00006B040000}"/>
    <cellStyle name="_Book2 9" xfId="1139" xr:uid="{00000000-0005-0000-0000-00006C040000}"/>
    <cellStyle name="_x0013__Book2 9" xfId="1140" xr:uid="{00000000-0005-0000-0000-00006D040000}"/>
    <cellStyle name="_Book2 9 2" xfId="1141" xr:uid="{00000000-0005-0000-0000-00006E040000}"/>
    <cellStyle name="_x0013__Book2 9 2" xfId="1142" xr:uid="{00000000-0005-0000-0000-00006F040000}"/>
    <cellStyle name="_Book2_04 07E Wild Horse Wind Expansion (C) (2)" xfId="1143" xr:uid="{00000000-0005-0000-0000-000070040000}"/>
    <cellStyle name="_Book2_04 07E Wild Horse Wind Expansion (C) (2) 2" xfId="1144" xr:uid="{00000000-0005-0000-0000-000071040000}"/>
    <cellStyle name="_Book2_04 07E Wild Horse Wind Expansion (C) (2) 2 2" xfId="1145" xr:uid="{00000000-0005-0000-0000-000072040000}"/>
    <cellStyle name="_Book2_04 07E Wild Horse Wind Expansion (C) (2) 3" xfId="1146" xr:uid="{00000000-0005-0000-0000-000073040000}"/>
    <cellStyle name="_Book2_04 07E Wild Horse Wind Expansion (C) (2)_Adj Bench DR 3 for Initial Briefs (Electric)" xfId="1147" xr:uid="{00000000-0005-0000-0000-000074040000}"/>
    <cellStyle name="_Book2_04 07E Wild Horse Wind Expansion (C) (2)_Adj Bench DR 3 for Initial Briefs (Electric) 2" xfId="1148" xr:uid="{00000000-0005-0000-0000-000075040000}"/>
    <cellStyle name="_Book2_04 07E Wild Horse Wind Expansion (C) (2)_Adj Bench DR 3 for Initial Briefs (Electric) 2 2" xfId="1149" xr:uid="{00000000-0005-0000-0000-000076040000}"/>
    <cellStyle name="_Book2_04 07E Wild Horse Wind Expansion (C) (2)_Adj Bench DR 3 for Initial Briefs (Electric) 3" xfId="1150" xr:uid="{00000000-0005-0000-0000-000077040000}"/>
    <cellStyle name="_Book2_04 07E Wild Horse Wind Expansion (C) (2)_Book1" xfId="1151" xr:uid="{00000000-0005-0000-0000-000078040000}"/>
    <cellStyle name="_Book2_04 07E Wild Horse Wind Expansion (C) (2)_Electric Rev Req Model (2009 GRC) " xfId="1152" xr:uid="{00000000-0005-0000-0000-000079040000}"/>
    <cellStyle name="_Book2_04 07E Wild Horse Wind Expansion (C) (2)_Electric Rev Req Model (2009 GRC)  2" xfId="1153" xr:uid="{00000000-0005-0000-0000-00007A040000}"/>
    <cellStyle name="_Book2_04 07E Wild Horse Wind Expansion (C) (2)_Electric Rev Req Model (2009 GRC)  2 2" xfId="1154" xr:uid="{00000000-0005-0000-0000-00007B040000}"/>
    <cellStyle name="_Book2_04 07E Wild Horse Wind Expansion (C) (2)_Electric Rev Req Model (2009 GRC)  3" xfId="1155" xr:uid="{00000000-0005-0000-0000-00007C040000}"/>
    <cellStyle name="_Book2_04 07E Wild Horse Wind Expansion (C) (2)_Electric Rev Req Model (2009 GRC) Rebuttal" xfId="1156" xr:uid="{00000000-0005-0000-0000-00007D040000}"/>
    <cellStyle name="_Book2_04 07E Wild Horse Wind Expansion (C) (2)_Electric Rev Req Model (2009 GRC) Rebuttal 2" xfId="1157" xr:uid="{00000000-0005-0000-0000-00007E040000}"/>
    <cellStyle name="_Book2_04 07E Wild Horse Wind Expansion (C) (2)_Electric Rev Req Model (2009 GRC) Rebuttal 2 2" xfId="1158" xr:uid="{00000000-0005-0000-0000-00007F040000}"/>
    <cellStyle name="_Book2_04 07E Wild Horse Wind Expansion (C) (2)_Electric Rev Req Model (2009 GRC) Rebuttal 3" xfId="1159" xr:uid="{00000000-0005-0000-0000-000080040000}"/>
    <cellStyle name="_Book2_04 07E Wild Horse Wind Expansion (C) (2)_Electric Rev Req Model (2009 GRC) Rebuttal REmoval of New  WH Solar AdjustMI" xfId="1160" xr:uid="{00000000-0005-0000-0000-000081040000}"/>
    <cellStyle name="_Book2_04 07E Wild Horse Wind Expansion (C) (2)_Electric Rev Req Model (2009 GRC) Rebuttal REmoval of New  WH Solar AdjustMI 2" xfId="1161" xr:uid="{00000000-0005-0000-0000-000082040000}"/>
    <cellStyle name="_Book2_04 07E Wild Horse Wind Expansion (C) (2)_Electric Rev Req Model (2009 GRC) Rebuttal REmoval of New  WH Solar AdjustMI 2 2" xfId="1162" xr:uid="{00000000-0005-0000-0000-000083040000}"/>
    <cellStyle name="_Book2_04 07E Wild Horse Wind Expansion (C) (2)_Electric Rev Req Model (2009 GRC) Rebuttal REmoval of New  WH Solar AdjustMI 3" xfId="1163" xr:uid="{00000000-0005-0000-0000-000084040000}"/>
    <cellStyle name="_Book2_04 07E Wild Horse Wind Expansion (C) (2)_Electric Rev Req Model (2009 GRC) Revised 01-18-2010" xfId="1164" xr:uid="{00000000-0005-0000-0000-000085040000}"/>
    <cellStyle name="_Book2_04 07E Wild Horse Wind Expansion (C) (2)_Electric Rev Req Model (2009 GRC) Revised 01-18-2010 2" xfId="1165" xr:uid="{00000000-0005-0000-0000-000086040000}"/>
    <cellStyle name="_Book2_04 07E Wild Horse Wind Expansion (C) (2)_Electric Rev Req Model (2009 GRC) Revised 01-18-2010 2 2" xfId="1166" xr:uid="{00000000-0005-0000-0000-000087040000}"/>
    <cellStyle name="_Book2_04 07E Wild Horse Wind Expansion (C) (2)_Electric Rev Req Model (2009 GRC) Revised 01-18-2010 3" xfId="1167" xr:uid="{00000000-0005-0000-0000-000088040000}"/>
    <cellStyle name="_Book2_04 07E Wild Horse Wind Expansion (C) (2)_Electric Rev Req Model (2010 GRC)" xfId="1168" xr:uid="{00000000-0005-0000-0000-000089040000}"/>
    <cellStyle name="_Book2_04 07E Wild Horse Wind Expansion (C) (2)_Electric Rev Req Model (2010 GRC) SF" xfId="1169" xr:uid="{00000000-0005-0000-0000-00008A040000}"/>
    <cellStyle name="_Book2_04 07E Wild Horse Wind Expansion (C) (2)_Final Order Electric EXHIBIT A-1" xfId="1170" xr:uid="{00000000-0005-0000-0000-00008B040000}"/>
    <cellStyle name="_Book2_04 07E Wild Horse Wind Expansion (C) (2)_Final Order Electric EXHIBIT A-1 2" xfId="1171" xr:uid="{00000000-0005-0000-0000-00008C040000}"/>
    <cellStyle name="_Book2_04 07E Wild Horse Wind Expansion (C) (2)_Final Order Electric EXHIBIT A-1 2 2" xfId="1172" xr:uid="{00000000-0005-0000-0000-00008D040000}"/>
    <cellStyle name="_Book2_04 07E Wild Horse Wind Expansion (C) (2)_Final Order Electric EXHIBIT A-1 3" xfId="1173" xr:uid="{00000000-0005-0000-0000-00008E040000}"/>
    <cellStyle name="_Book2_04 07E Wild Horse Wind Expansion (C) (2)_TENASKA REGULATORY ASSET" xfId="1174" xr:uid="{00000000-0005-0000-0000-00008F040000}"/>
    <cellStyle name="_Book2_04 07E Wild Horse Wind Expansion (C) (2)_TENASKA REGULATORY ASSET 2" xfId="1175" xr:uid="{00000000-0005-0000-0000-000090040000}"/>
    <cellStyle name="_Book2_04 07E Wild Horse Wind Expansion (C) (2)_TENASKA REGULATORY ASSET 2 2" xfId="1176" xr:uid="{00000000-0005-0000-0000-000091040000}"/>
    <cellStyle name="_Book2_04 07E Wild Horse Wind Expansion (C) (2)_TENASKA REGULATORY ASSET 3" xfId="1177" xr:uid="{00000000-0005-0000-0000-000092040000}"/>
    <cellStyle name="_Book2_16.37E Wild Horse Expansion DeferralRevwrkingfile SF" xfId="1178" xr:uid="{00000000-0005-0000-0000-000093040000}"/>
    <cellStyle name="_Book2_16.37E Wild Horse Expansion DeferralRevwrkingfile SF 2" xfId="1179" xr:uid="{00000000-0005-0000-0000-000094040000}"/>
    <cellStyle name="_Book2_16.37E Wild Horse Expansion DeferralRevwrkingfile SF 2 2" xfId="1180" xr:uid="{00000000-0005-0000-0000-000095040000}"/>
    <cellStyle name="_Book2_16.37E Wild Horse Expansion DeferralRevwrkingfile SF 3" xfId="1181" xr:uid="{00000000-0005-0000-0000-000096040000}"/>
    <cellStyle name="_Book2_2009 Compliance Filing PCA Exhibits for GRC" xfId="1182" xr:uid="{00000000-0005-0000-0000-000097040000}"/>
    <cellStyle name="_Book2_2009 GRC Compl Filing - Exhibit D" xfId="1183" xr:uid="{00000000-0005-0000-0000-000098040000}"/>
    <cellStyle name="_Book2_2009 GRC Compl Filing - Exhibit D 2" xfId="1184" xr:uid="{00000000-0005-0000-0000-000099040000}"/>
    <cellStyle name="_Book2_3.01 Income Statement" xfId="1185" xr:uid="{00000000-0005-0000-0000-00009A040000}"/>
    <cellStyle name="_Book2_4 31 Regulatory Assets and Liabilities  7 06- Exhibit D" xfId="1186" xr:uid="{00000000-0005-0000-0000-00009B040000}"/>
    <cellStyle name="_Book2_4 31 Regulatory Assets and Liabilities  7 06- Exhibit D 2" xfId="1187" xr:uid="{00000000-0005-0000-0000-00009C040000}"/>
    <cellStyle name="_Book2_4 31 Regulatory Assets and Liabilities  7 06- Exhibit D 2 2" xfId="1188" xr:uid="{00000000-0005-0000-0000-00009D040000}"/>
    <cellStyle name="_Book2_4 31 Regulatory Assets and Liabilities  7 06- Exhibit D 3" xfId="1189" xr:uid="{00000000-0005-0000-0000-00009E040000}"/>
    <cellStyle name="_Book2_4 31 Regulatory Assets and Liabilities  7 06- Exhibit D_NIM Summary" xfId="1190" xr:uid="{00000000-0005-0000-0000-00009F040000}"/>
    <cellStyle name="_Book2_4 31 Regulatory Assets and Liabilities  7 06- Exhibit D_NIM Summary 2" xfId="1191" xr:uid="{00000000-0005-0000-0000-0000A0040000}"/>
    <cellStyle name="_Book2_4 32 Regulatory Assets and Liabilities  7 06- Exhibit D" xfId="1192" xr:uid="{00000000-0005-0000-0000-0000A1040000}"/>
    <cellStyle name="_Book2_4 32 Regulatory Assets and Liabilities  7 06- Exhibit D 2" xfId="1193" xr:uid="{00000000-0005-0000-0000-0000A2040000}"/>
    <cellStyle name="_Book2_4 32 Regulatory Assets and Liabilities  7 06- Exhibit D 2 2" xfId="1194" xr:uid="{00000000-0005-0000-0000-0000A3040000}"/>
    <cellStyle name="_Book2_4 32 Regulatory Assets and Liabilities  7 06- Exhibit D 3" xfId="1195" xr:uid="{00000000-0005-0000-0000-0000A4040000}"/>
    <cellStyle name="_Book2_4 32 Regulatory Assets and Liabilities  7 06- Exhibit D_NIM Summary" xfId="1196" xr:uid="{00000000-0005-0000-0000-0000A5040000}"/>
    <cellStyle name="_Book2_4 32 Regulatory Assets and Liabilities  7 06- Exhibit D_NIM Summary 2" xfId="1197" xr:uid="{00000000-0005-0000-0000-0000A6040000}"/>
    <cellStyle name="_Book2_ACCOUNTS" xfId="1198" xr:uid="{00000000-0005-0000-0000-0000A7040000}"/>
    <cellStyle name="_x0013__Book2_Adj Bench DR 3 for Initial Briefs (Electric)" xfId="1199" xr:uid="{00000000-0005-0000-0000-0000A8040000}"/>
    <cellStyle name="_x0013__Book2_Adj Bench DR 3 for Initial Briefs (Electric) 2" xfId="1200" xr:uid="{00000000-0005-0000-0000-0000A9040000}"/>
    <cellStyle name="_x0013__Book2_Adj Bench DR 3 for Initial Briefs (Electric) 2 2" xfId="1201" xr:uid="{00000000-0005-0000-0000-0000AA040000}"/>
    <cellStyle name="_x0013__Book2_Adj Bench DR 3 for Initial Briefs (Electric) 3" xfId="1202" xr:uid="{00000000-0005-0000-0000-0000AB040000}"/>
    <cellStyle name="_Book2_AURORA Total New" xfId="1203" xr:uid="{00000000-0005-0000-0000-0000AC040000}"/>
    <cellStyle name="_Book2_AURORA Total New 2" xfId="1204" xr:uid="{00000000-0005-0000-0000-0000AD040000}"/>
    <cellStyle name="_Book2_Book2" xfId="1205" xr:uid="{00000000-0005-0000-0000-0000AE040000}"/>
    <cellStyle name="_Book2_Book2 2" xfId="1206" xr:uid="{00000000-0005-0000-0000-0000AF040000}"/>
    <cellStyle name="_Book2_Book2 2 2" xfId="1207" xr:uid="{00000000-0005-0000-0000-0000B0040000}"/>
    <cellStyle name="_Book2_Book2 3" xfId="1208" xr:uid="{00000000-0005-0000-0000-0000B1040000}"/>
    <cellStyle name="_Book2_Book2_Adj Bench DR 3 for Initial Briefs (Electric)" xfId="1209" xr:uid="{00000000-0005-0000-0000-0000B2040000}"/>
    <cellStyle name="_Book2_Book2_Adj Bench DR 3 for Initial Briefs (Electric) 2" xfId="1210" xr:uid="{00000000-0005-0000-0000-0000B3040000}"/>
    <cellStyle name="_Book2_Book2_Adj Bench DR 3 for Initial Briefs (Electric) 2 2" xfId="1211" xr:uid="{00000000-0005-0000-0000-0000B4040000}"/>
    <cellStyle name="_Book2_Book2_Adj Bench DR 3 for Initial Briefs (Electric) 3" xfId="1212" xr:uid="{00000000-0005-0000-0000-0000B5040000}"/>
    <cellStyle name="_Book2_Book2_Electric Rev Req Model (2009 GRC) Rebuttal" xfId="1213" xr:uid="{00000000-0005-0000-0000-0000B6040000}"/>
    <cellStyle name="_Book2_Book2_Electric Rev Req Model (2009 GRC) Rebuttal 2" xfId="1214" xr:uid="{00000000-0005-0000-0000-0000B7040000}"/>
    <cellStyle name="_Book2_Book2_Electric Rev Req Model (2009 GRC) Rebuttal 2 2" xfId="1215" xr:uid="{00000000-0005-0000-0000-0000B8040000}"/>
    <cellStyle name="_Book2_Book2_Electric Rev Req Model (2009 GRC) Rebuttal 3" xfId="1216" xr:uid="{00000000-0005-0000-0000-0000B9040000}"/>
    <cellStyle name="_Book2_Book2_Electric Rev Req Model (2009 GRC) Rebuttal REmoval of New  WH Solar AdjustMI" xfId="1217" xr:uid="{00000000-0005-0000-0000-0000BA040000}"/>
    <cellStyle name="_Book2_Book2_Electric Rev Req Model (2009 GRC) Rebuttal REmoval of New  WH Solar AdjustMI 2" xfId="1218" xr:uid="{00000000-0005-0000-0000-0000BB040000}"/>
    <cellStyle name="_Book2_Book2_Electric Rev Req Model (2009 GRC) Rebuttal REmoval of New  WH Solar AdjustMI 2 2" xfId="1219" xr:uid="{00000000-0005-0000-0000-0000BC040000}"/>
    <cellStyle name="_Book2_Book2_Electric Rev Req Model (2009 GRC) Rebuttal REmoval of New  WH Solar AdjustMI 3" xfId="1220" xr:uid="{00000000-0005-0000-0000-0000BD040000}"/>
    <cellStyle name="_Book2_Book2_Electric Rev Req Model (2009 GRC) Revised 01-18-2010" xfId="1221" xr:uid="{00000000-0005-0000-0000-0000BE040000}"/>
    <cellStyle name="_Book2_Book2_Electric Rev Req Model (2009 GRC) Revised 01-18-2010 2" xfId="1222" xr:uid="{00000000-0005-0000-0000-0000BF040000}"/>
    <cellStyle name="_Book2_Book2_Electric Rev Req Model (2009 GRC) Revised 01-18-2010 2 2" xfId="1223" xr:uid="{00000000-0005-0000-0000-0000C0040000}"/>
    <cellStyle name="_Book2_Book2_Electric Rev Req Model (2009 GRC) Revised 01-18-2010 3" xfId="1224" xr:uid="{00000000-0005-0000-0000-0000C1040000}"/>
    <cellStyle name="_Book2_Book2_Final Order Electric EXHIBIT A-1" xfId="1225" xr:uid="{00000000-0005-0000-0000-0000C2040000}"/>
    <cellStyle name="_Book2_Book2_Final Order Electric EXHIBIT A-1 2" xfId="1226" xr:uid="{00000000-0005-0000-0000-0000C3040000}"/>
    <cellStyle name="_Book2_Book2_Final Order Electric EXHIBIT A-1 2 2" xfId="1227" xr:uid="{00000000-0005-0000-0000-0000C4040000}"/>
    <cellStyle name="_Book2_Book2_Final Order Electric EXHIBIT A-1 3" xfId="1228" xr:uid="{00000000-0005-0000-0000-0000C5040000}"/>
    <cellStyle name="_Book2_Book4" xfId="1229" xr:uid="{00000000-0005-0000-0000-0000C6040000}"/>
    <cellStyle name="_Book2_Book4 2" xfId="1230" xr:uid="{00000000-0005-0000-0000-0000C7040000}"/>
    <cellStyle name="_Book2_Book4 2 2" xfId="1231" xr:uid="{00000000-0005-0000-0000-0000C8040000}"/>
    <cellStyle name="_Book2_Book4 3" xfId="1232" xr:uid="{00000000-0005-0000-0000-0000C9040000}"/>
    <cellStyle name="_Book2_Book9" xfId="1233" xr:uid="{00000000-0005-0000-0000-0000CA040000}"/>
    <cellStyle name="_Book2_Book9 2" xfId="1234" xr:uid="{00000000-0005-0000-0000-0000CB040000}"/>
    <cellStyle name="_Book2_Book9 2 2" xfId="1235" xr:uid="{00000000-0005-0000-0000-0000CC040000}"/>
    <cellStyle name="_Book2_Book9 3" xfId="1236" xr:uid="{00000000-0005-0000-0000-0000CD040000}"/>
    <cellStyle name="_Book2_Check the Interest Calculation" xfId="1237" xr:uid="{00000000-0005-0000-0000-0000CE040000}"/>
    <cellStyle name="_Book2_Check the Interest Calculation_Scenario 1 REC vs PTC Offset" xfId="1238" xr:uid="{00000000-0005-0000-0000-0000CF040000}"/>
    <cellStyle name="_Book2_Check the Interest Calculation_Scenario 3" xfId="1239" xr:uid="{00000000-0005-0000-0000-0000D0040000}"/>
    <cellStyle name="_Book2_Chelan PUD Power Costs (8-10)" xfId="1240" xr:uid="{00000000-0005-0000-0000-0000D1040000}"/>
    <cellStyle name="_x0013__Book2_Electric Rev Req Model (2009 GRC) Rebuttal" xfId="1241" xr:uid="{00000000-0005-0000-0000-0000D2040000}"/>
    <cellStyle name="_x0013__Book2_Electric Rev Req Model (2009 GRC) Rebuttal 2" xfId="1242" xr:uid="{00000000-0005-0000-0000-0000D3040000}"/>
    <cellStyle name="_x0013__Book2_Electric Rev Req Model (2009 GRC) Rebuttal 2 2" xfId="1243" xr:uid="{00000000-0005-0000-0000-0000D4040000}"/>
    <cellStyle name="_x0013__Book2_Electric Rev Req Model (2009 GRC) Rebuttal 3" xfId="1244" xr:uid="{00000000-0005-0000-0000-0000D5040000}"/>
    <cellStyle name="_x0013__Book2_Electric Rev Req Model (2009 GRC) Rebuttal REmoval of New  WH Solar AdjustMI" xfId="1245" xr:uid="{00000000-0005-0000-0000-0000D6040000}"/>
    <cellStyle name="_x0013__Book2_Electric Rev Req Model (2009 GRC) Rebuttal REmoval of New  WH Solar AdjustMI 2" xfId="1246" xr:uid="{00000000-0005-0000-0000-0000D7040000}"/>
    <cellStyle name="_x0013__Book2_Electric Rev Req Model (2009 GRC) Rebuttal REmoval of New  WH Solar AdjustMI 2 2" xfId="1247" xr:uid="{00000000-0005-0000-0000-0000D8040000}"/>
    <cellStyle name="_x0013__Book2_Electric Rev Req Model (2009 GRC) Rebuttal REmoval of New  WH Solar AdjustMI 3" xfId="1248" xr:uid="{00000000-0005-0000-0000-0000D9040000}"/>
    <cellStyle name="_x0013__Book2_Electric Rev Req Model (2009 GRC) Revised 01-18-2010" xfId="1249" xr:uid="{00000000-0005-0000-0000-0000DA040000}"/>
    <cellStyle name="_x0013__Book2_Electric Rev Req Model (2009 GRC) Revised 01-18-2010 2" xfId="1250" xr:uid="{00000000-0005-0000-0000-0000DB040000}"/>
    <cellStyle name="_x0013__Book2_Electric Rev Req Model (2009 GRC) Revised 01-18-2010 2 2" xfId="1251" xr:uid="{00000000-0005-0000-0000-0000DC040000}"/>
    <cellStyle name="_x0013__Book2_Electric Rev Req Model (2009 GRC) Revised 01-18-2010 3" xfId="1252" xr:uid="{00000000-0005-0000-0000-0000DD040000}"/>
    <cellStyle name="_x0013__Book2_Final Order Electric EXHIBIT A-1" xfId="1253" xr:uid="{00000000-0005-0000-0000-0000DE040000}"/>
    <cellStyle name="_x0013__Book2_Final Order Electric EXHIBIT A-1 2" xfId="1254" xr:uid="{00000000-0005-0000-0000-0000DF040000}"/>
    <cellStyle name="_x0013__Book2_Final Order Electric EXHIBIT A-1 2 2" xfId="1255" xr:uid="{00000000-0005-0000-0000-0000E0040000}"/>
    <cellStyle name="_x0013__Book2_Final Order Electric EXHIBIT A-1 3" xfId="1256" xr:uid="{00000000-0005-0000-0000-0000E1040000}"/>
    <cellStyle name="_Book2_Gas Rev Req Model (2010 GRC)" xfId="1257" xr:uid="{00000000-0005-0000-0000-0000E2040000}"/>
    <cellStyle name="_Book2_INPUTS" xfId="1258" xr:uid="{00000000-0005-0000-0000-0000E3040000}"/>
    <cellStyle name="_Book2_INPUTS 2" xfId="1259" xr:uid="{00000000-0005-0000-0000-0000E4040000}"/>
    <cellStyle name="_Book2_INPUTS 2 2" xfId="1260" xr:uid="{00000000-0005-0000-0000-0000E5040000}"/>
    <cellStyle name="_Book2_INPUTS 3" xfId="1261" xr:uid="{00000000-0005-0000-0000-0000E6040000}"/>
    <cellStyle name="_Book2_NIM Summary" xfId="1262" xr:uid="{00000000-0005-0000-0000-0000E7040000}"/>
    <cellStyle name="_Book2_NIM Summary 09GRC" xfId="1263" xr:uid="{00000000-0005-0000-0000-0000E8040000}"/>
    <cellStyle name="_Book2_NIM Summary 09GRC 2" xfId="1264" xr:uid="{00000000-0005-0000-0000-0000E9040000}"/>
    <cellStyle name="_Book2_NIM Summary 2" xfId="1265" xr:uid="{00000000-0005-0000-0000-0000EA040000}"/>
    <cellStyle name="_Book2_NIM Summary 3" xfId="1266" xr:uid="{00000000-0005-0000-0000-0000EB040000}"/>
    <cellStyle name="_Book2_NIM Summary 4" xfId="1267" xr:uid="{00000000-0005-0000-0000-0000EC040000}"/>
    <cellStyle name="_Book2_NIM Summary 5" xfId="1268" xr:uid="{00000000-0005-0000-0000-0000ED040000}"/>
    <cellStyle name="_Book2_NIM Summary 6" xfId="1269" xr:uid="{00000000-0005-0000-0000-0000EE040000}"/>
    <cellStyle name="_Book2_NIM Summary 7" xfId="1270" xr:uid="{00000000-0005-0000-0000-0000EF040000}"/>
    <cellStyle name="_Book2_NIM Summary 8" xfId="1271" xr:uid="{00000000-0005-0000-0000-0000F0040000}"/>
    <cellStyle name="_Book2_NIM Summary 9" xfId="1272" xr:uid="{00000000-0005-0000-0000-0000F1040000}"/>
    <cellStyle name="_Book2_PCA 10 -  Exhibit D from A Kellogg Jan 2011" xfId="1273" xr:uid="{00000000-0005-0000-0000-0000F2040000}"/>
    <cellStyle name="_Book2_PCA 10 -  Exhibit D from A Kellogg July 2011" xfId="1274" xr:uid="{00000000-0005-0000-0000-0000F3040000}"/>
    <cellStyle name="_Book2_PCA 10 -  Exhibit D from S Free Rcv'd 12-11" xfId="1275" xr:uid="{00000000-0005-0000-0000-0000F4040000}"/>
    <cellStyle name="_Book2_PCA 9 -  Exhibit D April 2010" xfId="1276" xr:uid="{00000000-0005-0000-0000-0000F5040000}"/>
    <cellStyle name="_Book2_PCA 9 -  Exhibit D April 2010 (3)" xfId="1277" xr:uid="{00000000-0005-0000-0000-0000F6040000}"/>
    <cellStyle name="_Book2_PCA 9 -  Exhibit D April 2010 (3) 2" xfId="1278" xr:uid="{00000000-0005-0000-0000-0000F7040000}"/>
    <cellStyle name="_Book2_PCA 9 -  Exhibit D Nov 2010" xfId="1279" xr:uid="{00000000-0005-0000-0000-0000F8040000}"/>
    <cellStyle name="_Book2_PCA 9 - Exhibit D at August 2010" xfId="1280" xr:uid="{00000000-0005-0000-0000-0000F9040000}"/>
    <cellStyle name="_Book2_PCA 9 - Exhibit D June 2010 GRC" xfId="1281" xr:uid="{00000000-0005-0000-0000-0000FA040000}"/>
    <cellStyle name="_Book2_Power Costs - Comparison bx Rbtl-Staff-Jt-PC" xfId="1282" xr:uid="{00000000-0005-0000-0000-0000FB040000}"/>
    <cellStyle name="_Book2_Power Costs - Comparison bx Rbtl-Staff-Jt-PC 2" xfId="1283" xr:uid="{00000000-0005-0000-0000-0000FC040000}"/>
    <cellStyle name="_Book2_Power Costs - Comparison bx Rbtl-Staff-Jt-PC 2 2" xfId="1284" xr:uid="{00000000-0005-0000-0000-0000FD040000}"/>
    <cellStyle name="_Book2_Power Costs - Comparison bx Rbtl-Staff-Jt-PC 3" xfId="1285" xr:uid="{00000000-0005-0000-0000-0000FE040000}"/>
    <cellStyle name="_Book2_Power Costs - Comparison bx Rbtl-Staff-Jt-PC_Adj Bench DR 3 for Initial Briefs (Electric)" xfId="1286" xr:uid="{00000000-0005-0000-0000-0000FF040000}"/>
    <cellStyle name="_Book2_Power Costs - Comparison bx Rbtl-Staff-Jt-PC_Adj Bench DR 3 for Initial Briefs (Electric) 2" xfId="1287" xr:uid="{00000000-0005-0000-0000-000000050000}"/>
    <cellStyle name="_Book2_Power Costs - Comparison bx Rbtl-Staff-Jt-PC_Adj Bench DR 3 for Initial Briefs (Electric) 2 2" xfId="1288" xr:uid="{00000000-0005-0000-0000-000001050000}"/>
    <cellStyle name="_Book2_Power Costs - Comparison bx Rbtl-Staff-Jt-PC_Adj Bench DR 3 for Initial Briefs (Electric) 3" xfId="1289" xr:uid="{00000000-0005-0000-0000-000002050000}"/>
    <cellStyle name="_Book2_Power Costs - Comparison bx Rbtl-Staff-Jt-PC_Electric Rev Req Model (2009 GRC) Rebuttal" xfId="1290" xr:uid="{00000000-0005-0000-0000-000003050000}"/>
    <cellStyle name="_Book2_Power Costs - Comparison bx Rbtl-Staff-Jt-PC_Electric Rev Req Model (2009 GRC) Rebuttal 2" xfId="1291" xr:uid="{00000000-0005-0000-0000-000004050000}"/>
    <cellStyle name="_Book2_Power Costs - Comparison bx Rbtl-Staff-Jt-PC_Electric Rev Req Model (2009 GRC) Rebuttal 2 2" xfId="1292" xr:uid="{00000000-0005-0000-0000-000005050000}"/>
    <cellStyle name="_Book2_Power Costs - Comparison bx Rbtl-Staff-Jt-PC_Electric Rev Req Model (2009 GRC) Rebuttal 3" xfId="1293" xr:uid="{00000000-0005-0000-0000-000006050000}"/>
    <cellStyle name="_Book2_Power Costs - Comparison bx Rbtl-Staff-Jt-PC_Electric Rev Req Model (2009 GRC) Rebuttal REmoval of New  WH Solar AdjustMI" xfId="1294" xr:uid="{00000000-0005-0000-0000-000007050000}"/>
    <cellStyle name="_Book2_Power Costs - Comparison bx Rbtl-Staff-Jt-PC_Electric Rev Req Model (2009 GRC) Rebuttal REmoval of New  WH Solar AdjustMI 2" xfId="1295" xr:uid="{00000000-0005-0000-0000-000008050000}"/>
    <cellStyle name="_Book2_Power Costs - Comparison bx Rbtl-Staff-Jt-PC_Electric Rev Req Model (2009 GRC) Rebuttal REmoval of New  WH Solar AdjustMI 2 2" xfId="1296" xr:uid="{00000000-0005-0000-0000-000009050000}"/>
    <cellStyle name="_Book2_Power Costs - Comparison bx Rbtl-Staff-Jt-PC_Electric Rev Req Model (2009 GRC) Rebuttal REmoval of New  WH Solar AdjustMI 3" xfId="1297" xr:uid="{00000000-0005-0000-0000-00000A050000}"/>
    <cellStyle name="_Book2_Power Costs - Comparison bx Rbtl-Staff-Jt-PC_Electric Rev Req Model (2009 GRC) Revised 01-18-2010" xfId="1298" xr:uid="{00000000-0005-0000-0000-00000B050000}"/>
    <cellStyle name="_Book2_Power Costs - Comparison bx Rbtl-Staff-Jt-PC_Electric Rev Req Model (2009 GRC) Revised 01-18-2010 2" xfId="1299" xr:uid="{00000000-0005-0000-0000-00000C050000}"/>
    <cellStyle name="_Book2_Power Costs - Comparison bx Rbtl-Staff-Jt-PC_Electric Rev Req Model (2009 GRC) Revised 01-18-2010 2 2" xfId="1300" xr:uid="{00000000-0005-0000-0000-00000D050000}"/>
    <cellStyle name="_Book2_Power Costs - Comparison bx Rbtl-Staff-Jt-PC_Electric Rev Req Model (2009 GRC) Revised 01-18-2010 3" xfId="1301" xr:uid="{00000000-0005-0000-0000-00000E050000}"/>
    <cellStyle name="_Book2_Power Costs - Comparison bx Rbtl-Staff-Jt-PC_Final Order Electric EXHIBIT A-1" xfId="1302" xr:uid="{00000000-0005-0000-0000-00000F050000}"/>
    <cellStyle name="_Book2_Power Costs - Comparison bx Rbtl-Staff-Jt-PC_Final Order Electric EXHIBIT A-1 2" xfId="1303" xr:uid="{00000000-0005-0000-0000-000010050000}"/>
    <cellStyle name="_Book2_Power Costs - Comparison bx Rbtl-Staff-Jt-PC_Final Order Electric EXHIBIT A-1 2 2" xfId="1304" xr:uid="{00000000-0005-0000-0000-000011050000}"/>
    <cellStyle name="_Book2_Power Costs - Comparison bx Rbtl-Staff-Jt-PC_Final Order Electric EXHIBIT A-1 3" xfId="1305" xr:uid="{00000000-0005-0000-0000-000012050000}"/>
    <cellStyle name="_Book2_Production Adj 4.37" xfId="1306" xr:uid="{00000000-0005-0000-0000-000013050000}"/>
    <cellStyle name="_Book2_Production Adj 4.37 2" xfId="1307" xr:uid="{00000000-0005-0000-0000-000014050000}"/>
    <cellStyle name="_Book2_Production Adj 4.37 2 2" xfId="1308" xr:uid="{00000000-0005-0000-0000-000015050000}"/>
    <cellStyle name="_Book2_Production Adj 4.37 3" xfId="1309" xr:uid="{00000000-0005-0000-0000-000016050000}"/>
    <cellStyle name="_Book2_Purchased Power Adj 4.03" xfId="1310" xr:uid="{00000000-0005-0000-0000-000017050000}"/>
    <cellStyle name="_Book2_Purchased Power Adj 4.03 2" xfId="1311" xr:uid="{00000000-0005-0000-0000-000018050000}"/>
    <cellStyle name="_Book2_Purchased Power Adj 4.03 2 2" xfId="1312" xr:uid="{00000000-0005-0000-0000-000019050000}"/>
    <cellStyle name="_Book2_Purchased Power Adj 4.03 3" xfId="1313" xr:uid="{00000000-0005-0000-0000-00001A050000}"/>
    <cellStyle name="_Book2_Rebuttal Power Costs" xfId="1314" xr:uid="{00000000-0005-0000-0000-00001B050000}"/>
    <cellStyle name="_Book2_Rebuttal Power Costs 2" xfId="1315" xr:uid="{00000000-0005-0000-0000-00001C050000}"/>
    <cellStyle name="_Book2_Rebuttal Power Costs 2 2" xfId="1316" xr:uid="{00000000-0005-0000-0000-00001D050000}"/>
    <cellStyle name="_Book2_Rebuttal Power Costs 3" xfId="1317" xr:uid="{00000000-0005-0000-0000-00001E050000}"/>
    <cellStyle name="_Book2_Rebuttal Power Costs_Adj Bench DR 3 for Initial Briefs (Electric)" xfId="1318" xr:uid="{00000000-0005-0000-0000-00001F050000}"/>
    <cellStyle name="_Book2_Rebuttal Power Costs_Adj Bench DR 3 for Initial Briefs (Electric) 2" xfId="1319" xr:uid="{00000000-0005-0000-0000-000020050000}"/>
    <cellStyle name="_Book2_Rebuttal Power Costs_Adj Bench DR 3 for Initial Briefs (Electric) 2 2" xfId="1320" xr:uid="{00000000-0005-0000-0000-000021050000}"/>
    <cellStyle name="_Book2_Rebuttal Power Costs_Adj Bench DR 3 for Initial Briefs (Electric) 3" xfId="1321" xr:uid="{00000000-0005-0000-0000-000022050000}"/>
    <cellStyle name="_Book2_Rebuttal Power Costs_Electric Rev Req Model (2009 GRC) Rebuttal" xfId="1322" xr:uid="{00000000-0005-0000-0000-000023050000}"/>
    <cellStyle name="_Book2_Rebuttal Power Costs_Electric Rev Req Model (2009 GRC) Rebuttal 2" xfId="1323" xr:uid="{00000000-0005-0000-0000-000024050000}"/>
    <cellStyle name="_Book2_Rebuttal Power Costs_Electric Rev Req Model (2009 GRC) Rebuttal 2 2" xfId="1324" xr:uid="{00000000-0005-0000-0000-000025050000}"/>
    <cellStyle name="_Book2_Rebuttal Power Costs_Electric Rev Req Model (2009 GRC) Rebuttal 3" xfId="1325" xr:uid="{00000000-0005-0000-0000-000026050000}"/>
    <cellStyle name="_Book2_Rebuttal Power Costs_Electric Rev Req Model (2009 GRC) Rebuttal REmoval of New  WH Solar AdjustMI" xfId="1326" xr:uid="{00000000-0005-0000-0000-000027050000}"/>
    <cellStyle name="_Book2_Rebuttal Power Costs_Electric Rev Req Model (2009 GRC) Rebuttal REmoval of New  WH Solar AdjustMI 2" xfId="1327" xr:uid="{00000000-0005-0000-0000-000028050000}"/>
    <cellStyle name="_Book2_Rebuttal Power Costs_Electric Rev Req Model (2009 GRC) Rebuttal REmoval of New  WH Solar AdjustMI 2 2" xfId="1328" xr:uid="{00000000-0005-0000-0000-000029050000}"/>
    <cellStyle name="_Book2_Rebuttal Power Costs_Electric Rev Req Model (2009 GRC) Rebuttal REmoval of New  WH Solar AdjustMI 3" xfId="1329" xr:uid="{00000000-0005-0000-0000-00002A050000}"/>
    <cellStyle name="_Book2_Rebuttal Power Costs_Electric Rev Req Model (2009 GRC) Revised 01-18-2010" xfId="1330" xr:uid="{00000000-0005-0000-0000-00002B050000}"/>
    <cellStyle name="_Book2_Rebuttal Power Costs_Electric Rev Req Model (2009 GRC) Revised 01-18-2010 2" xfId="1331" xr:uid="{00000000-0005-0000-0000-00002C050000}"/>
    <cellStyle name="_Book2_Rebuttal Power Costs_Electric Rev Req Model (2009 GRC) Revised 01-18-2010 2 2" xfId="1332" xr:uid="{00000000-0005-0000-0000-00002D050000}"/>
    <cellStyle name="_Book2_Rebuttal Power Costs_Electric Rev Req Model (2009 GRC) Revised 01-18-2010 3" xfId="1333" xr:uid="{00000000-0005-0000-0000-00002E050000}"/>
    <cellStyle name="_Book2_Rebuttal Power Costs_Final Order Electric EXHIBIT A-1" xfId="1334" xr:uid="{00000000-0005-0000-0000-00002F050000}"/>
    <cellStyle name="_Book2_Rebuttal Power Costs_Final Order Electric EXHIBIT A-1 2" xfId="1335" xr:uid="{00000000-0005-0000-0000-000030050000}"/>
    <cellStyle name="_Book2_Rebuttal Power Costs_Final Order Electric EXHIBIT A-1 2 2" xfId="1336" xr:uid="{00000000-0005-0000-0000-000031050000}"/>
    <cellStyle name="_Book2_Rebuttal Power Costs_Final Order Electric EXHIBIT A-1 3" xfId="1337" xr:uid="{00000000-0005-0000-0000-000032050000}"/>
    <cellStyle name="_Book2_ROR &amp; CONV FACTOR" xfId="1338" xr:uid="{00000000-0005-0000-0000-000033050000}"/>
    <cellStyle name="_Book2_ROR &amp; CONV FACTOR 2" xfId="1339" xr:uid="{00000000-0005-0000-0000-000034050000}"/>
    <cellStyle name="_Book2_ROR &amp; CONV FACTOR 2 2" xfId="1340" xr:uid="{00000000-0005-0000-0000-000035050000}"/>
    <cellStyle name="_Book2_ROR &amp; CONV FACTOR 3" xfId="1341" xr:uid="{00000000-0005-0000-0000-000036050000}"/>
    <cellStyle name="_Book2_ROR 5.02" xfId="1342" xr:uid="{00000000-0005-0000-0000-000037050000}"/>
    <cellStyle name="_Book2_ROR 5.02 2" xfId="1343" xr:uid="{00000000-0005-0000-0000-000038050000}"/>
    <cellStyle name="_Book2_ROR 5.02 2 2" xfId="1344" xr:uid="{00000000-0005-0000-0000-000039050000}"/>
    <cellStyle name="_Book2_ROR 5.02 3" xfId="1345" xr:uid="{00000000-0005-0000-0000-00003A050000}"/>
    <cellStyle name="_Book2_Wind Integration 10GRC" xfId="1346" xr:uid="{00000000-0005-0000-0000-00003B050000}"/>
    <cellStyle name="_Book2_Wind Integration 10GRC 2" xfId="1347" xr:uid="{00000000-0005-0000-0000-00003C050000}"/>
    <cellStyle name="_Book3" xfId="1348" xr:uid="{00000000-0005-0000-0000-00003D050000}"/>
    <cellStyle name="_Book5" xfId="1349" xr:uid="{00000000-0005-0000-0000-00003E050000}"/>
    <cellStyle name="_Book5_Chelan PUD Power Costs (8-10)" xfId="1350" xr:uid="{00000000-0005-0000-0000-00003F050000}"/>
    <cellStyle name="_Book5_DEM-WP(C) Costs Not In AURORA 2010GRC As Filed" xfId="1351" xr:uid="{00000000-0005-0000-0000-000040050000}"/>
    <cellStyle name="_Book5_DEM-WP(C) Costs Not In AURORA 2010GRC As Filed 2" xfId="1352" xr:uid="{00000000-0005-0000-0000-000041050000}"/>
    <cellStyle name="_Book5_NIM Summary" xfId="1353" xr:uid="{00000000-0005-0000-0000-000042050000}"/>
    <cellStyle name="_Book5_NIM Summary 09GRC" xfId="1354" xr:uid="{00000000-0005-0000-0000-000043050000}"/>
    <cellStyle name="_Book5_NIM Summary 2" xfId="1355" xr:uid="{00000000-0005-0000-0000-000044050000}"/>
    <cellStyle name="_Book5_NIM Summary 3" xfId="1356" xr:uid="{00000000-0005-0000-0000-000045050000}"/>
    <cellStyle name="_Book5_NIM Summary 4" xfId="1357" xr:uid="{00000000-0005-0000-0000-000046050000}"/>
    <cellStyle name="_Book5_NIM Summary 5" xfId="1358" xr:uid="{00000000-0005-0000-0000-000047050000}"/>
    <cellStyle name="_Book5_NIM Summary 6" xfId="1359" xr:uid="{00000000-0005-0000-0000-000048050000}"/>
    <cellStyle name="_Book5_NIM Summary 7" xfId="1360" xr:uid="{00000000-0005-0000-0000-000049050000}"/>
    <cellStyle name="_Book5_NIM Summary 8" xfId="1361" xr:uid="{00000000-0005-0000-0000-00004A050000}"/>
    <cellStyle name="_Book5_NIM Summary 9" xfId="1362" xr:uid="{00000000-0005-0000-0000-00004B050000}"/>
    <cellStyle name="_Book5_PCA 9 -  Exhibit D April 2010 (3)" xfId="1363" xr:uid="{00000000-0005-0000-0000-00004C050000}"/>
    <cellStyle name="_Book5_Reconciliation" xfId="1364" xr:uid="{00000000-0005-0000-0000-00004D050000}"/>
    <cellStyle name="_Book5_Reconciliation 2" xfId="1365" xr:uid="{00000000-0005-0000-0000-00004E050000}"/>
    <cellStyle name="_Book5_Wind Integration 10GRC" xfId="1366" xr:uid="{00000000-0005-0000-0000-00004F050000}"/>
    <cellStyle name="_Book5_Wind Integration 10GRC 2" xfId="1367" xr:uid="{00000000-0005-0000-0000-000050050000}"/>
    <cellStyle name="_BPA NOS" xfId="1368" xr:uid="{00000000-0005-0000-0000-000051050000}"/>
    <cellStyle name="_BPA NOS 2" xfId="1369" xr:uid="{00000000-0005-0000-0000-000052050000}"/>
    <cellStyle name="_BPA NOS_DEM-WP(C) Wind Integration Summary 2010GRC" xfId="1370" xr:uid="{00000000-0005-0000-0000-000053050000}"/>
    <cellStyle name="_BPA NOS_DEM-WP(C) Wind Integration Summary 2010GRC 2" xfId="1371" xr:uid="{00000000-0005-0000-0000-000054050000}"/>
    <cellStyle name="_BPA NOS_NIM Summary" xfId="1372" xr:uid="{00000000-0005-0000-0000-000055050000}"/>
    <cellStyle name="_BPA NOS_NIM Summary 2" xfId="1373" xr:uid="{00000000-0005-0000-0000-000056050000}"/>
    <cellStyle name="_Chelan Debt Forecast 12.19.05" xfId="1374" xr:uid="{00000000-0005-0000-0000-000057050000}"/>
    <cellStyle name="_Chelan Debt Forecast 12.19.05 2" xfId="1375" xr:uid="{00000000-0005-0000-0000-000058050000}"/>
    <cellStyle name="_Chelan Debt Forecast 12.19.05 2 2" xfId="1376" xr:uid="{00000000-0005-0000-0000-000059050000}"/>
    <cellStyle name="_Chelan Debt Forecast 12.19.05 2 2 2" xfId="1377" xr:uid="{00000000-0005-0000-0000-00005A050000}"/>
    <cellStyle name="_Chelan Debt Forecast 12.19.05 2 3" xfId="1378" xr:uid="{00000000-0005-0000-0000-00005B050000}"/>
    <cellStyle name="_Chelan Debt Forecast 12.19.05 3" xfId="1379" xr:uid="{00000000-0005-0000-0000-00005C050000}"/>
    <cellStyle name="_Chelan Debt Forecast 12.19.05 3 2" xfId="1380" xr:uid="{00000000-0005-0000-0000-00005D050000}"/>
    <cellStyle name="_Chelan Debt Forecast 12.19.05 3 2 2" xfId="1381" xr:uid="{00000000-0005-0000-0000-00005E050000}"/>
    <cellStyle name="_Chelan Debt Forecast 12.19.05 3 3" xfId="1382" xr:uid="{00000000-0005-0000-0000-00005F050000}"/>
    <cellStyle name="_Chelan Debt Forecast 12.19.05 3 3 2" xfId="1383" xr:uid="{00000000-0005-0000-0000-000060050000}"/>
    <cellStyle name="_Chelan Debt Forecast 12.19.05 3 4" xfId="1384" xr:uid="{00000000-0005-0000-0000-000061050000}"/>
    <cellStyle name="_Chelan Debt Forecast 12.19.05 3 4 2" xfId="1385" xr:uid="{00000000-0005-0000-0000-000062050000}"/>
    <cellStyle name="_Chelan Debt Forecast 12.19.05 4" xfId="1386" xr:uid="{00000000-0005-0000-0000-000063050000}"/>
    <cellStyle name="_Chelan Debt Forecast 12.19.05 4 2" xfId="1387" xr:uid="{00000000-0005-0000-0000-000064050000}"/>
    <cellStyle name="_Chelan Debt Forecast 12.19.05 5" xfId="1388" xr:uid="{00000000-0005-0000-0000-000065050000}"/>
    <cellStyle name="_Chelan Debt Forecast 12.19.05 6" xfId="1389" xr:uid="{00000000-0005-0000-0000-000066050000}"/>
    <cellStyle name="_Chelan Debt Forecast 12.19.05 7" xfId="1390" xr:uid="{00000000-0005-0000-0000-000067050000}"/>
    <cellStyle name="_Chelan Debt Forecast 12.19.05_(C) WHE Proforma with ITC cash grant 10 Yr Amort_for deferral_102809" xfId="1391" xr:uid="{00000000-0005-0000-0000-000068050000}"/>
    <cellStyle name="_Chelan Debt Forecast 12.19.05_(C) WHE Proforma with ITC cash grant 10 Yr Amort_for deferral_102809 2" xfId="1392" xr:uid="{00000000-0005-0000-0000-000069050000}"/>
    <cellStyle name="_Chelan Debt Forecast 12.19.05_(C) WHE Proforma with ITC cash grant 10 Yr Amort_for deferral_102809 2 2" xfId="1393" xr:uid="{00000000-0005-0000-0000-00006A050000}"/>
    <cellStyle name="_Chelan Debt Forecast 12.19.05_(C) WHE Proforma with ITC cash grant 10 Yr Amort_for deferral_102809 3" xfId="1394" xr:uid="{00000000-0005-0000-0000-00006B050000}"/>
    <cellStyle name="_Chelan Debt Forecast 12.19.05_(C) WHE Proforma with ITC cash grant 10 Yr Amort_for deferral_102809_16.07E Wild Horse Wind Expansionwrkingfile" xfId="1395" xr:uid="{00000000-0005-0000-0000-00006C050000}"/>
    <cellStyle name="_Chelan Debt Forecast 12.19.05_(C) WHE Proforma with ITC cash grant 10 Yr Amort_for deferral_102809_16.07E Wild Horse Wind Expansionwrkingfile 2" xfId="1396" xr:uid="{00000000-0005-0000-0000-00006D050000}"/>
    <cellStyle name="_Chelan Debt Forecast 12.19.05_(C) WHE Proforma with ITC cash grant 10 Yr Amort_for deferral_102809_16.07E Wild Horse Wind Expansionwrkingfile 2 2" xfId="1397" xr:uid="{00000000-0005-0000-0000-00006E050000}"/>
    <cellStyle name="_Chelan Debt Forecast 12.19.05_(C) WHE Proforma with ITC cash grant 10 Yr Amort_for deferral_102809_16.07E Wild Horse Wind Expansionwrkingfile 3" xfId="1398" xr:uid="{00000000-0005-0000-0000-00006F050000}"/>
    <cellStyle name="_Chelan Debt Forecast 12.19.05_(C) WHE Proforma with ITC cash grant 10 Yr Amort_for deferral_102809_16.07E Wild Horse Wind Expansionwrkingfile SF" xfId="1399" xr:uid="{00000000-0005-0000-0000-000070050000}"/>
    <cellStyle name="_Chelan Debt Forecast 12.19.05_(C) WHE Proforma with ITC cash grant 10 Yr Amort_for deferral_102809_16.07E Wild Horse Wind Expansionwrkingfile SF 2" xfId="1400" xr:uid="{00000000-0005-0000-0000-000071050000}"/>
    <cellStyle name="_Chelan Debt Forecast 12.19.05_(C) WHE Proforma with ITC cash grant 10 Yr Amort_for deferral_102809_16.07E Wild Horse Wind Expansionwrkingfile SF 2 2" xfId="1401" xr:uid="{00000000-0005-0000-0000-000072050000}"/>
    <cellStyle name="_Chelan Debt Forecast 12.19.05_(C) WHE Proforma with ITC cash grant 10 Yr Amort_for deferral_102809_16.07E Wild Horse Wind Expansionwrkingfile SF 3" xfId="1402" xr:uid="{00000000-0005-0000-0000-000073050000}"/>
    <cellStyle name="_Chelan Debt Forecast 12.19.05_(C) WHE Proforma with ITC cash grant 10 Yr Amort_for deferral_102809_16.37E Wild Horse Expansion DeferralRevwrkingfile SF" xfId="1403" xr:uid="{00000000-0005-0000-0000-000074050000}"/>
    <cellStyle name="_Chelan Debt Forecast 12.19.05_(C) WHE Proforma with ITC cash grant 10 Yr Amort_for deferral_102809_16.37E Wild Horse Expansion DeferralRevwrkingfile SF 2" xfId="1404" xr:uid="{00000000-0005-0000-0000-000075050000}"/>
    <cellStyle name="_Chelan Debt Forecast 12.19.05_(C) WHE Proforma with ITC cash grant 10 Yr Amort_for deferral_102809_16.37E Wild Horse Expansion DeferralRevwrkingfile SF 2 2" xfId="1405" xr:uid="{00000000-0005-0000-0000-000076050000}"/>
    <cellStyle name="_Chelan Debt Forecast 12.19.05_(C) WHE Proforma with ITC cash grant 10 Yr Amort_for deferral_102809_16.37E Wild Horse Expansion DeferralRevwrkingfile SF 3" xfId="1406" xr:uid="{00000000-0005-0000-0000-000077050000}"/>
    <cellStyle name="_Chelan Debt Forecast 12.19.05_(C) WHE Proforma with ITC cash grant 10 Yr Amort_for rebuttal_120709" xfId="1407" xr:uid="{00000000-0005-0000-0000-000078050000}"/>
    <cellStyle name="_Chelan Debt Forecast 12.19.05_(C) WHE Proforma with ITC cash grant 10 Yr Amort_for rebuttal_120709 2" xfId="1408" xr:uid="{00000000-0005-0000-0000-000079050000}"/>
    <cellStyle name="_Chelan Debt Forecast 12.19.05_(C) WHE Proforma with ITC cash grant 10 Yr Amort_for rebuttal_120709 2 2" xfId="1409" xr:uid="{00000000-0005-0000-0000-00007A050000}"/>
    <cellStyle name="_Chelan Debt Forecast 12.19.05_(C) WHE Proforma with ITC cash grant 10 Yr Amort_for rebuttal_120709 3" xfId="1410" xr:uid="{00000000-0005-0000-0000-00007B050000}"/>
    <cellStyle name="_Chelan Debt Forecast 12.19.05_04.07E Wild Horse Wind Expansion" xfId="1411" xr:uid="{00000000-0005-0000-0000-00007C050000}"/>
    <cellStyle name="_Chelan Debt Forecast 12.19.05_04.07E Wild Horse Wind Expansion 2" xfId="1412" xr:uid="{00000000-0005-0000-0000-00007D050000}"/>
    <cellStyle name="_Chelan Debt Forecast 12.19.05_04.07E Wild Horse Wind Expansion 2 2" xfId="1413" xr:uid="{00000000-0005-0000-0000-00007E050000}"/>
    <cellStyle name="_Chelan Debt Forecast 12.19.05_04.07E Wild Horse Wind Expansion 3" xfId="1414" xr:uid="{00000000-0005-0000-0000-00007F050000}"/>
    <cellStyle name="_Chelan Debt Forecast 12.19.05_04.07E Wild Horse Wind Expansion_16.07E Wild Horse Wind Expansionwrkingfile" xfId="1415" xr:uid="{00000000-0005-0000-0000-000080050000}"/>
    <cellStyle name="_Chelan Debt Forecast 12.19.05_04.07E Wild Horse Wind Expansion_16.07E Wild Horse Wind Expansionwrkingfile 2" xfId="1416" xr:uid="{00000000-0005-0000-0000-000081050000}"/>
    <cellStyle name="_Chelan Debt Forecast 12.19.05_04.07E Wild Horse Wind Expansion_16.07E Wild Horse Wind Expansionwrkingfile 2 2" xfId="1417" xr:uid="{00000000-0005-0000-0000-000082050000}"/>
    <cellStyle name="_Chelan Debt Forecast 12.19.05_04.07E Wild Horse Wind Expansion_16.07E Wild Horse Wind Expansionwrkingfile 3" xfId="1418" xr:uid="{00000000-0005-0000-0000-000083050000}"/>
    <cellStyle name="_Chelan Debt Forecast 12.19.05_04.07E Wild Horse Wind Expansion_16.07E Wild Horse Wind Expansionwrkingfile SF" xfId="1419" xr:uid="{00000000-0005-0000-0000-000084050000}"/>
    <cellStyle name="_Chelan Debt Forecast 12.19.05_04.07E Wild Horse Wind Expansion_16.07E Wild Horse Wind Expansionwrkingfile SF 2" xfId="1420" xr:uid="{00000000-0005-0000-0000-000085050000}"/>
    <cellStyle name="_Chelan Debt Forecast 12.19.05_04.07E Wild Horse Wind Expansion_16.07E Wild Horse Wind Expansionwrkingfile SF 2 2" xfId="1421" xr:uid="{00000000-0005-0000-0000-000086050000}"/>
    <cellStyle name="_Chelan Debt Forecast 12.19.05_04.07E Wild Horse Wind Expansion_16.07E Wild Horse Wind Expansionwrkingfile SF 3" xfId="1422" xr:uid="{00000000-0005-0000-0000-000087050000}"/>
    <cellStyle name="_Chelan Debt Forecast 12.19.05_04.07E Wild Horse Wind Expansion_16.37E Wild Horse Expansion DeferralRevwrkingfile SF" xfId="1423" xr:uid="{00000000-0005-0000-0000-000088050000}"/>
    <cellStyle name="_Chelan Debt Forecast 12.19.05_04.07E Wild Horse Wind Expansion_16.37E Wild Horse Expansion DeferralRevwrkingfile SF 2" xfId="1424" xr:uid="{00000000-0005-0000-0000-000089050000}"/>
    <cellStyle name="_Chelan Debt Forecast 12.19.05_04.07E Wild Horse Wind Expansion_16.37E Wild Horse Expansion DeferralRevwrkingfile SF 2 2" xfId="1425" xr:uid="{00000000-0005-0000-0000-00008A050000}"/>
    <cellStyle name="_Chelan Debt Forecast 12.19.05_04.07E Wild Horse Wind Expansion_16.37E Wild Horse Expansion DeferralRevwrkingfile SF 3" xfId="1426" xr:uid="{00000000-0005-0000-0000-00008B050000}"/>
    <cellStyle name="_Chelan Debt Forecast 12.19.05_16.07E Wild Horse Wind Expansionwrkingfile" xfId="1427" xr:uid="{00000000-0005-0000-0000-00008C050000}"/>
    <cellStyle name="_Chelan Debt Forecast 12.19.05_16.07E Wild Horse Wind Expansionwrkingfile 2" xfId="1428" xr:uid="{00000000-0005-0000-0000-00008D050000}"/>
    <cellStyle name="_Chelan Debt Forecast 12.19.05_16.07E Wild Horse Wind Expansionwrkingfile 2 2" xfId="1429" xr:uid="{00000000-0005-0000-0000-00008E050000}"/>
    <cellStyle name="_Chelan Debt Forecast 12.19.05_16.07E Wild Horse Wind Expansionwrkingfile 3" xfId="1430" xr:uid="{00000000-0005-0000-0000-00008F050000}"/>
    <cellStyle name="_Chelan Debt Forecast 12.19.05_16.07E Wild Horse Wind Expansionwrkingfile SF" xfId="1431" xr:uid="{00000000-0005-0000-0000-000090050000}"/>
    <cellStyle name="_Chelan Debt Forecast 12.19.05_16.07E Wild Horse Wind Expansionwrkingfile SF 2" xfId="1432" xr:uid="{00000000-0005-0000-0000-000091050000}"/>
    <cellStyle name="_Chelan Debt Forecast 12.19.05_16.07E Wild Horse Wind Expansionwrkingfile SF 2 2" xfId="1433" xr:uid="{00000000-0005-0000-0000-000092050000}"/>
    <cellStyle name="_Chelan Debt Forecast 12.19.05_16.07E Wild Horse Wind Expansionwrkingfile SF 3" xfId="1434" xr:uid="{00000000-0005-0000-0000-000093050000}"/>
    <cellStyle name="_Chelan Debt Forecast 12.19.05_16.37E Wild Horse Expansion DeferralRevwrkingfile SF" xfId="1435" xr:uid="{00000000-0005-0000-0000-000094050000}"/>
    <cellStyle name="_Chelan Debt Forecast 12.19.05_16.37E Wild Horse Expansion DeferralRevwrkingfile SF 2" xfId="1436" xr:uid="{00000000-0005-0000-0000-000095050000}"/>
    <cellStyle name="_Chelan Debt Forecast 12.19.05_16.37E Wild Horse Expansion DeferralRevwrkingfile SF 2 2" xfId="1437" xr:uid="{00000000-0005-0000-0000-000096050000}"/>
    <cellStyle name="_Chelan Debt Forecast 12.19.05_16.37E Wild Horse Expansion DeferralRevwrkingfile SF 3" xfId="1438" xr:uid="{00000000-0005-0000-0000-000097050000}"/>
    <cellStyle name="_Chelan Debt Forecast 12.19.05_2009 Compliance Filing PCA Exhibits for GRC" xfId="1439" xr:uid="{00000000-0005-0000-0000-000098050000}"/>
    <cellStyle name="_Chelan Debt Forecast 12.19.05_2009 GRC Compl Filing - Exhibit D" xfId="1440" xr:uid="{00000000-0005-0000-0000-000099050000}"/>
    <cellStyle name="_Chelan Debt Forecast 12.19.05_2009 GRC Compl Filing - Exhibit D 2" xfId="1441" xr:uid="{00000000-0005-0000-0000-00009A050000}"/>
    <cellStyle name="_Chelan Debt Forecast 12.19.05_3.01 Income Statement" xfId="1442" xr:uid="{00000000-0005-0000-0000-00009B050000}"/>
    <cellStyle name="_Chelan Debt Forecast 12.19.05_4 31 Regulatory Assets and Liabilities  7 06- Exhibit D" xfId="1443" xr:uid="{00000000-0005-0000-0000-00009C050000}"/>
    <cellStyle name="_Chelan Debt Forecast 12.19.05_4 31 Regulatory Assets and Liabilities  7 06- Exhibit D 2" xfId="1444" xr:uid="{00000000-0005-0000-0000-00009D050000}"/>
    <cellStyle name="_Chelan Debt Forecast 12.19.05_4 31 Regulatory Assets and Liabilities  7 06- Exhibit D 2 2" xfId="1445" xr:uid="{00000000-0005-0000-0000-00009E050000}"/>
    <cellStyle name="_Chelan Debt Forecast 12.19.05_4 31 Regulatory Assets and Liabilities  7 06- Exhibit D 3" xfId="1446" xr:uid="{00000000-0005-0000-0000-00009F050000}"/>
    <cellStyle name="_Chelan Debt Forecast 12.19.05_4 31 Regulatory Assets and Liabilities  7 06- Exhibit D_NIM Summary" xfId="1447" xr:uid="{00000000-0005-0000-0000-0000A0050000}"/>
    <cellStyle name="_Chelan Debt Forecast 12.19.05_4 31 Regulatory Assets and Liabilities  7 06- Exhibit D_NIM Summary 2" xfId="1448" xr:uid="{00000000-0005-0000-0000-0000A1050000}"/>
    <cellStyle name="_Chelan Debt Forecast 12.19.05_4 32 Regulatory Assets and Liabilities  7 06- Exhibit D" xfId="1449" xr:uid="{00000000-0005-0000-0000-0000A2050000}"/>
    <cellStyle name="_Chelan Debt Forecast 12.19.05_4 32 Regulatory Assets and Liabilities  7 06- Exhibit D 2" xfId="1450" xr:uid="{00000000-0005-0000-0000-0000A3050000}"/>
    <cellStyle name="_Chelan Debt Forecast 12.19.05_4 32 Regulatory Assets and Liabilities  7 06- Exhibit D 2 2" xfId="1451" xr:uid="{00000000-0005-0000-0000-0000A4050000}"/>
    <cellStyle name="_Chelan Debt Forecast 12.19.05_4 32 Regulatory Assets and Liabilities  7 06- Exhibit D 3" xfId="1452" xr:uid="{00000000-0005-0000-0000-0000A5050000}"/>
    <cellStyle name="_Chelan Debt Forecast 12.19.05_4 32 Regulatory Assets and Liabilities  7 06- Exhibit D_NIM Summary" xfId="1453" xr:uid="{00000000-0005-0000-0000-0000A6050000}"/>
    <cellStyle name="_Chelan Debt Forecast 12.19.05_4 32 Regulatory Assets and Liabilities  7 06- Exhibit D_NIM Summary 2" xfId="1454" xr:uid="{00000000-0005-0000-0000-0000A7050000}"/>
    <cellStyle name="_Chelan Debt Forecast 12.19.05_ACCOUNTS" xfId="1455" xr:uid="{00000000-0005-0000-0000-0000A8050000}"/>
    <cellStyle name="_Chelan Debt Forecast 12.19.05_AURORA Total New" xfId="1456" xr:uid="{00000000-0005-0000-0000-0000A9050000}"/>
    <cellStyle name="_Chelan Debt Forecast 12.19.05_AURORA Total New 2" xfId="1457" xr:uid="{00000000-0005-0000-0000-0000AA050000}"/>
    <cellStyle name="_Chelan Debt Forecast 12.19.05_Book2" xfId="1458" xr:uid="{00000000-0005-0000-0000-0000AB050000}"/>
    <cellStyle name="_Chelan Debt Forecast 12.19.05_Book2 2" xfId="1459" xr:uid="{00000000-0005-0000-0000-0000AC050000}"/>
    <cellStyle name="_Chelan Debt Forecast 12.19.05_Book2 2 2" xfId="1460" xr:uid="{00000000-0005-0000-0000-0000AD050000}"/>
    <cellStyle name="_Chelan Debt Forecast 12.19.05_Book2 3" xfId="1461" xr:uid="{00000000-0005-0000-0000-0000AE050000}"/>
    <cellStyle name="_Chelan Debt Forecast 12.19.05_Book2_Adj Bench DR 3 for Initial Briefs (Electric)" xfId="1462" xr:uid="{00000000-0005-0000-0000-0000AF050000}"/>
    <cellStyle name="_Chelan Debt Forecast 12.19.05_Book2_Adj Bench DR 3 for Initial Briefs (Electric) 2" xfId="1463" xr:uid="{00000000-0005-0000-0000-0000B0050000}"/>
    <cellStyle name="_Chelan Debt Forecast 12.19.05_Book2_Adj Bench DR 3 for Initial Briefs (Electric) 2 2" xfId="1464" xr:uid="{00000000-0005-0000-0000-0000B1050000}"/>
    <cellStyle name="_Chelan Debt Forecast 12.19.05_Book2_Adj Bench DR 3 for Initial Briefs (Electric) 3" xfId="1465" xr:uid="{00000000-0005-0000-0000-0000B2050000}"/>
    <cellStyle name="_Chelan Debt Forecast 12.19.05_Book2_Electric Rev Req Model (2009 GRC) Rebuttal" xfId="1466" xr:uid="{00000000-0005-0000-0000-0000B3050000}"/>
    <cellStyle name="_Chelan Debt Forecast 12.19.05_Book2_Electric Rev Req Model (2009 GRC) Rebuttal 2" xfId="1467" xr:uid="{00000000-0005-0000-0000-0000B4050000}"/>
    <cellStyle name="_Chelan Debt Forecast 12.19.05_Book2_Electric Rev Req Model (2009 GRC) Rebuttal 2 2" xfId="1468" xr:uid="{00000000-0005-0000-0000-0000B5050000}"/>
    <cellStyle name="_Chelan Debt Forecast 12.19.05_Book2_Electric Rev Req Model (2009 GRC) Rebuttal 3" xfId="1469" xr:uid="{00000000-0005-0000-0000-0000B6050000}"/>
    <cellStyle name="_Chelan Debt Forecast 12.19.05_Book2_Electric Rev Req Model (2009 GRC) Rebuttal REmoval of New  WH Solar AdjustMI" xfId="1470" xr:uid="{00000000-0005-0000-0000-0000B7050000}"/>
    <cellStyle name="_Chelan Debt Forecast 12.19.05_Book2_Electric Rev Req Model (2009 GRC) Rebuttal REmoval of New  WH Solar AdjustMI 2" xfId="1471" xr:uid="{00000000-0005-0000-0000-0000B8050000}"/>
    <cellStyle name="_Chelan Debt Forecast 12.19.05_Book2_Electric Rev Req Model (2009 GRC) Rebuttal REmoval of New  WH Solar AdjustMI 2 2" xfId="1472" xr:uid="{00000000-0005-0000-0000-0000B9050000}"/>
    <cellStyle name="_Chelan Debt Forecast 12.19.05_Book2_Electric Rev Req Model (2009 GRC) Rebuttal REmoval of New  WH Solar AdjustMI 3" xfId="1473" xr:uid="{00000000-0005-0000-0000-0000BA050000}"/>
    <cellStyle name="_Chelan Debt Forecast 12.19.05_Book2_Electric Rev Req Model (2009 GRC) Revised 01-18-2010" xfId="1474" xr:uid="{00000000-0005-0000-0000-0000BB050000}"/>
    <cellStyle name="_Chelan Debt Forecast 12.19.05_Book2_Electric Rev Req Model (2009 GRC) Revised 01-18-2010 2" xfId="1475" xr:uid="{00000000-0005-0000-0000-0000BC050000}"/>
    <cellStyle name="_Chelan Debt Forecast 12.19.05_Book2_Electric Rev Req Model (2009 GRC) Revised 01-18-2010 2 2" xfId="1476" xr:uid="{00000000-0005-0000-0000-0000BD050000}"/>
    <cellStyle name="_Chelan Debt Forecast 12.19.05_Book2_Electric Rev Req Model (2009 GRC) Revised 01-18-2010 3" xfId="1477" xr:uid="{00000000-0005-0000-0000-0000BE050000}"/>
    <cellStyle name="_Chelan Debt Forecast 12.19.05_Book2_Final Order Electric EXHIBIT A-1" xfId="1478" xr:uid="{00000000-0005-0000-0000-0000BF050000}"/>
    <cellStyle name="_Chelan Debt Forecast 12.19.05_Book2_Final Order Electric EXHIBIT A-1 2" xfId="1479" xr:uid="{00000000-0005-0000-0000-0000C0050000}"/>
    <cellStyle name="_Chelan Debt Forecast 12.19.05_Book2_Final Order Electric EXHIBIT A-1 2 2" xfId="1480" xr:uid="{00000000-0005-0000-0000-0000C1050000}"/>
    <cellStyle name="_Chelan Debt Forecast 12.19.05_Book2_Final Order Electric EXHIBIT A-1 3" xfId="1481" xr:uid="{00000000-0005-0000-0000-0000C2050000}"/>
    <cellStyle name="_Chelan Debt Forecast 12.19.05_Book4" xfId="1482" xr:uid="{00000000-0005-0000-0000-0000C3050000}"/>
    <cellStyle name="_Chelan Debt Forecast 12.19.05_Book4 2" xfId="1483" xr:uid="{00000000-0005-0000-0000-0000C4050000}"/>
    <cellStyle name="_Chelan Debt Forecast 12.19.05_Book4 2 2" xfId="1484" xr:uid="{00000000-0005-0000-0000-0000C5050000}"/>
    <cellStyle name="_Chelan Debt Forecast 12.19.05_Book4 3" xfId="1485" xr:uid="{00000000-0005-0000-0000-0000C6050000}"/>
    <cellStyle name="_Chelan Debt Forecast 12.19.05_Book9" xfId="1486" xr:uid="{00000000-0005-0000-0000-0000C7050000}"/>
    <cellStyle name="_Chelan Debt Forecast 12.19.05_Book9 2" xfId="1487" xr:uid="{00000000-0005-0000-0000-0000C8050000}"/>
    <cellStyle name="_Chelan Debt Forecast 12.19.05_Book9 2 2" xfId="1488" xr:uid="{00000000-0005-0000-0000-0000C9050000}"/>
    <cellStyle name="_Chelan Debt Forecast 12.19.05_Book9 3" xfId="1489" xr:uid="{00000000-0005-0000-0000-0000CA050000}"/>
    <cellStyle name="_Chelan Debt Forecast 12.19.05_Check the Interest Calculation" xfId="1490" xr:uid="{00000000-0005-0000-0000-0000CB050000}"/>
    <cellStyle name="_Chelan Debt Forecast 12.19.05_Check the Interest Calculation_Scenario 1 REC vs PTC Offset" xfId="1491" xr:uid="{00000000-0005-0000-0000-0000CC050000}"/>
    <cellStyle name="_Chelan Debt Forecast 12.19.05_Check the Interest Calculation_Scenario 3" xfId="1492" xr:uid="{00000000-0005-0000-0000-0000CD050000}"/>
    <cellStyle name="_Chelan Debt Forecast 12.19.05_Chelan PUD Power Costs (8-10)" xfId="1493" xr:uid="{00000000-0005-0000-0000-0000CE050000}"/>
    <cellStyle name="_Chelan Debt Forecast 12.19.05_Exhibit D fr R Gho 12-31-08" xfId="1494" xr:uid="{00000000-0005-0000-0000-0000CF050000}"/>
    <cellStyle name="_Chelan Debt Forecast 12.19.05_Exhibit D fr R Gho 12-31-08 2" xfId="1495" xr:uid="{00000000-0005-0000-0000-0000D0050000}"/>
    <cellStyle name="_Chelan Debt Forecast 12.19.05_Exhibit D fr R Gho 12-31-08 v2" xfId="1496" xr:uid="{00000000-0005-0000-0000-0000D1050000}"/>
    <cellStyle name="_Chelan Debt Forecast 12.19.05_Exhibit D fr R Gho 12-31-08 v2 2" xfId="1497" xr:uid="{00000000-0005-0000-0000-0000D2050000}"/>
    <cellStyle name="_Chelan Debt Forecast 12.19.05_Exhibit D fr R Gho 12-31-08 v2_NIM Summary" xfId="1498" xr:uid="{00000000-0005-0000-0000-0000D3050000}"/>
    <cellStyle name="_Chelan Debt Forecast 12.19.05_Exhibit D fr R Gho 12-31-08 v2_NIM Summary 2" xfId="1499" xr:uid="{00000000-0005-0000-0000-0000D4050000}"/>
    <cellStyle name="_Chelan Debt Forecast 12.19.05_Exhibit D fr R Gho 12-31-08_NIM Summary" xfId="1500" xr:uid="{00000000-0005-0000-0000-0000D5050000}"/>
    <cellStyle name="_Chelan Debt Forecast 12.19.05_Exhibit D fr R Gho 12-31-08_NIM Summary 2" xfId="1501" xr:uid="{00000000-0005-0000-0000-0000D6050000}"/>
    <cellStyle name="_Chelan Debt Forecast 12.19.05_Gas Rev Req Model (2010 GRC)" xfId="1502" xr:uid="{00000000-0005-0000-0000-0000D7050000}"/>
    <cellStyle name="_Chelan Debt Forecast 12.19.05_Hopkins Ridge Prepaid Tran - Interest Earned RY 12ME Feb  '11" xfId="1503" xr:uid="{00000000-0005-0000-0000-0000D8050000}"/>
    <cellStyle name="_Chelan Debt Forecast 12.19.05_Hopkins Ridge Prepaid Tran - Interest Earned RY 12ME Feb  '11 2" xfId="1504" xr:uid="{00000000-0005-0000-0000-0000D9050000}"/>
    <cellStyle name="_Chelan Debt Forecast 12.19.05_Hopkins Ridge Prepaid Tran - Interest Earned RY 12ME Feb  '11_NIM Summary" xfId="1505" xr:uid="{00000000-0005-0000-0000-0000DA050000}"/>
    <cellStyle name="_Chelan Debt Forecast 12.19.05_Hopkins Ridge Prepaid Tran - Interest Earned RY 12ME Feb  '11_NIM Summary 2" xfId="1506" xr:uid="{00000000-0005-0000-0000-0000DB050000}"/>
    <cellStyle name="_Chelan Debt Forecast 12.19.05_Hopkins Ridge Prepaid Tran - Interest Earned RY 12ME Feb  '11_Transmission Workbook for May BOD" xfId="1507" xr:uid="{00000000-0005-0000-0000-0000DC050000}"/>
    <cellStyle name="_Chelan Debt Forecast 12.19.05_Hopkins Ridge Prepaid Tran - Interest Earned RY 12ME Feb  '11_Transmission Workbook for May BOD 2" xfId="1508" xr:uid="{00000000-0005-0000-0000-0000DD050000}"/>
    <cellStyle name="_Chelan Debt Forecast 12.19.05_INPUTS" xfId="1509" xr:uid="{00000000-0005-0000-0000-0000DE050000}"/>
    <cellStyle name="_Chelan Debt Forecast 12.19.05_INPUTS 2" xfId="1510" xr:uid="{00000000-0005-0000-0000-0000DF050000}"/>
    <cellStyle name="_Chelan Debt Forecast 12.19.05_INPUTS 2 2" xfId="1511" xr:uid="{00000000-0005-0000-0000-0000E0050000}"/>
    <cellStyle name="_Chelan Debt Forecast 12.19.05_INPUTS 3" xfId="1512" xr:uid="{00000000-0005-0000-0000-0000E1050000}"/>
    <cellStyle name="_Chelan Debt Forecast 12.19.05_NIM Summary" xfId="1513" xr:uid="{00000000-0005-0000-0000-0000E2050000}"/>
    <cellStyle name="_Chelan Debt Forecast 12.19.05_NIM Summary 09GRC" xfId="1514" xr:uid="{00000000-0005-0000-0000-0000E3050000}"/>
    <cellStyle name="_Chelan Debt Forecast 12.19.05_NIM Summary 09GRC 2" xfId="1515" xr:uid="{00000000-0005-0000-0000-0000E4050000}"/>
    <cellStyle name="_Chelan Debt Forecast 12.19.05_NIM Summary 2" xfId="1516" xr:uid="{00000000-0005-0000-0000-0000E5050000}"/>
    <cellStyle name="_Chelan Debt Forecast 12.19.05_NIM Summary 3" xfId="1517" xr:uid="{00000000-0005-0000-0000-0000E6050000}"/>
    <cellStyle name="_Chelan Debt Forecast 12.19.05_NIM Summary 4" xfId="1518" xr:uid="{00000000-0005-0000-0000-0000E7050000}"/>
    <cellStyle name="_Chelan Debt Forecast 12.19.05_NIM Summary 5" xfId="1519" xr:uid="{00000000-0005-0000-0000-0000E8050000}"/>
    <cellStyle name="_Chelan Debt Forecast 12.19.05_NIM Summary 6" xfId="1520" xr:uid="{00000000-0005-0000-0000-0000E9050000}"/>
    <cellStyle name="_Chelan Debt Forecast 12.19.05_NIM Summary 7" xfId="1521" xr:uid="{00000000-0005-0000-0000-0000EA050000}"/>
    <cellStyle name="_Chelan Debt Forecast 12.19.05_NIM Summary 8" xfId="1522" xr:uid="{00000000-0005-0000-0000-0000EB050000}"/>
    <cellStyle name="_Chelan Debt Forecast 12.19.05_NIM Summary 9" xfId="1523" xr:uid="{00000000-0005-0000-0000-0000EC050000}"/>
    <cellStyle name="_Chelan Debt Forecast 12.19.05_PCA 10 -  Exhibit D from A Kellogg Jan 2011" xfId="1524" xr:uid="{00000000-0005-0000-0000-0000ED050000}"/>
    <cellStyle name="_Chelan Debt Forecast 12.19.05_PCA 10 -  Exhibit D from A Kellogg July 2011" xfId="1525" xr:uid="{00000000-0005-0000-0000-0000EE050000}"/>
    <cellStyle name="_Chelan Debt Forecast 12.19.05_PCA 10 -  Exhibit D from S Free Rcv'd 12-11" xfId="1526" xr:uid="{00000000-0005-0000-0000-0000EF050000}"/>
    <cellStyle name="_Chelan Debt Forecast 12.19.05_PCA 7 - Exhibit D update 11_30_08 (2)" xfId="1527" xr:uid="{00000000-0005-0000-0000-0000F0050000}"/>
    <cellStyle name="_Chelan Debt Forecast 12.19.05_PCA 7 - Exhibit D update 11_30_08 (2) 2" xfId="1528" xr:uid="{00000000-0005-0000-0000-0000F1050000}"/>
    <cellStyle name="_Chelan Debt Forecast 12.19.05_PCA 7 - Exhibit D update 11_30_08 (2) 2 2" xfId="1529" xr:uid="{00000000-0005-0000-0000-0000F2050000}"/>
    <cellStyle name="_Chelan Debt Forecast 12.19.05_PCA 7 - Exhibit D update 11_30_08 (2) 3" xfId="1530" xr:uid="{00000000-0005-0000-0000-0000F3050000}"/>
    <cellStyle name="_Chelan Debt Forecast 12.19.05_PCA 7 - Exhibit D update 11_30_08 (2)_NIM Summary" xfId="1531" xr:uid="{00000000-0005-0000-0000-0000F4050000}"/>
    <cellStyle name="_Chelan Debt Forecast 12.19.05_PCA 7 - Exhibit D update 11_30_08 (2)_NIM Summary 2" xfId="1532" xr:uid="{00000000-0005-0000-0000-0000F5050000}"/>
    <cellStyle name="_Chelan Debt Forecast 12.19.05_PCA 8 - Exhibit D update 12_31_09" xfId="1533" xr:uid="{00000000-0005-0000-0000-0000F6050000}"/>
    <cellStyle name="_Chelan Debt Forecast 12.19.05_PCA 9 -  Exhibit D April 2010" xfId="1534" xr:uid="{00000000-0005-0000-0000-0000F7050000}"/>
    <cellStyle name="_Chelan Debt Forecast 12.19.05_PCA 9 -  Exhibit D April 2010 (3)" xfId="1535" xr:uid="{00000000-0005-0000-0000-0000F8050000}"/>
    <cellStyle name="_Chelan Debt Forecast 12.19.05_PCA 9 -  Exhibit D April 2010 (3) 2" xfId="1536" xr:uid="{00000000-0005-0000-0000-0000F9050000}"/>
    <cellStyle name="_Chelan Debt Forecast 12.19.05_PCA 9 -  Exhibit D Feb 2010" xfId="1537" xr:uid="{00000000-0005-0000-0000-0000FA050000}"/>
    <cellStyle name="_Chelan Debt Forecast 12.19.05_PCA 9 -  Exhibit D Feb 2010 v2" xfId="1538" xr:uid="{00000000-0005-0000-0000-0000FB050000}"/>
    <cellStyle name="_Chelan Debt Forecast 12.19.05_PCA 9 -  Exhibit D Feb 2010 WF" xfId="1539" xr:uid="{00000000-0005-0000-0000-0000FC050000}"/>
    <cellStyle name="_Chelan Debt Forecast 12.19.05_PCA 9 -  Exhibit D Jan 2010" xfId="1540" xr:uid="{00000000-0005-0000-0000-0000FD050000}"/>
    <cellStyle name="_Chelan Debt Forecast 12.19.05_PCA 9 -  Exhibit D March 2010 (2)" xfId="1541" xr:uid="{00000000-0005-0000-0000-0000FE050000}"/>
    <cellStyle name="_Chelan Debt Forecast 12.19.05_PCA 9 -  Exhibit D Nov 2010" xfId="1542" xr:uid="{00000000-0005-0000-0000-0000FF050000}"/>
    <cellStyle name="_Chelan Debt Forecast 12.19.05_PCA 9 - Exhibit D at August 2010" xfId="1543" xr:uid="{00000000-0005-0000-0000-000000060000}"/>
    <cellStyle name="_Chelan Debt Forecast 12.19.05_PCA 9 - Exhibit D June 2010 GRC" xfId="1544" xr:uid="{00000000-0005-0000-0000-000001060000}"/>
    <cellStyle name="_Chelan Debt Forecast 12.19.05_Power Costs - Comparison bx Rbtl-Staff-Jt-PC" xfId="1545" xr:uid="{00000000-0005-0000-0000-000002060000}"/>
    <cellStyle name="_Chelan Debt Forecast 12.19.05_Power Costs - Comparison bx Rbtl-Staff-Jt-PC 2" xfId="1546" xr:uid="{00000000-0005-0000-0000-000003060000}"/>
    <cellStyle name="_Chelan Debt Forecast 12.19.05_Power Costs - Comparison bx Rbtl-Staff-Jt-PC 2 2" xfId="1547" xr:uid="{00000000-0005-0000-0000-000004060000}"/>
    <cellStyle name="_Chelan Debt Forecast 12.19.05_Power Costs - Comparison bx Rbtl-Staff-Jt-PC 3" xfId="1548" xr:uid="{00000000-0005-0000-0000-000005060000}"/>
    <cellStyle name="_Chelan Debt Forecast 12.19.05_Power Costs - Comparison bx Rbtl-Staff-Jt-PC_Adj Bench DR 3 for Initial Briefs (Electric)" xfId="1549" xr:uid="{00000000-0005-0000-0000-000006060000}"/>
    <cellStyle name="_Chelan Debt Forecast 12.19.05_Power Costs - Comparison bx Rbtl-Staff-Jt-PC_Adj Bench DR 3 for Initial Briefs (Electric) 2" xfId="1550" xr:uid="{00000000-0005-0000-0000-000007060000}"/>
    <cellStyle name="_Chelan Debt Forecast 12.19.05_Power Costs - Comparison bx Rbtl-Staff-Jt-PC_Adj Bench DR 3 for Initial Briefs (Electric) 2 2" xfId="1551" xr:uid="{00000000-0005-0000-0000-000008060000}"/>
    <cellStyle name="_Chelan Debt Forecast 12.19.05_Power Costs - Comparison bx Rbtl-Staff-Jt-PC_Adj Bench DR 3 for Initial Briefs (Electric) 3" xfId="1552" xr:uid="{00000000-0005-0000-0000-000009060000}"/>
    <cellStyle name="_Chelan Debt Forecast 12.19.05_Power Costs - Comparison bx Rbtl-Staff-Jt-PC_Electric Rev Req Model (2009 GRC) Rebuttal" xfId="1553" xr:uid="{00000000-0005-0000-0000-00000A060000}"/>
    <cellStyle name="_Chelan Debt Forecast 12.19.05_Power Costs - Comparison bx Rbtl-Staff-Jt-PC_Electric Rev Req Model (2009 GRC) Rebuttal 2" xfId="1554" xr:uid="{00000000-0005-0000-0000-00000B060000}"/>
    <cellStyle name="_Chelan Debt Forecast 12.19.05_Power Costs - Comparison bx Rbtl-Staff-Jt-PC_Electric Rev Req Model (2009 GRC) Rebuttal 2 2" xfId="1555" xr:uid="{00000000-0005-0000-0000-00000C060000}"/>
    <cellStyle name="_Chelan Debt Forecast 12.19.05_Power Costs - Comparison bx Rbtl-Staff-Jt-PC_Electric Rev Req Model (2009 GRC) Rebuttal 3" xfId="1556" xr:uid="{00000000-0005-0000-0000-00000D060000}"/>
    <cellStyle name="_Chelan Debt Forecast 12.19.05_Power Costs - Comparison bx Rbtl-Staff-Jt-PC_Electric Rev Req Model (2009 GRC) Rebuttal REmoval of New  WH Solar AdjustMI" xfId="1557" xr:uid="{00000000-0005-0000-0000-00000E060000}"/>
    <cellStyle name="_Chelan Debt Forecast 12.19.05_Power Costs - Comparison bx Rbtl-Staff-Jt-PC_Electric Rev Req Model (2009 GRC) Rebuttal REmoval of New  WH Solar AdjustMI 2" xfId="1558" xr:uid="{00000000-0005-0000-0000-00000F060000}"/>
    <cellStyle name="_Chelan Debt Forecast 12.19.05_Power Costs - Comparison bx Rbtl-Staff-Jt-PC_Electric Rev Req Model (2009 GRC) Rebuttal REmoval of New  WH Solar AdjustMI 2 2" xfId="1559" xr:uid="{00000000-0005-0000-0000-000010060000}"/>
    <cellStyle name="_Chelan Debt Forecast 12.19.05_Power Costs - Comparison bx Rbtl-Staff-Jt-PC_Electric Rev Req Model (2009 GRC) Rebuttal REmoval of New  WH Solar AdjustMI 3" xfId="1560" xr:uid="{00000000-0005-0000-0000-000011060000}"/>
    <cellStyle name="_Chelan Debt Forecast 12.19.05_Power Costs - Comparison bx Rbtl-Staff-Jt-PC_Electric Rev Req Model (2009 GRC) Revised 01-18-2010" xfId="1561" xr:uid="{00000000-0005-0000-0000-000012060000}"/>
    <cellStyle name="_Chelan Debt Forecast 12.19.05_Power Costs - Comparison bx Rbtl-Staff-Jt-PC_Electric Rev Req Model (2009 GRC) Revised 01-18-2010 2" xfId="1562" xr:uid="{00000000-0005-0000-0000-000013060000}"/>
    <cellStyle name="_Chelan Debt Forecast 12.19.05_Power Costs - Comparison bx Rbtl-Staff-Jt-PC_Electric Rev Req Model (2009 GRC) Revised 01-18-2010 2 2" xfId="1563" xr:uid="{00000000-0005-0000-0000-000014060000}"/>
    <cellStyle name="_Chelan Debt Forecast 12.19.05_Power Costs - Comparison bx Rbtl-Staff-Jt-PC_Electric Rev Req Model (2009 GRC) Revised 01-18-2010 3" xfId="1564" xr:uid="{00000000-0005-0000-0000-000015060000}"/>
    <cellStyle name="_Chelan Debt Forecast 12.19.05_Power Costs - Comparison bx Rbtl-Staff-Jt-PC_Final Order Electric EXHIBIT A-1" xfId="1565" xr:uid="{00000000-0005-0000-0000-000016060000}"/>
    <cellStyle name="_Chelan Debt Forecast 12.19.05_Power Costs - Comparison bx Rbtl-Staff-Jt-PC_Final Order Electric EXHIBIT A-1 2" xfId="1566" xr:uid="{00000000-0005-0000-0000-000017060000}"/>
    <cellStyle name="_Chelan Debt Forecast 12.19.05_Power Costs - Comparison bx Rbtl-Staff-Jt-PC_Final Order Electric EXHIBIT A-1 2 2" xfId="1567" xr:uid="{00000000-0005-0000-0000-000018060000}"/>
    <cellStyle name="_Chelan Debt Forecast 12.19.05_Power Costs - Comparison bx Rbtl-Staff-Jt-PC_Final Order Electric EXHIBIT A-1 3" xfId="1568" xr:uid="{00000000-0005-0000-0000-000019060000}"/>
    <cellStyle name="_Chelan Debt Forecast 12.19.05_Production Adj 4.37" xfId="1569" xr:uid="{00000000-0005-0000-0000-00001A060000}"/>
    <cellStyle name="_Chelan Debt Forecast 12.19.05_Production Adj 4.37 2" xfId="1570" xr:uid="{00000000-0005-0000-0000-00001B060000}"/>
    <cellStyle name="_Chelan Debt Forecast 12.19.05_Production Adj 4.37 2 2" xfId="1571" xr:uid="{00000000-0005-0000-0000-00001C060000}"/>
    <cellStyle name="_Chelan Debt Forecast 12.19.05_Production Adj 4.37 3" xfId="1572" xr:uid="{00000000-0005-0000-0000-00001D060000}"/>
    <cellStyle name="_Chelan Debt Forecast 12.19.05_Purchased Power Adj 4.03" xfId="1573" xr:uid="{00000000-0005-0000-0000-00001E060000}"/>
    <cellStyle name="_Chelan Debt Forecast 12.19.05_Purchased Power Adj 4.03 2" xfId="1574" xr:uid="{00000000-0005-0000-0000-00001F060000}"/>
    <cellStyle name="_Chelan Debt Forecast 12.19.05_Purchased Power Adj 4.03 2 2" xfId="1575" xr:uid="{00000000-0005-0000-0000-000020060000}"/>
    <cellStyle name="_Chelan Debt Forecast 12.19.05_Purchased Power Adj 4.03 3" xfId="1576" xr:uid="{00000000-0005-0000-0000-000021060000}"/>
    <cellStyle name="_Chelan Debt Forecast 12.19.05_Rebuttal Power Costs" xfId="1577" xr:uid="{00000000-0005-0000-0000-000022060000}"/>
    <cellStyle name="_Chelan Debt Forecast 12.19.05_Rebuttal Power Costs 2" xfId="1578" xr:uid="{00000000-0005-0000-0000-000023060000}"/>
    <cellStyle name="_Chelan Debt Forecast 12.19.05_Rebuttal Power Costs 2 2" xfId="1579" xr:uid="{00000000-0005-0000-0000-000024060000}"/>
    <cellStyle name="_Chelan Debt Forecast 12.19.05_Rebuttal Power Costs 3" xfId="1580" xr:uid="{00000000-0005-0000-0000-000025060000}"/>
    <cellStyle name="_Chelan Debt Forecast 12.19.05_Rebuttal Power Costs_Adj Bench DR 3 for Initial Briefs (Electric)" xfId="1581" xr:uid="{00000000-0005-0000-0000-000026060000}"/>
    <cellStyle name="_Chelan Debt Forecast 12.19.05_Rebuttal Power Costs_Adj Bench DR 3 for Initial Briefs (Electric) 2" xfId="1582" xr:uid="{00000000-0005-0000-0000-000027060000}"/>
    <cellStyle name="_Chelan Debt Forecast 12.19.05_Rebuttal Power Costs_Adj Bench DR 3 for Initial Briefs (Electric) 2 2" xfId="1583" xr:uid="{00000000-0005-0000-0000-000028060000}"/>
    <cellStyle name="_Chelan Debt Forecast 12.19.05_Rebuttal Power Costs_Adj Bench DR 3 for Initial Briefs (Electric) 3" xfId="1584" xr:uid="{00000000-0005-0000-0000-000029060000}"/>
    <cellStyle name="_Chelan Debt Forecast 12.19.05_Rebuttal Power Costs_Electric Rev Req Model (2009 GRC) Rebuttal" xfId="1585" xr:uid="{00000000-0005-0000-0000-00002A060000}"/>
    <cellStyle name="_Chelan Debt Forecast 12.19.05_Rebuttal Power Costs_Electric Rev Req Model (2009 GRC) Rebuttal 2" xfId="1586" xr:uid="{00000000-0005-0000-0000-00002B060000}"/>
    <cellStyle name="_Chelan Debt Forecast 12.19.05_Rebuttal Power Costs_Electric Rev Req Model (2009 GRC) Rebuttal 2 2" xfId="1587" xr:uid="{00000000-0005-0000-0000-00002C060000}"/>
    <cellStyle name="_Chelan Debt Forecast 12.19.05_Rebuttal Power Costs_Electric Rev Req Model (2009 GRC) Rebuttal 3" xfId="1588" xr:uid="{00000000-0005-0000-0000-00002D060000}"/>
    <cellStyle name="_Chelan Debt Forecast 12.19.05_Rebuttal Power Costs_Electric Rev Req Model (2009 GRC) Rebuttal REmoval of New  WH Solar AdjustMI" xfId="1589" xr:uid="{00000000-0005-0000-0000-00002E060000}"/>
    <cellStyle name="_Chelan Debt Forecast 12.19.05_Rebuttal Power Costs_Electric Rev Req Model (2009 GRC) Rebuttal REmoval of New  WH Solar AdjustMI 2" xfId="1590" xr:uid="{00000000-0005-0000-0000-00002F060000}"/>
    <cellStyle name="_Chelan Debt Forecast 12.19.05_Rebuttal Power Costs_Electric Rev Req Model (2009 GRC) Rebuttal REmoval of New  WH Solar AdjustMI 2 2" xfId="1591" xr:uid="{00000000-0005-0000-0000-000030060000}"/>
    <cellStyle name="_Chelan Debt Forecast 12.19.05_Rebuttal Power Costs_Electric Rev Req Model (2009 GRC) Rebuttal REmoval of New  WH Solar AdjustMI 3" xfId="1592" xr:uid="{00000000-0005-0000-0000-000031060000}"/>
    <cellStyle name="_Chelan Debt Forecast 12.19.05_Rebuttal Power Costs_Electric Rev Req Model (2009 GRC) Revised 01-18-2010" xfId="1593" xr:uid="{00000000-0005-0000-0000-000032060000}"/>
    <cellStyle name="_Chelan Debt Forecast 12.19.05_Rebuttal Power Costs_Electric Rev Req Model (2009 GRC) Revised 01-18-2010 2" xfId="1594" xr:uid="{00000000-0005-0000-0000-000033060000}"/>
    <cellStyle name="_Chelan Debt Forecast 12.19.05_Rebuttal Power Costs_Electric Rev Req Model (2009 GRC) Revised 01-18-2010 2 2" xfId="1595" xr:uid="{00000000-0005-0000-0000-000034060000}"/>
    <cellStyle name="_Chelan Debt Forecast 12.19.05_Rebuttal Power Costs_Electric Rev Req Model (2009 GRC) Revised 01-18-2010 3" xfId="1596" xr:uid="{00000000-0005-0000-0000-000035060000}"/>
    <cellStyle name="_Chelan Debt Forecast 12.19.05_Rebuttal Power Costs_Final Order Electric EXHIBIT A-1" xfId="1597" xr:uid="{00000000-0005-0000-0000-000036060000}"/>
    <cellStyle name="_Chelan Debt Forecast 12.19.05_Rebuttal Power Costs_Final Order Electric EXHIBIT A-1 2" xfId="1598" xr:uid="{00000000-0005-0000-0000-000037060000}"/>
    <cellStyle name="_Chelan Debt Forecast 12.19.05_Rebuttal Power Costs_Final Order Electric EXHIBIT A-1 2 2" xfId="1599" xr:uid="{00000000-0005-0000-0000-000038060000}"/>
    <cellStyle name="_Chelan Debt Forecast 12.19.05_Rebuttal Power Costs_Final Order Electric EXHIBIT A-1 3" xfId="1600" xr:uid="{00000000-0005-0000-0000-000039060000}"/>
    <cellStyle name="_Chelan Debt Forecast 12.19.05_ROR &amp; CONV FACTOR" xfId="1601" xr:uid="{00000000-0005-0000-0000-00003A060000}"/>
    <cellStyle name="_Chelan Debt Forecast 12.19.05_ROR &amp; CONV FACTOR 2" xfId="1602" xr:uid="{00000000-0005-0000-0000-00003B060000}"/>
    <cellStyle name="_Chelan Debt Forecast 12.19.05_ROR &amp; CONV FACTOR 2 2" xfId="1603" xr:uid="{00000000-0005-0000-0000-00003C060000}"/>
    <cellStyle name="_Chelan Debt Forecast 12.19.05_ROR &amp; CONV FACTOR 3" xfId="1604" xr:uid="{00000000-0005-0000-0000-00003D060000}"/>
    <cellStyle name="_Chelan Debt Forecast 12.19.05_ROR 5.02" xfId="1605" xr:uid="{00000000-0005-0000-0000-00003E060000}"/>
    <cellStyle name="_Chelan Debt Forecast 12.19.05_ROR 5.02 2" xfId="1606" xr:uid="{00000000-0005-0000-0000-00003F060000}"/>
    <cellStyle name="_Chelan Debt Forecast 12.19.05_ROR 5.02 2 2" xfId="1607" xr:uid="{00000000-0005-0000-0000-000040060000}"/>
    <cellStyle name="_Chelan Debt Forecast 12.19.05_ROR 5.02 3" xfId="1608" xr:uid="{00000000-0005-0000-0000-000041060000}"/>
    <cellStyle name="_Chelan Debt Forecast 12.19.05_Transmission Workbook for May BOD" xfId="1609" xr:uid="{00000000-0005-0000-0000-000042060000}"/>
    <cellStyle name="_Chelan Debt Forecast 12.19.05_Transmission Workbook for May BOD 2" xfId="1610" xr:uid="{00000000-0005-0000-0000-000043060000}"/>
    <cellStyle name="_Chelan Debt Forecast 12.19.05_Wind Integration 10GRC" xfId="1611" xr:uid="{00000000-0005-0000-0000-000044060000}"/>
    <cellStyle name="_Chelan Debt Forecast 12.19.05_Wind Integration 10GRC 2" xfId="1612" xr:uid="{00000000-0005-0000-0000-000045060000}"/>
    <cellStyle name="_Colstrip FOR - GADS 1990-2009" xfId="1613" xr:uid="{00000000-0005-0000-0000-000046060000}"/>
    <cellStyle name="_Colstrip FOR - GADS 1990-2009 2" xfId="1614" xr:uid="{00000000-0005-0000-0000-000047060000}"/>
    <cellStyle name="_x0013__Confidential Material" xfId="1615" xr:uid="{00000000-0005-0000-0000-000048060000}"/>
    <cellStyle name="_Copy 11-9 Sumas Proforma - Current" xfId="1616" xr:uid="{00000000-0005-0000-0000-000049060000}"/>
    <cellStyle name="_Costs not in AURORA 06GRC" xfId="1617" xr:uid="{00000000-0005-0000-0000-00004A060000}"/>
    <cellStyle name="_Costs not in AURORA 06GRC 2" xfId="1618" xr:uid="{00000000-0005-0000-0000-00004B060000}"/>
    <cellStyle name="_Costs not in AURORA 06GRC 2 2" xfId="1619" xr:uid="{00000000-0005-0000-0000-00004C060000}"/>
    <cellStyle name="_Costs not in AURORA 06GRC 2 2 2" xfId="1620" xr:uid="{00000000-0005-0000-0000-00004D060000}"/>
    <cellStyle name="_Costs not in AURORA 06GRC 2 3" xfId="1621" xr:uid="{00000000-0005-0000-0000-00004E060000}"/>
    <cellStyle name="_Costs not in AURORA 06GRC 3" xfId="1622" xr:uid="{00000000-0005-0000-0000-00004F060000}"/>
    <cellStyle name="_Costs not in AURORA 06GRC 3 2" xfId="1623" xr:uid="{00000000-0005-0000-0000-000050060000}"/>
    <cellStyle name="_Costs not in AURORA 06GRC 3 2 2" xfId="1624" xr:uid="{00000000-0005-0000-0000-000051060000}"/>
    <cellStyle name="_Costs not in AURORA 06GRC 3 3" xfId="1625" xr:uid="{00000000-0005-0000-0000-000052060000}"/>
    <cellStyle name="_Costs not in AURORA 06GRC 3 3 2" xfId="1626" xr:uid="{00000000-0005-0000-0000-000053060000}"/>
    <cellStyle name="_Costs not in AURORA 06GRC 3 4" xfId="1627" xr:uid="{00000000-0005-0000-0000-000054060000}"/>
    <cellStyle name="_Costs not in AURORA 06GRC 3 4 2" xfId="1628" xr:uid="{00000000-0005-0000-0000-000055060000}"/>
    <cellStyle name="_Costs not in AURORA 06GRC 4" xfId="1629" xr:uid="{00000000-0005-0000-0000-000056060000}"/>
    <cellStyle name="_Costs not in AURORA 06GRC 4 2" xfId="1630" xr:uid="{00000000-0005-0000-0000-000057060000}"/>
    <cellStyle name="_Costs not in AURORA 06GRC 5" xfId="1631" xr:uid="{00000000-0005-0000-0000-000058060000}"/>
    <cellStyle name="_Costs not in AURORA 06GRC 6" xfId="1632" xr:uid="{00000000-0005-0000-0000-000059060000}"/>
    <cellStyle name="_Costs not in AURORA 06GRC 7" xfId="1633" xr:uid="{00000000-0005-0000-0000-00005A060000}"/>
    <cellStyle name="_Costs not in AURORA 06GRC_04 07E Wild Horse Wind Expansion (C) (2)" xfId="1634" xr:uid="{00000000-0005-0000-0000-00005B060000}"/>
    <cellStyle name="_Costs not in AURORA 06GRC_04 07E Wild Horse Wind Expansion (C) (2) 2" xfId="1635" xr:uid="{00000000-0005-0000-0000-00005C060000}"/>
    <cellStyle name="_Costs not in AURORA 06GRC_04 07E Wild Horse Wind Expansion (C) (2) 2 2" xfId="1636" xr:uid="{00000000-0005-0000-0000-00005D060000}"/>
    <cellStyle name="_Costs not in AURORA 06GRC_04 07E Wild Horse Wind Expansion (C) (2) 3" xfId="1637" xr:uid="{00000000-0005-0000-0000-00005E060000}"/>
    <cellStyle name="_Costs not in AURORA 06GRC_04 07E Wild Horse Wind Expansion (C) (2)_Adj Bench DR 3 for Initial Briefs (Electric)" xfId="1638" xr:uid="{00000000-0005-0000-0000-00005F060000}"/>
    <cellStyle name="_Costs not in AURORA 06GRC_04 07E Wild Horse Wind Expansion (C) (2)_Adj Bench DR 3 for Initial Briefs (Electric) 2" xfId="1639" xr:uid="{00000000-0005-0000-0000-000060060000}"/>
    <cellStyle name="_Costs not in AURORA 06GRC_04 07E Wild Horse Wind Expansion (C) (2)_Adj Bench DR 3 for Initial Briefs (Electric) 2 2" xfId="1640" xr:uid="{00000000-0005-0000-0000-000061060000}"/>
    <cellStyle name="_Costs not in AURORA 06GRC_04 07E Wild Horse Wind Expansion (C) (2)_Adj Bench DR 3 for Initial Briefs (Electric) 3" xfId="1641" xr:uid="{00000000-0005-0000-0000-000062060000}"/>
    <cellStyle name="_Costs not in AURORA 06GRC_04 07E Wild Horse Wind Expansion (C) (2)_Book1" xfId="1642" xr:uid="{00000000-0005-0000-0000-000063060000}"/>
    <cellStyle name="_Costs not in AURORA 06GRC_04 07E Wild Horse Wind Expansion (C) (2)_Electric Rev Req Model (2009 GRC) " xfId="1643" xr:uid="{00000000-0005-0000-0000-000064060000}"/>
    <cellStyle name="_Costs not in AURORA 06GRC_04 07E Wild Horse Wind Expansion (C) (2)_Electric Rev Req Model (2009 GRC)  2" xfId="1644" xr:uid="{00000000-0005-0000-0000-000065060000}"/>
    <cellStyle name="_Costs not in AURORA 06GRC_04 07E Wild Horse Wind Expansion (C) (2)_Electric Rev Req Model (2009 GRC)  2 2" xfId="1645" xr:uid="{00000000-0005-0000-0000-000066060000}"/>
    <cellStyle name="_Costs not in AURORA 06GRC_04 07E Wild Horse Wind Expansion (C) (2)_Electric Rev Req Model (2009 GRC)  3" xfId="1646" xr:uid="{00000000-0005-0000-0000-000067060000}"/>
    <cellStyle name="_Costs not in AURORA 06GRC_04 07E Wild Horse Wind Expansion (C) (2)_Electric Rev Req Model (2009 GRC) Rebuttal" xfId="1647" xr:uid="{00000000-0005-0000-0000-000068060000}"/>
    <cellStyle name="_Costs not in AURORA 06GRC_04 07E Wild Horse Wind Expansion (C) (2)_Electric Rev Req Model (2009 GRC) Rebuttal 2" xfId="1648" xr:uid="{00000000-0005-0000-0000-000069060000}"/>
    <cellStyle name="_Costs not in AURORA 06GRC_04 07E Wild Horse Wind Expansion (C) (2)_Electric Rev Req Model (2009 GRC) Rebuttal 2 2" xfId="1649" xr:uid="{00000000-0005-0000-0000-00006A060000}"/>
    <cellStyle name="_Costs not in AURORA 06GRC_04 07E Wild Horse Wind Expansion (C) (2)_Electric Rev Req Model (2009 GRC) Rebuttal 3" xfId="1650" xr:uid="{00000000-0005-0000-0000-00006B060000}"/>
    <cellStyle name="_Costs not in AURORA 06GRC_04 07E Wild Horse Wind Expansion (C) (2)_Electric Rev Req Model (2009 GRC) Rebuttal REmoval of New  WH Solar AdjustMI" xfId="1651" xr:uid="{00000000-0005-0000-0000-00006C060000}"/>
    <cellStyle name="_Costs not in AURORA 06GRC_04 07E Wild Horse Wind Expansion (C) (2)_Electric Rev Req Model (2009 GRC) Rebuttal REmoval of New  WH Solar AdjustMI 2" xfId="1652" xr:uid="{00000000-0005-0000-0000-00006D060000}"/>
    <cellStyle name="_Costs not in AURORA 06GRC_04 07E Wild Horse Wind Expansion (C) (2)_Electric Rev Req Model (2009 GRC) Rebuttal REmoval of New  WH Solar AdjustMI 2 2" xfId="1653" xr:uid="{00000000-0005-0000-0000-00006E060000}"/>
    <cellStyle name="_Costs not in AURORA 06GRC_04 07E Wild Horse Wind Expansion (C) (2)_Electric Rev Req Model (2009 GRC) Rebuttal REmoval of New  WH Solar AdjustMI 3" xfId="1654" xr:uid="{00000000-0005-0000-0000-00006F060000}"/>
    <cellStyle name="_Costs not in AURORA 06GRC_04 07E Wild Horse Wind Expansion (C) (2)_Electric Rev Req Model (2009 GRC) Revised 01-18-2010" xfId="1655" xr:uid="{00000000-0005-0000-0000-000070060000}"/>
    <cellStyle name="_Costs not in AURORA 06GRC_04 07E Wild Horse Wind Expansion (C) (2)_Electric Rev Req Model (2009 GRC) Revised 01-18-2010 2" xfId="1656" xr:uid="{00000000-0005-0000-0000-000071060000}"/>
    <cellStyle name="_Costs not in AURORA 06GRC_04 07E Wild Horse Wind Expansion (C) (2)_Electric Rev Req Model (2009 GRC) Revised 01-18-2010 2 2" xfId="1657" xr:uid="{00000000-0005-0000-0000-000072060000}"/>
    <cellStyle name="_Costs not in AURORA 06GRC_04 07E Wild Horse Wind Expansion (C) (2)_Electric Rev Req Model (2009 GRC) Revised 01-18-2010 3" xfId="1658" xr:uid="{00000000-0005-0000-0000-000073060000}"/>
    <cellStyle name="_Costs not in AURORA 06GRC_04 07E Wild Horse Wind Expansion (C) (2)_Electric Rev Req Model (2010 GRC)" xfId="1659" xr:uid="{00000000-0005-0000-0000-000074060000}"/>
    <cellStyle name="_Costs not in AURORA 06GRC_04 07E Wild Horse Wind Expansion (C) (2)_Electric Rev Req Model (2010 GRC) SF" xfId="1660" xr:uid="{00000000-0005-0000-0000-000075060000}"/>
    <cellStyle name="_Costs not in AURORA 06GRC_04 07E Wild Horse Wind Expansion (C) (2)_Final Order Electric EXHIBIT A-1" xfId="1661" xr:uid="{00000000-0005-0000-0000-000076060000}"/>
    <cellStyle name="_Costs not in AURORA 06GRC_04 07E Wild Horse Wind Expansion (C) (2)_Final Order Electric EXHIBIT A-1 2" xfId="1662" xr:uid="{00000000-0005-0000-0000-000077060000}"/>
    <cellStyle name="_Costs not in AURORA 06GRC_04 07E Wild Horse Wind Expansion (C) (2)_Final Order Electric EXHIBIT A-1 2 2" xfId="1663" xr:uid="{00000000-0005-0000-0000-000078060000}"/>
    <cellStyle name="_Costs not in AURORA 06GRC_04 07E Wild Horse Wind Expansion (C) (2)_Final Order Electric EXHIBIT A-1 3" xfId="1664" xr:uid="{00000000-0005-0000-0000-000079060000}"/>
    <cellStyle name="_Costs not in AURORA 06GRC_04 07E Wild Horse Wind Expansion (C) (2)_TENASKA REGULATORY ASSET" xfId="1665" xr:uid="{00000000-0005-0000-0000-00007A060000}"/>
    <cellStyle name="_Costs not in AURORA 06GRC_04 07E Wild Horse Wind Expansion (C) (2)_TENASKA REGULATORY ASSET 2" xfId="1666" xr:uid="{00000000-0005-0000-0000-00007B060000}"/>
    <cellStyle name="_Costs not in AURORA 06GRC_04 07E Wild Horse Wind Expansion (C) (2)_TENASKA REGULATORY ASSET 2 2" xfId="1667" xr:uid="{00000000-0005-0000-0000-00007C060000}"/>
    <cellStyle name="_Costs not in AURORA 06GRC_04 07E Wild Horse Wind Expansion (C) (2)_TENASKA REGULATORY ASSET 3" xfId="1668" xr:uid="{00000000-0005-0000-0000-00007D060000}"/>
    <cellStyle name="_Costs not in AURORA 06GRC_16.37E Wild Horse Expansion DeferralRevwrkingfile SF" xfId="1669" xr:uid="{00000000-0005-0000-0000-00007E060000}"/>
    <cellStyle name="_Costs not in AURORA 06GRC_16.37E Wild Horse Expansion DeferralRevwrkingfile SF 2" xfId="1670" xr:uid="{00000000-0005-0000-0000-00007F060000}"/>
    <cellStyle name="_Costs not in AURORA 06GRC_16.37E Wild Horse Expansion DeferralRevwrkingfile SF 2 2" xfId="1671" xr:uid="{00000000-0005-0000-0000-000080060000}"/>
    <cellStyle name="_Costs not in AURORA 06GRC_16.37E Wild Horse Expansion DeferralRevwrkingfile SF 3" xfId="1672" xr:uid="{00000000-0005-0000-0000-000081060000}"/>
    <cellStyle name="_Costs not in AURORA 06GRC_2009 Compliance Filing PCA Exhibits for GRC" xfId="1673" xr:uid="{00000000-0005-0000-0000-000082060000}"/>
    <cellStyle name="_Costs not in AURORA 06GRC_2009 GRC Compl Filing - Exhibit D" xfId="1674" xr:uid="{00000000-0005-0000-0000-000083060000}"/>
    <cellStyle name="_Costs not in AURORA 06GRC_2009 GRC Compl Filing - Exhibit D 2" xfId="1675" xr:uid="{00000000-0005-0000-0000-000084060000}"/>
    <cellStyle name="_Costs not in AURORA 06GRC_3.01 Income Statement" xfId="1676" xr:uid="{00000000-0005-0000-0000-000085060000}"/>
    <cellStyle name="_Costs not in AURORA 06GRC_4 31 Regulatory Assets and Liabilities  7 06- Exhibit D" xfId="1677" xr:uid="{00000000-0005-0000-0000-000086060000}"/>
    <cellStyle name="_Costs not in AURORA 06GRC_4 31 Regulatory Assets and Liabilities  7 06- Exhibit D 2" xfId="1678" xr:uid="{00000000-0005-0000-0000-000087060000}"/>
    <cellStyle name="_Costs not in AURORA 06GRC_4 31 Regulatory Assets and Liabilities  7 06- Exhibit D 2 2" xfId="1679" xr:uid="{00000000-0005-0000-0000-000088060000}"/>
    <cellStyle name="_Costs not in AURORA 06GRC_4 31 Regulatory Assets and Liabilities  7 06- Exhibit D 3" xfId="1680" xr:uid="{00000000-0005-0000-0000-000089060000}"/>
    <cellStyle name="_Costs not in AURORA 06GRC_4 31 Regulatory Assets and Liabilities  7 06- Exhibit D_NIM Summary" xfId="1681" xr:uid="{00000000-0005-0000-0000-00008A060000}"/>
    <cellStyle name="_Costs not in AURORA 06GRC_4 31 Regulatory Assets and Liabilities  7 06- Exhibit D_NIM Summary 2" xfId="1682" xr:uid="{00000000-0005-0000-0000-00008B060000}"/>
    <cellStyle name="_Costs not in AURORA 06GRC_4 32 Regulatory Assets and Liabilities  7 06- Exhibit D" xfId="1683" xr:uid="{00000000-0005-0000-0000-00008C060000}"/>
    <cellStyle name="_Costs not in AURORA 06GRC_4 32 Regulatory Assets and Liabilities  7 06- Exhibit D 2" xfId="1684" xr:uid="{00000000-0005-0000-0000-00008D060000}"/>
    <cellStyle name="_Costs not in AURORA 06GRC_4 32 Regulatory Assets and Liabilities  7 06- Exhibit D 2 2" xfId="1685" xr:uid="{00000000-0005-0000-0000-00008E060000}"/>
    <cellStyle name="_Costs not in AURORA 06GRC_4 32 Regulatory Assets and Liabilities  7 06- Exhibit D 3" xfId="1686" xr:uid="{00000000-0005-0000-0000-00008F060000}"/>
    <cellStyle name="_Costs not in AURORA 06GRC_4 32 Regulatory Assets and Liabilities  7 06- Exhibit D_NIM Summary" xfId="1687" xr:uid="{00000000-0005-0000-0000-000090060000}"/>
    <cellStyle name="_Costs not in AURORA 06GRC_4 32 Regulatory Assets and Liabilities  7 06- Exhibit D_NIM Summary 2" xfId="1688" xr:uid="{00000000-0005-0000-0000-000091060000}"/>
    <cellStyle name="_Costs not in AURORA 06GRC_ACCOUNTS" xfId="1689" xr:uid="{00000000-0005-0000-0000-000092060000}"/>
    <cellStyle name="_Costs not in AURORA 06GRC_AURORA Total New" xfId="1690" xr:uid="{00000000-0005-0000-0000-000093060000}"/>
    <cellStyle name="_Costs not in AURORA 06GRC_AURORA Total New 2" xfId="1691" xr:uid="{00000000-0005-0000-0000-000094060000}"/>
    <cellStyle name="_Costs not in AURORA 06GRC_Book2" xfId="1692" xr:uid="{00000000-0005-0000-0000-000095060000}"/>
    <cellStyle name="_Costs not in AURORA 06GRC_Book2 2" xfId="1693" xr:uid="{00000000-0005-0000-0000-000096060000}"/>
    <cellStyle name="_Costs not in AURORA 06GRC_Book2 2 2" xfId="1694" xr:uid="{00000000-0005-0000-0000-000097060000}"/>
    <cellStyle name="_Costs not in AURORA 06GRC_Book2 3" xfId="1695" xr:uid="{00000000-0005-0000-0000-000098060000}"/>
    <cellStyle name="_Costs not in AURORA 06GRC_Book2_Adj Bench DR 3 for Initial Briefs (Electric)" xfId="1696" xr:uid="{00000000-0005-0000-0000-000099060000}"/>
    <cellStyle name="_Costs not in AURORA 06GRC_Book2_Adj Bench DR 3 for Initial Briefs (Electric) 2" xfId="1697" xr:uid="{00000000-0005-0000-0000-00009A060000}"/>
    <cellStyle name="_Costs not in AURORA 06GRC_Book2_Adj Bench DR 3 for Initial Briefs (Electric) 2 2" xfId="1698" xr:uid="{00000000-0005-0000-0000-00009B060000}"/>
    <cellStyle name="_Costs not in AURORA 06GRC_Book2_Adj Bench DR 3 for Initial Briefs (Electric) 3" xfId="1699" xr:uid="{00000000-0005-0000-0000-00009C060000}"/>
    <cellStyle name="_Costs not in AURORA 06GRC_Book2_Electric Rev Req Model (2009 GRC) Rebuttal" xfId="1700" xr:uid="{00000000-0005-0000-0000-00009D060000}"/>
    <cellStyle name="_Costs not in AURORA 06GRC_Book2_Electric Rev Req Model (2009 GRC) Rebuttal 2" xfId="1701" xr:uid="{00000000-0005-0000-0000-00009E060000}"/>
    <cellStyle name="_Costs not in AURORA 06GRC_Book2_Electric Rev Req Model (2009 GRC) Rebuttal 2 2" xfId="1702" xr:uid="{00000000-0005-0000-0000-00009F060000}"/>
    <cellStyle name="_Costs not in AURORA 06GRC_Book2_Electric Rev Req Model (2009 GRC) Rebuttal 3" xfId="1703" xr:uid="{00000000-0005-0000-0000-0000A0060000}"/>
    <cellStyle name="_Costs not in AURORA 06GRC_Book2_Electric Rev Req Model (2009 GRC) Rebuttal REmoval of New  WH Solar AdjustMI" xfId="1704" xr:uid="{00000000-0005-0000-0000-0000A1060000}"/>
    <cellStyle name="_Costs not in AURORA 06GRC_Book2_Electric Rev Req Model (2009 GRC) Rebuttal REmoval of New  WH Solar AdjustMI 2" xfId="1705" xr:uid="{00000000-0005-0000-0000-0000A2060000}"/>
    <cellStyle name="_Costs not in AURORA 06GRC_Book2_Electric Rev Req Model (2009 GRC) Rebuttal REmoval of New  WH Solar AdjustMI 2 2" xfId="1706" xr:uid="{00000000-0005-0000-0000-0000A3060000}"/>
    <cellStyle name="_Costs not in AURORA 06GRC_Book2_Electric Rev Req Model (2009 GRC) Rebuttal REmoval of New  WH Solar AdjustMI 3" xfId="1707" xr:uid="{00000000-0005-0000-0000-0000A4060000}"/>
    <cellStyle name="_Costs not in AURORA 06GRC_Book2_Electric Rev Req Model (2009 GRC) Revised 01-18-2010" xfId="1708" xr:uid="{00000000-0005-0000-0000-0000A5060000}"/>
    <cellStyle name="_Costs not in AURORA 06GRC_Book2_Electric Rev Req Model (2009 GRC) Revised 01-18-2010 2" xfId="1709" xr:uid="{00000000-0005-0000-0000-0000A6060000}"/>
    <cellStyle name="_Costs not in AURORA 06GRC_Book2_Electric Rev Req Model (2009 GRC) Revised 01-18-2010 2 2" xfId="1710" xr:uid="{00000000-0005-0000-0000-0000A7060000}"/>
    <cellStyle name="_Costs not in AURORA 06GRC_Book2_Electric Rev Req Model (2009 GRC) Revised 01-18-2010 3" xfId="1711" xr:uid="{00000000-0005-0000-0000-0000A8060000}"/>
    <cellStyle name="_Costs not in AURORA 06GRC_Book2_Final Order Electric EXHIBIT A-1" xfId="1712" xr:uid="{00000000-0005-0000-0000-0000A9060000}"/>
    <cellStyle name="_Costs not in AURORA 06GRC_Book2_Final Order Electric EXHIBIT A-1 2" xfId="1713" xr:uid="{00000000-0005-0000-0000-0000AA060000}"/>
    <cellStyle name="_Costs not in AURORA 06GRC_Book2_Final Order Electric EXHIBIT A-1 2 2" xfId="1714" xr:uid="{00000000-0005-0000-0000-0000AB060000}"/>
    <cellStyle name="_Costs not in AURORA 06GRC_Book2_Final Order Electric EXHIBIT A-1 3" xfId="1715" xr:uid="{00000000-0005-0000-0000-0000AC060000}"/>
    <cellStyle name="_Costs not in AURORA 06GRC_Book4" xfId="1716" xr:uid="{00000000-0005-0000-0000-0000AD060000}"/>
    <cellStyle name="_Costs not in AURORA 06GRC_Book4 2" xfId="1717" xr:uid="{00000000-0005-0000-0000-0000AE060000}"/>
    <cellStyle name="_Costs not in AURORA 06GRC_Book4 2 2" xfId="1718" xr:uid="{00000000-0005-0000-0000-0000AF060000}"/>
    <cellStyle name="_Costs not in AURORA 06GRC_Book4 3" xfId="1719" xr:uid="{00000000-0005-0000-0000-0000B0060000}"/>
    <cellStyle name="_Costs not in AURORA 06GRC_Book9" xfId="1720" xr:uid="{00000000-0005-0000-0000-0000B1060000}"/>
    <cellStyle name="_Costs not in AURORA 06GRC_Book9 2" xfId="1721" xr:uid="{00000000-0005-0000-0000-0000B2060000}"/>
    <cellStyle name="_Costs not in AURORA 06GRC_Book9 2 2" xfId="1722" xr:uid="{00000000-0005-0000-0000-0000B3060000}"/>
    <cellStyle name="_Costs not in AURORA 06GRC_Book9 3" xfId="1723" xr:uid="{00000000-0005-0000-0000-0000B4060000}"/>
    <cellStyle name="_Costs not in AURORA 06GRC_Check the Interest Calculation" xfId="1724" xr:uid="{00000000-0005-0000-0000-0000B5060000}"/>
    <cellStyle name="_Costs not in AURORA 06GRC_Check the Interest Calculation_Scenario 1 REC vs PTC Offset" xfId="1725" xr:uid="{00000000-0005-0000-0000-0000B6060000}"/>
    <cellStyle name="_Costs not in AURORA 06GRC_Check the Interest Calculation_Scenario 3" xfId="1726" xr:uid="{00000000-0005-0000-0000-0000B7060000}"/>
    <cellStyle name="_Costs not in AURORA 06GRC_Chelan PUD Power Costs (8-10)" xfId="1727" xr:uid="{00000000-0005-0000-0000-0000B8060000}"/>
    <cellStyle name="_Costs not in AURORA 06GRC_Exhibit D fr R Gho 12-31-08" xfId="1728" xr:uid="{00000000-0005-0000-0000-0000B9060000}"/>
    <cellStyle name="_Costs not in AURORA 06GRC_Exhibit D fr R Gho 12-31-08 2" xfId="1729" xr:uid="{00000000-0005-0000-0000-0000BA060000}"/>
    <cellStyle name="_Costs not in AURORA 06GRC_Exhibit D fr R Gho 12-31-08 v2" xfId="1730" xr:uid="{00000000-0005-0000-0000-0000BB060000}"/>
    <cellStyle name="_Costs not in AURORA 06GRC_Exhibit D fr R Gho 12-31-08 v2 2" xfId="1731" xr:uid="{00000000-0005-0000-0000-0000BC060000}"/>
    <cellStyle name="_Costs not in AURORA 06GRC_Exhibit D fr R Gho 12-31-08 v2_NIM Summary" xfId="1732" xr:uid="{00000000-0005-0000-0000-0000BD060000}"/>
    <cellStyle name="_Costs not in AURORA 06GRC_Exhibit D fr R Gho 12-31-08 v2_NIM Summary 2" xfId="1733" xr:uid="{00000000-0005-0000-0000-0000BE060000}"/>
    <cellStyle name="_Costs not in AURORA 06GRC_Exhibit D fr R Gho 12-31-08_NIM Summary" xfId="1734" xr:uid="{00000000-0005-0000-0000-0000BF060000}"/>
    <cellStyle name="_Costs not in AURORA 06GRC_Exhibit D fr R Gho 12-31-08_NIM Summary 2" xfId="1735" xr:uid="{00000000-0005-0000-0000-0000C0060000}"/>
    <cellStyle name="_Costs not in AURORA 06GRC_Gas Rev Req Model (2010 GRC)" xfId="1736" xr:uid="{00000000-0005-0000-0000-0000C1060000}"/>
    <cellStyle name="_Costs not in AURORA 06GRC_Hopkins Ridge Prepaid Tran - Interest Earned RY 12ME Feb  '11" xfId="1737" xr:uid="{00000000-0005-0000-0000-0000C2060000}"/>
    <cellStyle name="_Costs not in AURORA 06GRC_Hopkins Ridge Prepaid Tran - Interest Earned RY 12ME Feb  '11 2" xfId="1738" xr:uid="{00000000-0005-0000-0000-0000C3060000}"/>
    <cellStyle name="_Costs not in AURORA 06GRC_Hopkins Ridge Prepaid Tran - Interest Earned RY 12ME Feb  '11_NIM Summary" xfId="1739" xr:uid="{00000000-0005-0000-0000-0000C4060000}"/>
    <cellStyle name="_Costs not in AURORA 06GRC_Hopkins Ridge Prepaid Tran - Interest Earned RY 12ME Feb  '11_NIM Summary 2" xfId="1740" xr:uid="{00000000-0005-0000-0000-0000C5060000}"/>
    <cellStyle name="_Costs not in AURORA 06GRC_Hopkins Ridge Prepaid Tran - Interest Earned RY 12ME Feb  '11_Transmission Workbook for May BOD" xfId="1741" xr:uid="{00000000-0005-0000-0000-0000C6060000}"/>
    <cellStyle name="_Costs not in AURORA 06GRC_Hopkins Ridge Prepaid Tran - Interest Earned RY 12ME Feb  '11_Transmission Workbook for May BOD 2" xfId="1742" xr:uid="{00000000-0005-0000-0000-0000C7060000}"/>
    <cellStyle name="_Costs not in AURORA 06GRC_INPUTS" xfId="1743" xr:uid="{00000000-0005-0000-0000-0000C8060000}"/>
    <cellStyle name="_Costs not in AURORA 06GRC_INPUTS 2" xfId="1744" xr:uid="{00000000-0005-0000-0000-0000C9060000}"/>
    <cellStyle name="_Costs not in AURORA 06GRC_INPUTS 2 2" xfId="1745" xr:uid="{00000000-0005-0000-0000-0000CA060000}"/>
    <cellStyle name="_Costs not in AURORA 06GRC_INPUTS 3" xfId="1746" xr:uid="{00000000-0005-0000-0000-0000CB060000}"/>
    <cellStyle name="_Costs not in AURORA 06GRC_NIM Summary" xfId="1747" xr:uid="{00000000-0005-0000-0000-0000CC060000}"/>
    <cellStyle name="_Costs not in AURORA 06GRC_NIM Summary 09GRC" xfId="1748" xr:uid="{00000000-0005-0000-0000-0000CD060000}"/>
    <cellStyle name="_Costs not in AURORA 06GRC_NIM Summary 09GRC 2" xfId="1749" xr:uid="{00000000-0005-0000-0000-0000CE060000}"/>
    <cellStyle name="_Costs not in AURORA 06GRC_NIM Summary 2" xfId="1750" xr:uid="{00000000-0005-0000-0000-0000CF060000}"/>
    <cellStyle name="_Costs not in AURORA 06GRC_NIM Summary 3" xfId="1751" xr:uid="{00000000-0005-0000-0000-0000D0060000}"/>
    <cellStyle name="_Costs not in AURORA 06GRC_NIM Summary 4" xfId="1752" xr:uid="{00000000-0005-0000-0000-0000D1060000}"/>
    <cellStyle name="_Costs not in AURORA 06GRC_NIM Summary 5" xfId="1753" xr:uid="{00000000-0005-0000-0000-0000D2060000}"/>
    <cellStyle name="_Costs not in AURORA 06GRC_NIM Summary 6" xfId="1754" xr:uid="{00000000-0005-0000-0000-0000D3060000}"/>
    <cellStyle name="_Costs not in AURORA 06GRC_NIM Summary 7" xfId="1755" xr:uid="{00000000-0005-0000-0000-0000D4060000}"/>
    <cellStyle name="_Costs not in AURORA 06GRC_NIM Summary 8" xfId="1756" xr:uid="{00000000-0005-0000-0000-0000D5060000}"/>
    <cellStyle name="_Costs not in AURORA 06GRC_NIM Summary 9" xfId="1757" xr:uid="{00000000-0005-0000-0000-0000D6060000}"/>
    <cellStyle name="_Costs not in AURORA 06GRC_PCA 10 -  Exhibit D from A Kellogg Jan 2011" xfId="1758" xr:uid="{00000000-0005-0000-0000-0000D7060000}"/>
    <cellStyle name="_Costs not in AURORA 06GRC_PCA 10 -  Exhibit D from A Kellogg July 2011" xfId="1759" xr:uid="{00000000-0005-0000-0000-0000D8060000}"/>
    <cellStyle name="_Costs not in AURORA 06GRC_PCA 10 -  Exhibit D from S Free Rcv'd 12-11" xfId="1760" xr:uid="{00000000-0005-0000-0000-0000D9060000}"/>
    <cellStyle name="_Costs not in AURORA 06GRC_PCA 7 - Exhibit D update 11_30_08 (2)" xfId="1761" xr:uid="{00000000-0005-0000-0000-0000DA060000}"/>
    <cellStyle name="_Costs not in AURORA 06GRC_PCA 7 - Exhibit D update 11_30_08 (2) 2" xfId="1762" xr:uid="{00000000-0005-0000-0000-0000DB060000}"/>
    <cellStyle name="_Costs not in AURORA 06GRC_PCA 7 - Exhibit D update 11_30_08 (2) 2 2" xfId="1763" xr:uid="{00000000-0005-0000-0000-0000DC060000}"/>
    <cellStyle name="_Costs not in AURORA 06GRC_PCA 7 - Exhibit D update 11_30_08 (2) 3" xfId="1764" xr:uid="{00000000-0005-0000-0000-0000DD060000}"/>
    <cellStyle name="_Costs not in AURORA 06GRC_PCA 7 - Exhibit D update 11_30_08 (2)_NIM Summary" xfId="1765" xr:uid="{00000000-0005-0000-0000-0000DE060000}"/>
    <cellStyle name="_Costs not in AURORA 06GRC_PCA 7 - Exhibit D update 11_30_08 (2)_NIM Summary 2" xfId="1766" xr:uid="{00000000-0005-0000-0000-0000DF060000}"/>
    <cellStyle name="_Costs not in AURORA 06GRC_PCA 8 - Exhibit D update 12_31_09" xfId="1767" xr:uid="{00000000-0005-0000-0000-0000E0060000}"/>
    <cellStyle name="_Costs not in AURORA 06GRC_PCA 9 -  Exhibit D April 2010" xfId="1768" xr:uid="{00000000-0005-0000-0000-0000E1060000}"/>
    <cellStyle name="_Costs not in AURORA 06GRC_PCA 9 -  Exhibit D April 2010 (3)" xfId="1769" xr:uid="{00000000-0005-0000-0000-0000E2060000}"/>
    <cellStyle name="_Costs not in AURORA 06GRC_PCA 9 -  Exhibit D April 2010 (3) 2" xfId="1770" xr:uid="{00000000-0005-0000-0000-0000E3060000}"/>
    <cellStyle name="_Costs not in AURORA 06GRC_PCA 9 -  Exhibit D Feb 2010" xfId="1771" xr:uid="{00000000-0005-0000-0000-0000E4060000}"/>
    <cellStyle name="_Costs not in AURORA 06GRC_PCA 9 -  Exhibit D Feb 2010 v2" xfId="1772" xr:uid="{00000000-0005-0000-0000-0000E5060000}"/>
    <cellStyle name="_Costs not in AURORA 06GRC_PCA 9 -  Exhibit D Feb 2010 WF" xfId="1773" xr:uid="{00000000-0005-0000-0000-0000E6060000}"/>
    <cellStyle name="_Costs not in AURORA 06GRC_PCA 9 -  Exhibit D Jan 2010" xfId="1774" xr:uid="{00000000-0005-0000-0000-0000E7060000}"/>
    <cellStyle name="_Costs not in AURORA 06GRC_PCA 9 -  Exhibit D March 2010 (2)" xfId="1775" xr:uid="{00000000-0005-0000-0000-0000E8060000}"/>
    <cellStyle name="_Costs not in AURORA 06GRC_PCA 9 -  Exhibit D Nov 2010" xfId="1776" xr:uid="{00000000-0005-0000-0000-0000E9060000}"/>
    <cellStyle name="_Costs not in AURORA 06GRC_PCA 9 - Exhibit D at August 2010" xfId="1777" xr:uid="{00000000-0005-0000-0000-0000EA060000}"/>
    <cellStyle name="_Costs not in AURORA 06GRC_PCA 9 - Exhibit D June 2010 GRC" xfId="1778" xr:uid="{00000000-0005-0000-0000-0000EB060000}"/>
    <cellStyle name="_Costs not in AURORA 06GRC_Power Costs - Comparison bx Rbtl-Staff-Jt-PC" xfId="1779" xr:uid="{00000000-0005-0000-0000-0000EC060000}"/>
    <cellStyle name="_Costs not in AURORA 06GRC_Power Costs - Comparison bx Rbtl-Staff-Jt-PC 2" xfId="1780" xr:uid="{00000000-0005-0000-0000-0000ED060000}"/>
    <cellStyle name="_Costs not in AURORA 06GRC_Power Costs - Comparison bx Rbtl-Staff-Jt-PC 2 2" xfId="1781" xr:uid="{00000000-0005-0000-0000-0000EE060000}"/>
    <cellStyle name="_Costs not in AURORA 06GRC_Power Costs - Comparison bx Rbtl-Staff-Jt-PC 3" xfId="1782" xr:uid="{00000000-0005-0000-0000-0000EF060000}"/>
    <cellStyle name="_Costs not in AURORA 06GRC_Power Costs - Comparison bx Rbtl-Staff-Jt-PC_Adj Bench DR 3 for Initial Briefs (Electric)" xfId="1783" xr:uid="{00000000-0005-0000-0000-0000F0060000}"/>
    <cellStyle name="_Costs not in AURORA 06GRC_Power Costs - Comparison bx Rbtl-Staff-Jt-PC_Adj Bench DR 3 for Initial Briefs (Electric) 2" xfId="1784" xr:uid="{00000000-0005-0000-0000-0000F1060000}"/>
    <cellStyle name="_Costs not in AURORA 06GRC_Power Costs - Comparison bx Rbtl-Staff-Jt-PC_Adj Bench DR 3 for Initial Briefs (Electric) 2 2" xfId="1785" xr:uid="{00000000-0005-0000-0000-0000F2060000}"/>
    <cellStyle name="_Costs not in AURORA 06GRC_Power Costs - Comparison bx Rbtl-Staff-Jt-PC_Adj Bench DR 3 for Initial Briefs (Electric) 3" xfId="1786" xr:uid="{00000000-0005-0000-0000-0000F3060000}"/>
    <cellStyle name="_Costs not in AURORA 06GRC_Power Costs - Comparison bx Rbtl-Staff-Jt-PC_Electric Rev Req Model (2009 GRC) Rebuttal" xfId="1787" xr:uid="{00000000-0005-0000-0000-0000F4060000}"/>
    <cellStyle name="_Costs not in AURORA 06GRC_Power Costs - Comparison bx Rbtl-Staff-Jt-PC_Electric Rev Req Model (2009 GRC) Rebuttal 2" xfId="1788" xr:uid="{00000000-0005-0000-0000-0000F5060000}"/>
    <cellStyle name="_Costs not in AURORA 06GRC_Power Costs - Comparison bx Rbtl-Staff-Jt-PC_Electric Rev Req Model (2009 GRC) Rebuttal 2 2" xfId="1789" xr:uid="{00000000-0005-0000-0000-0000F6060000}"/>
    <cellStyle name="_Costs not in AURORA 06GRC_Power Costs - Comparison bx Rbtl-Staff-Jt-PC_Electric Rev Req Model (2009 GRC) Rebuttal 3" xfId="1790" xr:uid="{00000000-0005-0000-0000-0000F7060000}"/>
    <cellStyle name="_Costs not in AURORA 06GRC_Power Costs - Comparison bx Rbtl-Staff-Jt-PC_Electric Rev Req Model (2009 GRC) Rebuttal REmoval of New  WH Solar AdjustMI" xfId="1791" xr:uid="{00000000-0005-0000-0000-0000F8060000}"/>
    <cellStyle name="_Costs not in AURORA 06GRC_Power Costs - Comparison bx Rbtl-Staff-Jt-PC_Electric Rev Req Model (2009 GRC) Rebuttal REmoval of New  WH Solar AdjustMI 2" xfId="1792" xr:uid="{00000000-0005-0000-0000-0000F9060000}"/>
    <cellStyle name="_Costs not in AURORA 06GRC_Power Costs - Comparison bx Rbtl-Staff-Jt-PC_Electric Rev Req Model (2009 GRC) Rebuttal REmoval of New  WH Solar AdjustMI 2 2" xfId="1793" xr:uid="{00000000-0005-0000-0000-0000FA060000}"/>
    <cellStyle name="_Costs not in AURORA 06GRC_Power Costs - Comparison bx Rbtl-Staff-Jt-PC_Electric Rev Req Model (2009 GRC) Rebuttal REmoval of New  WH Solar AdjustMI 3" xfId="1794" xr:uid="{00000000-0005-0000-0000-0000FB060000}"/>
    <cellStyle name="_Costs not in AURORA 06GRC_Power Costs - Comparison bx Rbtl-Staff-Jt-PC_Electric Rev Req Model (2009 GRC) Revised 01-18-2010" xfId="1795" xr:uid="{00000000-0005-0000-0000-0000FC060000}"/>
    <cellStyle name="_Costs not in AURORA 06GRC_Power Costs - Comparison bx Rbtl-Staff-Jt-PC_Electric Rev Req Model (2009 GRC) Revised 01-18-2010 2" xfId="1796" xr:uid="{00000000-0005-0000-0000-0000FD060000}"/>
    <cellStyle name="_Costs not in AURORA 06GRC_Power Costs - Comparison bx Rbtl-Staff-Jt-PC_Electric Rev Req Model (2009 GRC) Revised 01-18-2010 2 2" xfId="1797" xr:uid="{00000000-0005-0000-0000-0000FE060000}"/>
    <cellStyle name="_Costs not in AURORA 06GRC_Power Costs - Comparison bx Rbtl-Staff-Jt-PC_Electric Rev Req Model (2009 GRC) Revised 01-18-2010 3" xfId="1798" xr:uid="{00000000-0005-0000-0000-0000FF060000}"/>
    <cellStyle name="_Costs not in AURORA 06GRC_Power Costs - Comparison bx Rbtl-Staff-Jt-PC_Final Order Electric EXHIBIT A-1" xfId="1799" xr:uid="{00000000-0005-0000-0000-000000070000}"/>
    <cellStyle name="_Costs not in AURORA 06GRC_Power Costs - Comparison bx Rbtl-Staff-Jt-PC_Final Order Electric EXHIBIT A-1 2" xfId="1800" xr:uid="{00000000-0005-0000-0000-000001070000}"/>
    <cellStyle name="_Costs not in AURORA 06GRC_Power Costs - Comparison bx Rbtl-Staff-Jt-PC_Final Order Electric EXHIBIT A-1 2 2" xfId="1801" xr:uid="{00000000-0005-0000-0000-000002070000}"/>
    <cellStyle name="_Costs not in AURORA 06GRC_Power Costs - Comparison bx Rbtl-Staff-Jt-PC_Final Order Electric EXHIBIT A-1 3" xfId="1802" xr:uid="{00000000-0005-0000-0000-000003070000}"/>
    <cellStyle name="_Costs not in AURORA 06GRC_Production Adj 4.37" xfId="1803" xr:uid="{00000000-0005-0000-0000-000004070000}"/>
    <cellStyle name="_Costs not in AURORA 06GRC_Production Adj 4.37 2" xfId="1804" xr:uid="{00000000-0005-0000-0000-000005070000}"/>
    <cellStyle name="_Costs not in AURORA 06GRC_Production Adj 4.37 2 2" xfId="1805" xr:uid="{00000000-0005-0000-0000-000006070000}"/>
    <cellStyle name="_Costs not in AURORA 06GRC_Production Adj 4.37 3" xfId="1806" xr:uid="{00000000-0005-0000-0000-000007070000}"/>
    <cellStyle name="_Costs not in AURORA 06GRC_Purchased Power Adj 4.03" xfId="1807" xr:uid="{00000000-0005-0000-0000-000008070000}"/>
    <cellStyle name="_Costs not in AURORA 06GRC_Purchased Power Adj 4.03 2" xfId="1808" xr:uid="{00000000-0005-0000-0000-000009070000}"/>
    <cellStyle name="_Costs not in AURORA 06GRC_Purchased Power Adj 4.03 2 2" xfId="1809" xr:uid="{00000000-0005-0000-0000-00000A070000}"/>
    <cellStyle name="_Costs not in AURORA 06GRC_Purchased Power Adj 4.03 3" xfId="1810" xr:uid="{00000000-0005-0000-0000-00000B070000}"/>
    <cellStyle name="_Costs not in AURORA 06GRC_Rebuttal Power Costs" xfId="1811" xr:uid="{00000000-0005-0000-0000-00000C070000}"/>
    <cellStyle name="_Costs not in AURORA 06GRC_Rebuttal Power Costs 2" xfId="1812" xr:uid="{00000000-0005-0000-0000-00000D070000}"/>
    <cellStyle name="_Costs not in AURORA 06GRC_Rebuttal Power Costs 2 2" xfId="1813" xr:uid="{00000000-0005-0000-0000-00000E070000}"/>
    <cellStyle name="_Costs not in AURORA 06GRC_Rebuttal Power Costs 3" xfId="1814" xr:uid="{00000000-0005-0000-0000-00000F070000}"/>
    <cellStyle name="_Costs not in AURORA 06GRC_Rebuttal Power Costs_Adj Bench DR 3 for Initial Briefs (Electric)" xfId="1815" xr:uid="{00000000-0005-0000-0000-000010070000}"/>
    <cellStyle name="_Costs not in AURORA 06GRC_Rebuttal Power Costs_Adj Bench DR 3 for Initial Briefs (Electric) 2" xfId="1816" xr:uid="{00000000-0005-0000-0000-000011070000}"/>
    <cellStyle name="_Costs not in AURORA 06GRC_Rebuttal Power Costs_Adj Bench DR 3 for Initial Briefs (Electric) 2 2" xfId="1817" xr:uid="{00000000-0005-0000-0000-000012070000}"/>
    <cellStyle name="_Costs not in AURORA 06GRC_Rebuttal Power Costs_Adj Bench DR 3 for Initial Briefs (Electric) 3" xfId="1818" xr:uid="{00000000-0005-0000-0000-000013070000}"/>
    <cellStyle name="_Costs not in AURORA 06GRC_Rebuttal Power Costs_Electric Rev Req Model (2009 GRC) Rebuttal" xfId="1819" xr:uid="{00000000-0005-0000-0000-000014070000}"/>
    <cellStyle name="_Costs not in AURORA 06GRC_Rebuttal Power Costs_Electric Rev Req Model (2009 GRC) Rebuttal 2" xfId="1820" xr:uid="{00000000-0005-0000-0000-000015070000}"/>
    <cellStyle name="_Costs not in AURORA 06GRC_Rebuttal Power Costs_Electric Rev Req Model (2009 GRC) Rebuttal 2 2" xfId="1821" xr:uid="{00000000-0005-0000-0000-000016070000}"/>
    <cellStyle name="_Costs not in AURORA 06GRC_Rebuttal Power Costs_Electric Rev Req Model (2009 GRC) Rebuttal 3" xfId="1822" xr:uid="{00000000-0005-0000-0000-000017070000}"/>
    <cellStyle name="_Costs not in AURORA 06GRC_Rebuttal Power Costs_Electric Rev Req Model (2009 GRC) Rebuttal REmoval of New  WH Solar AdjustMI" xfId="1823" xr:uid="{00000000-0005-0000-0000-000018070000}"/>
    <cellStyle name="_Costs not in AURORA 06GRC_Rebuttal Power Costs_Electric Rev Req Model (2009 GRC) Rebuttal REmoval of New  WH Solar AdjustMI 2" xfId="1824" xr:uid="{00000000-0005-0000-0000-000019070000}"/>
    <cellStyle name="_Costs not in AURORA 06GRC_Rebuttal Power Costs_Electric Rev Req Model (2009 GRC) Rebuttal REmoval of New  WH Solar AdjustMI 2 2" xfId="1825" xr:uid="{00000000-0005-0000-0000-00001A070000}"/>
    <cellStyle name="_Costs not in AURORA 06GRC_Rebuttal Power Costs_Electric Rev Req Model (2009 GRC) Rebuttal REmoval of New  WH Solar AdjustMI 3" xfId="1826" xr:uid="{00000000-0005-0000-0000-00001B070000}"/>
    <cellStyle name="_Costs not in AURORA 06GRC_Rebuttal Power Costs_Electric Rev Req Model (2009 GRC) Revised 01-18-2010" xfId="1827" xr:uid="{00000000-0005-0000-0000-00001C070000}"/>
    <cellStyle name="_Costs not in AURORA 06GRC_Rebuttal Power Costs_Electric Rev Req Model (2009 GRC) Revised 01-18-2010 2" xfId="1828" xr:uid="{00000000-0005-0000-0000-00001D070000}"/>
    <cellStyle name="_Costs not in AURORA 06GRC_Rebuttal Power Costs_Electric Rev Req Model (2009 GRC) Revised 01-18-2010 2 2" xfId="1829" xr:uid="{00000000-0005-0000-0000-00001E070000}"/>
    <cellStyle name="_Costs not in AURORA 06GRC_Rebuttal Power Costs_Electric Rev Req Model (2009 GRC) Revised 01-18-2010 3" xfId="1830" xr:uid="{00000000-0005-0000-0000-00001F070000}"/>
    <cellStyle name="_Costs not in AURORA 06GRC_Rebuttal Power Costs_Final Order Electric EXHIBIT A-1" xfId="1831" xr:uid="{00000000-0005-0000-0000-000020070000}"/>
    <cellStyle name="_Costs not in AURORA 06GRC_Rebuttal Power Costs_Final Order Electric EXHIBIT A-1 2" xfId="1832" xr:uid="{00000000-0005-0000-0000-000021070000}"/>
    <cellStyle name="_Costs not in AURORA 06GRC_Rebuttal Power Costs_Final Order Electric EXHIBIT A-1 2 2" xfId="1833" xr:uid="{00000000-0005-0000-0000-000022070000}"/>
    <cellStyle name="_Costs not in AURORA 06GRC_Rebuttal Power Costs_Final Order Electric EXHIBIT A-1 3" xfId="1834" xr:uid="{00000000-0005-0000-0000-000023070000}"/>
    <cellStyle name="_Costs not in AURORA 06GRC_ROR &amp; CONV FACTOR" xfId="1835" xr:uid="{00000000-0005-0000-0000-000024070000}"/>
    <cellStyle name="_Costs not in AURORA 06GRC_ROR &amp; CONV FACTOR 2" xfId="1836" xr:uid="{00000000-0005-0000-0000-000025070000}"/>
    <cellStyle name="_Costs not in AURORA 06GRC_ROR &amp; CONV FACTOR 2 2" xfId="1837" xr:uid="{00000000-0005-0000-0000-000026070000}"/>
    <cellStyle name="_Costs not in AURORA 06GRC_ROR &amp; CONV FACTOR 3" xfId="1838" xr:uid="{00000000-0005-0000-0000-000027070000}"/>
    <cellStyle name="_Costs not in AURORA 06GRC_ROR 5.02" xfId="1839" xr:uid="{00000000-0005-0000-0000-000028070000}"/>
    <cellStyle name="_Costs not in AURORA 06GRC_ROR 5.02 2" xfId="1840" xr:uid="{00000000-0005-0000-0000-000029070000}"/>
    <cellStyle name="_Costs not in AURORA 06GRC_ROR 5.02 2 2" xfId="1841" xr:uid="{00000000-0005-0000-0000-00002A070000}"/>
    <cellStyle name="_Costs not in AURORA 06GRC_ROR 5.02 3" xfId="1842" xr:uid="{00000000-0005-0000-0000-00002B070000}"/>
    <cellStyle name="_Costs not in AURORA 06GRC_Transmission Workbook for May BOD" xfId="1843" xr:uid="{00000000-0005-0000-0000-00002C070000}"/>
    <cellStyle name="_Costs not in AURORA 06GRC_Transmission Workbook for May BOD 2" xfId="1844" xr:uid="{00000000-0005-0000-0000-00002D070000}"/>
    <cellStyle name="_Costs not in AURORA 06GRC_Wind Integration 10GRC" xfId="1845" xr:uid="{00000000-0005-0000-0000-00002E070000}"/>
    <cellStyle name="_Costs not in AURORA 06GRC_Wind Integration 10GRC 2" xfId="1846" xr:uid="{00000000-0005-0000-0000-00002F070000}"/>
    <cellStyle name="_Costs not in AURORA 2006GRC 6.15.06" xfId="1847" xr:uid="{00000000-0005-0000-0000-000030070000}"/>
    <cellStyle name="_Costs not in AURORA 2006GRC 6.15.06 2" xfId="1848" xr:uid="{00000000-0005-0000-0000-000031070000}"/>
    <cellStyle name="_Costs not in AURORA 2006GRC 6.15.06 2 2" xfId="1849" xr:uid="{00000000-0005-0000-0000-000032070000}"/>
    <cellStyle name="_Costs not in AURORA 2006GRC 6.15.06 2 2 2" xfId="1850" xr:uid="{00000000-0005-0000-0000-000033070000}"/>
    <cellStyle name="_Costs not in AURORA 2006GRC 6.15.06 2 3" xfId="1851" xr:uid="{00000000-0005-0000-0000-000034070000}"/>
    <cellStyle name="_Costs not in AURORA 2006GRC 6.15.06 3" xfId="1852" xr:uid="{00000000-0005-0000-0000-000035070000}"/>
    <cellStyle name="_Costs not in AURORA 2006GRC 6.15.06 3 2" xfId="1853" xr:uid="{00000000-0005-0000-0000-000036070000}"/>
    <cellStyle name="_Costs not in AURORA 2006GRC 6.15.06 3 2 2" xfId="1854" xr:uid="{00000000-0005-0000-0000-000037070000}"/>
    <cellStyle name="_Costs not in AURORA 2006GRC 6.15.06 3 3" xfId="1855" xr:uid="{00000000-0005-0000-0000-000038070000}"/>
    <cellStyle name="_Costs not in AURORA 2006GRC 6.15.06 3 3 2" xfId="1856" xr:uid="{00000000-0005-0000-0000-000039070000}"/>
    <cellStyle name="_Costs not in AURORA 2006GRC 6.15.06 3 4" xfId="1857" xr:uid="{00000000-0005-0000-0000-00003A070000}"/>
    <cellStyle name="_Costs not in AURORA 2006GRC 6.15.06 3 4 2" xfId="1858" xr:uid="{00000000-0005-0000-0000-00003B070000}"/>
    <cellStyle name="_Costs not in AURORA 2006GRC 6.15.06 4" xfId="1859" xr:uid="{00000000-0005-0000-0000-00003C070000}"/>
    <cellStyle name="_Costs not in AURORA 2006GRC 6.15.06 4 2" xfId="1860" xr:uid="{00000000-0005-0000-0000-00003D070000}"/>
    <cellStyle name="_Costs not in AURORA 2006GRC 6.15.06 5" xfId="1861" xr:uid="{00000000-0005-0000-0000-00003E070000}"/>
    <cellStyle name="_Costs not in AURORA 2006GRC 6.15.06 6" xfId="1862" xr:uid="{00000000-0005-0000-0000-00003F070000}"/>
    <cellStyle name="_Costs not in AURORA 2006GRC 6.15.06 7" xfId="1863" xr:uid="{00000000-0005-0000-0000-000040070000}"/>
    <cellStyle name="_Costs not in AURORA 2006GRC 6.15.06_04 07E Wild Horse Wind Expansion (C) (2)" xfId="1864" xr:uid="{00000000-0005-0000-0000-000041070000}"/>
    <cellStyle name="_Costs not in AURORA 2006GRC 6.15.06_04 07E Wild Horse Wind Expansion (C) (2) 2" xfId="1865" xr:uid="{00000000-0005-0000-0000-000042070000}"/>
    <cellStyle name="_Costs not in AURORA 2006GRC 6.15.06_04 07E Wild Horse Wind Expansion (C) (2) 2 2" xfId="1866" xr:uid="{00000000-0005-0000-0000-000043070000}"/>
    <cellStyle name="_Costs not in AURORA 2006GRC 6.15.06_04 07E Wild Horse Wind Expansion (C) (2) 3" xfId="1867" xr:uid="{00000000-0005-0000-0000-000044070000}"/>
    <cellStyle name="_Costs not in AURORA 2006GRC 6.15.06_04 07E Wild Horse Wind Expansion (C) (2)_Adj Bench DR 3 for Initial Briefs (Electric)" xfId="1868" xr:uid="{00000000-0005-0000-0000-000045070000}"/>
    <cellStyle name="_Costs not in AURORA 2006GRC 6.15.06_04 07E Wild Horse Wind Expansion (C) (2)_Adj Bench DR 3 for Initial Briefs (Electric) 2" xfId="1869" xr:uid="{00000000-0005-0000-0000-000046070000}"/>
    <cellStyle name="_Costs not in AURORA 2006GRC 6.15.06_04 07E Wild Horse Wind Expansion (C) (2)_Adj Bench DR 3 for Initial Briefs (Electric) 2 2" xfId="1870" xr:uid="{00000000-0005-0000-0000-000047070000}"/>
    <cellStyle name="_Costs not in AURORA 2006GRC 6.15.06_04 07E Wild Horse Wind Expansion (C) (2)_Adj Bench DR 3 for Initial Briefs (Electric) 3" xfId="1871" xr:uid="{00000000-0005-0000-0000-000048070000}"/>
    <cellStyle name="_Costs not in AURORA 2006GRC 6.15.06_04 07E Wild Horse Wind Expansion (C) (2)_Book1" xfId="1872" xr:uid="{00000000-0005-0000-0000-000049070000}"/>
    <cellStyle name="_Costs not in AURORA 2006GRC 6.15.06_04 07E Wild Horse Wind Expansion (C) (2)_Electric Rev Req Model (2009 GRC) " xfId="1873" xr:uid="{00000000-0005-0000-0000-00004A070000}"/>
    <cellStyle name="_Costs not in AURORA 2006GRC 6.15.06_04 07E Wild Horse Wind Expansion (C) (2)_Electric Rev Req Model (2009 GRC)  2" xfId="1874" xr:uid="{00000000-0005-0000-0000-00004B070000}"/>
    <cellStyle name="_Costs not in AURORA 2006GRC 6.15.06_04 07E Wild Horse Wind Expansion (C) (2)_Electric Rev Req Model (2009 GRC)  2 2" xfId="1875" xr:uid="{00000000-0005-0000-0000-00004C070000}"/>
    <cellStyle name="_Costs not in AURORA 2006GRC 6.15.06_04 07E Wild Horse Wind Expansion (C) (2)_Electric Rev Req Model (2009 GRC)  3" xfId="1876" xr:uid="{00000000-0005-0000-0000-00004D070000}"/>
    <cellStyle name="_Costs not in AURORA 2006GRC 6.15.06_04 07E Wild Horse Wind Expansion (C) (2)_Electric Rev Req Model (2009 GRC) Rebuttal" xfId="1877" xr:uid="{00000000-0005-0000-0000-00004E070000}"/>
    <cellStyle name="_Costs not in AURORA 2006GRC 6.15.06_04 07E Wild Horse Wind Expansion (C) (2)_Electric Rev Req Model (2009 GRC) Rebuttal 2" xfId="1878" xr:uid="{00000000-0005-0000-0000-00004F070000}"/>
    <cellStyle name="_Costs not in AURORA 2006GRC 6.15.06_04 07E Wild Horse Wind Expansion (C) (2)_Electric Rev Req Model (2009 GRC) Rebuttal 2 2" xfId="1879" xr:uid="{00000000-0005-0000-0000-000050070000}"/>
    <cellStyle name="_Costs not in AURORA 2006GRC 6.15.06_04 07E Wild Horse Wind Expansion (C) (2)_Electric Rev Req Model (2009 GRC) Rebuttal 3" xfId="1880" xr:uid="{00000000-0005-0000-0000-000051070000}"/>
    <cellStyle name="_Costs not in AURORA 2006GRC 6.15.06_04 07E Wild Horse Wind Expansion (C) (2)_Electric Rev Req Model (2009 GRC) Rebuttal REmoval of New  WH Solar AdjustMI" xfId="1881" xr:uid="{00000000-0005-0000-0000-000052070000}"/>
    <cellStyle name="_Costs not in AURORA 2006GRC 6.15.06_04 07E Wild Horse Wind Expansion (C) (2)_Electric Rev Req Model (2009 GRC) Rebuttal REmoval of New  WH Solar AdjustMI 2" xfId="1882" xr:uid="{00000000-0005-0000-0000-000053070000}"/>
    <cellStyle name="_Costs not in AURORA 2006GRC 6.15.06_04 07E Wild Horse Wind Expansion (C) (2)_Electric Rev Req Model (2009 GRC) Rebuttal REmoval of New  WH Solar AdjustMI 2 2" xfId="1883" xr:uid="{00000000-0005-0000-0000-000054070000}"/>
    <cellStyle name="_Costs not in AURORA 2006GRC 6.15.06_04 07E Wild Horse Wind Expansion (C) (2)_Electric Rev Req Model (2009 GRC) Rebuttal REmoval of New  WH Solar AdjustMI 3" xfId="1884" xr:uid="{00000000-0005-0000-0000-000055070000}"/>
    <cellStyle name="_Costs not in AURORA 2006GRC 6.15.06_04 07E Wild Horse Wind Expansion (C) (2)_Electric Rev Req Model (2009 GRC) Revised 01-18-2010" xfId="1885" xr:uid="{00000000-0005-0000-0000-000056070000}"/>
    <cellStyle name="_Costs not in AURORA 2006GRC 6.15.06_04 07E Wild Horse Wind Expansion (C) (2)_Electric Rev Req Model (2009 GRC) Revised 01-18-2010 2" xfId="1886" xr:uid="{00000000-0005-0000-0000-000057070000}"/>
    <cellStyle name="_Costs not in AURORA 2006GRC 6.15.06_04 07E Wild Horse Wind Expansion (C) (2)_Electric Rev Req Model (2009 GRC) Revised 01-18-2010 2 2" xfId="1887" xr:uid="{00000000-0005-0000-0000-000058070000}"/>
    <cellStyle name="_Costs not in AURORA 2006GRC 6.15.06_04 07E Wild Horse Wind Expansion (C) (2)_Electric Rev Req Model (2009 GRC) Revised 01-18-2010 3" xfId="1888" xr:uid="{00000000-0005-0000-0000-000059070000}"/>
    <cellStyle name="_Costs not in AURORA 2006GRC 6.15.06_04 07E Wild Horse Wind Expansion (C) (2)_Electric Rev Req Model (2010 GRC)" xfId="1889" xr:uid="{00000000-0005-0000-0000-00005A070000}"/>
    <cellStyle name="_Costs not in AURORA 2006GRC 6.15.06_04 07E Wild Horse Wind Expansion (C) (2)_Electric Rev Req Model (2010 GRC) SF" xfId="1890" xr:uid="{00000000-0005-0000-0000-00005B070000}"/>
    <cellStyle name="_Costs not in AURORA 2006GRC 6.15.06_04 07E Wild Horse Wind Expansion (C) (2)_Final Order Electric EXHIBIT A-1" xfId="1891" xr:uid="{00000000-0005-0000-0000-00005C070000}"/>
    <cellStyle name="_Costs not in AURORA 2006GRC 6.15.06_04 07E Wild Horse Wind Expansion (C) (2)_Final Order Electric EXHIBIT A-1 2" xfId="1892" xr:uid="{00000000-0005-0000-0000-00005D070000}"/>
    <cellStyle name="_Costs not in AURORA 2006GRC 6.15.06_04 07E Wild Horse Wind Expansion (C) (2)_Final Order Electric EXHIBIT A-1 2 2" xfId="1893" xr:uid="{00000000-0005-0000-0000-00005E070000}"/>
    <cellStyle name="_Costs not in AURORA 2006GRC 6.15.06_04 07E Wild Horse Wind Expansion (C) (2)_Final Order Electric EXHIBIT A-1 3" xfId="1894" xr:uid="{00000000-0005-0000-0000-00005F070000}"/>
    <cellStyle name="_Costs not in AURORA 2006GRC 6.15.06_04 07E Wild Horse Wind Expansion (C) (2)_TENASKA REGULATORY ASSET" xfId="1895" xr:uid="{00000000-0005-0000-0000-000060070000}"/>
    <cellStyle name="_Costs not in AURORA 2006GRC 6.15.06_04 07E Wild Horse Wind Expansion (C) (2)_TENASKA REGULATORY ASSET 2" xfId="1896" xr:uid="{00000000-0005-0000-0000-000061070000}"/>
    <cellStyle name="_Costs not in AURORA 2006GRC 6.15.06_04 07E Wild Horse Wind Expansion (C) (2)_TENASKA REGULATORY ASSET 2 2" xfId="1897" xr:uid="{00000000-0005-0000-0000-000062070000}"/>
    <cellStyle name="_Costs not in AURORA 2006GRC 6.15.06_04 07E Wild Horse Wind Expansion (C) (2)_TENASKA REGULATORY ASSET 3" xfId="1898" xr:uid="{00000000-0005-0000-0000-000063070000}"/>
    <cellStyle name="_Costs not in AURORA 2006GRC 6.15.06_16.37E Wild Horse Expansion DeferralRevwrkingfile SF" xfId="1899" xr:uid="{00000000-0005-0000-0000-000064070000}"/>
    <cellStyle name="_Costs not in AURORA 2006GRC 6.15.06_16.37E Wild Horse Expansion DeferralRevwrkingfile SF 2" xfId="1900" xr:uid="{00000000-0005-0000-0000-000065070000}"/>
    <cellStyle name="_Costs not in AURORA 2006GRC 6.15.06_16.37E Wild Horse Expansion DeferralRevwrkingfile SF 2 2" xfId="1901" xr:uid="{00000000-0005-0000-0000-000066070000}"/>
    <cellStyle name="_Costs not in AURORA 2006GRC 6.15.06_16.37E Wild Horse Expansion DeferralRevwrkingfile SF 3" xfId="1902" xr:uid="{00000000-0005-0000-0000-000067070000}"/>
    <cellStyle name="_Costs not in AURORA 2006GRC 6.15.06_2009 Compliance Filing PCA Exhibits for GRC" xfId="1903" xr:uid="{00000000-0005-0000-0000-000068070000}"/>
    <cellStyle name="_Costs not in AURORA 2006GRC 6.15.06_2009 GRC Compl Filing - Exhibit D" xfId="1904" xr:uid="{00000000-0005-0000-0000-000069070000}"/>
    <cellStyle name="_Costs not in AURORA 2006GRC 6.15.06_2009 GRC Compl Filing - Exhibit D 2" xfId="1905" xr:uid="{00000000-0005-0000-0000-00006A070000}"/>
    <cellStyle name="_Costs not in AURORA 2006GRC 6.15.06_3.01 Income Statement" xfId="1906" xr:uid="{00000000-0005-0000-0000-00006B070000}"/>
    <cellStyle name="_Costs not in AURORA 2006GRC 6.15.06_4 31 Regulatory Assets and Liabilities  7 06- Exhibit D" xfId="1907" xr:uid="{00000000-0005-0000-0000-00006C070000}"/>
    <cellStyle name="_Costs not in AURORA 2006GRC 6.15.06_4 31 Regulatory Assets and Liabilities  7 06- Exhibit D 2" xfId="1908" xr:uid="{00000000-0005-0000-0000-00006D070000}"/>
    <cellStyle name="_Costs not in AURORA 2006GRC 6.15.06_4 31 Regulatory Assets and Liabilities  7 06- Exhibit D 2 2" xfId="1909" xr:uid="{00000000-0005-0000-0000-00006E070000}"/>
    <cellStyle name="_Costs not in AURORA 2006GRC 6.15.06_4 31 Regulatory Assets and Liabilities  7 06- Exhibit D 3" xfId="1910" xr:uid="{00000000-0005-0000-0000-00006F070000}"/>
    <cellStyle name="_Costs not in AURORA 2006GRC 6.15.06_4 31 Regulatory Assets and Liabilities  7 06- Exhibit D_NIM Summary" xfId="1911" xr:uid="{00000000-0005-0000-0000-000070070000}"/>
    <cellStyle name="_Costs not in AURORA 2006GRC 6.15.06_4 31 Regulatory Assets and Liabilities  7 06- Exhibit D_NIM Summary 2" xfId="1912" xr:uid="{00000000-0005-0000-0000-000071070000}"/>
    <cellStyle name="_Costs not in AURORA 2006GRC 6.15.06_4 32 Regulatory Assets and Liabilities  7 06- Exhibit D" xfId="1913" xr:uid="{00000000-0005-0000-0000-000072070000}"/>
    <cellStyle name="_Costs not in AURORA 2006GRC 6.15.06_4 32 Regulatory Assets and Liabilities  7 06- Exhibit D 2" xfId="1914" xr:uid="{00000000-0005-0000-0000-000073070000}"/>
    <cellStyle name="_Costs not in AURORA 2006GRC 6.15.06_4 32 Regulatory Assets and Liabilities  7 06- Exhibit D 2 2" xfId="1915" xr:uid="{00000000-0005-0000-0000-000074070000}"/>
    <cellStyle name="_Costs not in AURORA 2006GRC 6.15.06_4 32 Regulatory Assets and Liabilities  7 06- Exhibit D 3" xfId="1916" xr:uid="{00000000-0005-0000-0000-000075070000}"/>
    <cellStyle name="_Costs not in AURORA 2006GRC 6.15.06_4 32 Regulatory Assets and Liabilities  7 06- Exhibit D_NIM Summary" xfId="1917" xr:uid="{00000000-0005-0000-0000-000076070000}"/>
    <cellStyle name="_Costs not in AURORA 2006GRC 6.15.06_4 32 Regulatory Assets and Liabilities  7 06- Exhibit D_NIM Summary 2" xfId="1918" xr:uid="{00000000-0005-0000-0000-000077070000}"/>
    <cellStyle name="_Costs not in AURORA 2006GRC 6.15.06_ACCOUNTS" xfId="1919" xr:uid="{00000000-0005-0000-0000-000078070000}"/>
    <cellStyle name="_Costs not in AURORA 2006GRC 6.15.06_AURORA Total New" xfId="1920" xr:uid="{00000000-0005-0000-0000-000079070000}"/>
    <cellStyle name="_Costs not in AURORA 2006GRC 6.15.06_AURORA Total New 2" xfId="1921" xr:uid="{00000000-0005-0000-0000-00007A070000}"/>
    <cellStyle name="_Costs not in AURORA 2006GRC 6.15.06_Book2" xfId="1922" xr:uid="{00000000-0005-0000-0000-00007B070000}"/>
    <cellStyle name="_Costs not in AURORA 2006GRC 6.15.06_Book2 2" xfId="1923" xr:uid="{00000000-0005-0000-0000-00007C070000}"/>
    <cellStyle name="_Costs not in AURORA 2006GRC 6.15.06_Book2 2 2" xfId="1924" xr:uid="{00000000-0005-0000-0000-00007D070000}"/>
    <cellStyle name="_Costs not in AURORA 2006GRC 6.15.06_Book2 3" xfId="1925" xr:uid="{00000000-0005-0000-0000-00007E070000}"/>
    <cellStyle name="_Costs not in AURORA 2006GRC 6.15.06_Book2_Adj Bench DR 3 for Initial Briefs (Electric)" xfId="1926" xr:uid="{00000000-0005-0000-0000-00007F070000}"/>
    <cellStyle name="_Costs not in AURORA 2006GRC 6.15.06_Book2_Adj Bench DR 3 for Initial Briefs (Electric) 2" xfId="1927" xr:uid="{00000000-0005-0000-0000-000080070000}"/>
    <cellStyle name="_Costs not in AURORA 2006GRC 6.15.06_Book2_Adj Bench DR 3 for Initial Briefs (Electric) 2 2" xfId="1928" xr:uid="{00000000-0005-0000-0000-000081070000}"/>
    <cellStyle name="_Costs not in AURORA 2006GRC 6.15.06_Book2_Adj Bench DR 3 for Initial Briefs (Electric) 3" xfId="1929" xr:uid="{00000000-0005-0000-0000-000082070000}"/>
    <cellStyle name="_Costs not in AURORA 2006GRC 6.15.06_Book2_Electric Rev Req Model (2009 GRC) Rebuttal" xfId="1930" xr:uid="{00000000-0005-0000-0000-000083070000}"/>
    <cellStyle name="_Costs not in AURORA 2006GRC 6.15.06_Book2_Electric Rev Req Model (2009 GRC) Rebuttal 2" xfId="1931" xr:uid="{00000000-0005-0000-0000-000084070000}"/>
    <cellStyle name="_Costs not in AURORA 2006GRC 6.15.06_Book2_Electric Rev Req Model (2009 GRC) Rebuttal 2 2" xfId="1932" xr:uid="{00000000-0005-0000-0000-000085070000}"/>
    <cellStyle name="_Costs not in AURORA 2006GRC 6.15.06_Book2_Electric Rev Req Model (2009 GRC) Rebuttal 3" xfId="1933" xr:uid="{00000000-0005-0000-0000-000086070000}"/>
    <cellStyle name="_Costs not in AURORA 2006GRC 6.15.06_Book2_Electric Rev Req Model (2009 GRC) Rebuttal REmoval of New  WH Solar AdjustMI" xfId="1934" xr:uid="{00000000-0005-0000-0000-000087070000}"/>
    <cellStyle name="_Costs not in AURORA 2006GRC 6.15.06_Book2_Electric Rev Req Model (2009 GRC) Rebuttal REmoval of New  WH Solar AdjustMI 2" xfId="1935" xr:uid="{00000000-0005-0000-0000-000088070000}"/>
    <cellStyle name="_Costs not in AURORA 2006GRC 6.15.06_Book2_Electric Rev Req Model (2009 GRC) Rebuttal REmoval of New  WH Solar AdjustMI 2 2" xfId="1936" xr:uid="{00000000-0005-0000-0000-000089070000}"/>
    <cellStyle name="_Costs not in AURORA 2006GRC 6.15.06_Book2_Electric Rev Req Model (2009 GRC) Rebuttal REmoval of New  WH Solar AdjustMI 3" xfId="1937" xr:uid="{00000000-0005-0000-0000-00008A070000}"/>
    <cellStyle name="_Costs not in AURORA 2006GRC 6.15.06_Book2_Electric Rev Req Model (2009 GRC) Revised 01-18-2010" xfId="1938" xr:uid="{00000000-0005-0000-0000-00008B070000}"/>
    <cellStyle name="_Costs not in AURORA 2006GRC 6.15.06_Book2_Electric Rev Req Model (2009 GRC) Revised 01-18-2010 2" xfId="1939" xr:uid="{00000000-0005-0000-0000-00008C070000}"/>
    <cellStyle name="_Costs not in AURORA 2006GRC 6.15.06_Book2_Electric Rev Req Model (2009 GRC) Revised 01-18-2010 2 2" xfId="1940" xr:uid="{00000000-0005-0000-0000-00008D070000}"/>
    <cellStyle name="_Costs not in AURORA 2006GRC 6.15.06_Book2_Electric Rev Req Model (2009 GRC) Revised 01-18-2010 3" xfId="1941" xr:uid="{00000000-0005-0000-0000-00008E070000}"/>
    <cellStyle name="_Costs not in AURORA 2006GRC 6.15.06_Book2_Final Order Electric EXHIBIT A-1" xfId="1942" xr:uid="{00000000-0005-0000-0000-00008F070000}"/>
    <cellStyle name="_Costs not in AURORA 2006GRC 6.15.06_Book2_Final Order Electric EXHIBIT A-1 2" xfId="1943" xr:uid="{00000000-0005-0000-0000-000090070000}"/>
    <cellStyle name="_Costs not in AURORA 2006GRC 6.15.06_Book2_Final Order Electric EXHIBIT A-1 2 2" xfId="1944" xr:uid="{00000000-0005-0000-0000-000091070000}"/>
    <cellStyle name="_Costs not in AURORA 2006GRC 6.15.06_Book2_Final Order Electric EXHIBIT A-1 3" xfId="1945" xr:uid="{00000000-0005-0000-0000-000092070000}"/>
    <cellStyle name="_Costs not in AURORA 2006GRC 6.15.06_Book4" xfId="1946" xr:uid="{00000000-0005-0000-0000-000093070000}"/>
    <cellStyle name="_Costs not in AURORA 2006GRC 6.15.06_Book4 2" xfId="1947" xr:uid="{00000000-0005-0000-0000-000094070000}"/>
    <cellStyle name="_Costs not in AURORA 2006GRC 6.15.06_Book4 2 2" xfId="1948" xr:uid="{00000000-0005-0000-0000-000095070000}"/>
    <cellStyle name="_Costs not in AURORA 2006GRC 6.15.06_Book4 3" xfId="1949" xr:uid="{00000000-0005-0000-0000-000096070000}"/>
    <cellStyle name="_Costs not in AURORA 2006GRC 6.15.06_Book9" xfId="1950" xr:uid="{00000000-0005-0000-0000-000097070000}"/>
    <cellStyle name="_Costs not in AURORA 2006GRC 6.15.06_Book9 2" xfId="1951" xr:uid="{00000000-0005-0000-0000-000098070000}"/>
    <cellStyle name="_Costs not in AURORA 2006GRC 6.15.06_Book9 2 2" xfId="1952" xr:uid="{00000000-0005-0000-0000-000099070000}"/>
    <cellStyle name="_Costs not in AURORA 2006GRC 6.15.06_Book9 3" xfId="1953" xr:uid="{00000000-0005-0000-0000-00009A070000}"/>
    <cellStyle name="_Costs not in AURORA 2006GRC 6.15.06_Chelan PUD Power Costs (8-10)" xfId="1954" xr:uid="{00000000-0005-0000-0000-00009B070000}"/>
    <cellStyle name="_Costs not in AURORA 2006GRC 6.15.06_Gas Rev Req Model (2010 GRC)" xfId="1955" xr:uid="{00000000-0005-0000-0000-00009C070000}"/>
    <cellStyle name="_Costs not in AURORA 2006GRC 6.15.06_INPUTS" xfId="1956" xr:uid="{00000000-0005-0000-0000-00009D070000}"/>
    <cellStyle name="_Costs not in AURORA 2006GRC 6.15.06_INPUTS 2" xfId="1957" xr:uid="{00000000-0005-0000-0000-00009E070000}"/>
    <cellStyle name="_Costs not in AURORA 2006GRC 6.15.06_INPUTS 2 2" xfId="1958" xr:uid="{00000000-0005-0000-0000-00009F070000}"/>
    <cellStyle name="_Costs not in AURORA 2006GRC 6.15.06_INPUTS 3" xfId="1959" xr:uid="{00000000-0005-0000-0000-0000A0070000}"/>
    <cellStyle name="_Costs not in AURORA 2006GRC 6.15.06_NIM Summary" xfId="1960" xr:uid="{00000000-0005-0000-0000-0000A1070000}"/>
    <cellStyle name="_Costs not in AURORA 2006GRC 6.15.06_NIM Summary 09GRC" xfId="1961" xr:uid="{00000000-0005-0000-0000-0000A2070000}"/>
    <cellStyle name="_Costs not in AURORA 2006GRC 6.15.06_NIM Summary 09GRC 2" xfId="1962" xr:uid="{00000000-0005-0000-0000-0000A3070000}"/>
    <cellStyle name="_Costs not in AURORA 2006GRC 6.15.06_NIM Summary 2" xfId="1963" xr:uid="{00000000-0005-0000-0000-0000A4070000}"/>
    <cellStyle name="_Costs not in AURORA 2006GRC 6.15.06_NIM Summary 3" xfId="1964" xr:uid="{00000000-0005-0000-0000-0000A5070000}"/>
    <cellStyle name="_Costs not in AURORA 2006GRC 6.15.06_NIM Summary 4" xfId="1965" xr:uid="{00000000-0005-0000-0000-0000A6070000}"/>
    <cellStyle name="_Costs not in AURORA 2006GRC 6.15.06_NIM Summary 5" xfId="1966" xr:uid="{00000000-0005-0000-0000-0000A7070000}"/>
    <cellStyle name="_Costs not in AURORA 2006GRC 6.15.06_NIM Summary 6" xfId="1967" xr:uid="{00000000-0005-0000-0000-0000A8070000}"/>
    <cellStyle name="_Costs not in AURORA 2006GRC 6.15.06_NIM Summary 7" xfId="1968" xr:uid="{00000000-0005-0000-0000-0000A9070000}"/>
    <cellStyle name="_Costs not in AURORA 2006GRC 6.15.06_NIM Summary 8" xfId="1969" xr:uid="{00000000-0005-0000-0000-0000AA070000}"/>
    <cellStyle name="_Costs not in AURORA 2006GRC 6.15.06_NIM Summary 9" xfId="1970" xr:uid="{00000000-0005-0000-0000-0000AB070000}"/>
    <cellStyle name="_Costs not in AURORA 2006GRC 6.15.06_PCA 10 -  Exhibit D from A Kellogg Jan 2011" xfId="1971" xr:uid="{00000000-0005-0000-0000-0000AC070000}"/>
    <cellStyle name="_Costs not in AURORA 2006GRC 6.15.06_PCA 10 -  Exhibit D from A Kellogg July 2011" xfId="1972" xr:uid="{00000000-0005-0000-0000-0000AD070000}"/>
    <cellStyle name="_Costs not in AURORA 2006GRC 6.15.06_PCA 10 -  Exhibit D from S Free Rcv'd 12-11" xfId="1973" xr:uid="{00000000-0005-0000-0000-0000AE070000}"/>
    <cellStyle name="_Costs not in AURORA 2006GRC 6.15.06_PCA 9 -  Exhibit D April 2010" xfId="1974" xr:uid="{00000000-0005-0000-0000-0000AF070000}"/>
    <cellStyle name="_Costs not in AURORA 2006GRC 6.15.06_PCA 9 -  Exhibit D April 2010 (3)" xfId="1975" xr:uid="{00000000-0005-0000-0000-0000B0070000}"/>
    <cellStyle name="_Costs not in AURORA 2006GRC 6.15.06_PCA 9 -  Exhibit D April 2010 (3) 2" xfId="1976" xr:uid="{00000000-0005-0000-0000-0000B1070000}"/>
    <cellStyle name="_Costs not in AURORA 2006GRC 6.15.06_PCA 9 -  Exhibit D Nov 2010" xfId="1977" xr:uid="{00000000-0005-0000-0000-0000B2070000}"/>
    <cellStyle name="_Costs not in AURORA 2006GRC 6.15.06_PCA 9 - Exhibit D at August 2010" xfId="1978" xr:uid="{00000000-0005-0000-0000-0000B3070000}"/>
    <cellStyle name="_Costs not in AURORA 2006GRC 6.15.06_PCA 9 - Exhibit D June 2010 GRC" xfId="1979" xr:uid="{00000000-0005-0000-0000-0000B4070000}"/>
    <cellStyle name="_Costs not in AURORA 2006GRC 6.15.06_Power Costs - Comparison bx Rbtl-Staff-Jt-PC" xfId="1980" xr:uid="{00000000-0005-0000-0000-0000B5070000}"/>
    <cellStyle name="_Costs not in AURORA 2006GRC 6.15.06_Power Costs - Comparison bx Rbtl-Staff-Jt-PC 2" xfId="1981" xr:uid="{00000000-0005-0000-0000-0000B6070000}"/>
    <cellStyle name="_Costs not in AURORA 2006GRC 6.15.06_Power Costs - Comparison bx Rbtl-Staff-Jt-PC 2 2" xfId="1982" xr:uid="{00000000-0005-0000-0000-0000B7070000}"/>
    <cellStyle name="_Costs not in AURORA 2006GRC 6.15.06_Power Costs - Comparison bx Rbtl-Staff-Jt-PC 3" xfId="1983" xr:uid="{00000000-0005-0000-0000-0000B8070000}"/>
    <cellStyle name="_Costs not in AURORA 2006GRC 6.15.06_Power Costs - Comparison bx Rbtl-Staff-Jt-PC_Adj Bench DR 3 for Initial Briefs (Electric)" xfId="1984" xr:uid="{00000000-0005-0000-0000-0000B9070000}"/>
    <cellStyle name="_Costs not in AURORA 2006GRC 6.15.06_Power Costs - Comparison bx Rbtl-Staff-Jt-PC_Adj Bench DR 3 for Initial Briefs (Electric) 2" xfId="1985" xr:uid="{00000000-0005-0000-0000-0000BA070000}"/>
    <cellStyle name="_Costs not in AURORA 2006GRC 6.15.06_Power Costs - Comparison bx Rbtl-Staff-Jt-PC_Adj Bench DR 3 for Initial Briefs (Electric) 2 2" xfId="1986" xr:uid="{00000000-0005-0000-0000-0000BB070000}"/>
    <cellStyle name="_Costs not in AURORA 2006GRC 6.15.06_Power Costs - Comparison bx Rbtl-Staff-Jt-PC_Adj Bench DR 3 for Initial Briefs (Electric) 3" xfId="1987" xr:uid="{00000000-0005-0000-0000-0000BC070000}"/>
    <cellStyle name="_Costs not in AURORA 2006GRC 6.15.06_Power Costs - Comparison bx Rbtl-Staff-Jt-PC_Electric Rev Req Model (2009 GRC) Rebuttal" xfId="1988" xr:uid="{00000000-0005-0000-0000-0000BD070000}"/>
    <cellStyle name="_Costs not in AURORA 2006GRC 6.15.06_Power Costs - Comparison bx Rbtl-Staff-Jt-PC_Electric Rev Req Model (2009 GRC) Rebuttal 2" xfId="1989" xr:uid="{00000000-0005-0000-0000-0000BE070000}"/>
    <cellStyle name="_Costs not in AURORA 2006GRC 6.15.06_Power Costs - Comparison bx Rbtl-Staff-Jt-PC_Electric Rev Req Model (2009 GRC) Rebuttal 2 2" xfId="1990" xr:uid="{00000000-0005-0000-0000-0000BF070000}"/>
    <cellStyle name="_Costs not in AURORA 2006GRC 6.15.06_Power Costs - Comparison bx Rbtl-Staff-Jt-PC_Electric Rev Req Model (2009 GRC) Rebuttal 3" xfId="1991" xr:uid="{00000000-0005-0000-0000-0000C0070000}"/>
    <cellStyle name="_Costs not in AURORA 2006GRC 6.15.06_Power Costs - Comparison bx Rbtl-Staff-Jt-PC_Electric Rev Req Model (2009 GRC) Rebuttal REmoval of New  WH Solar AdjustMI" xfId="1992" xr:uid="{00000000-0005-0000-0000-0000C1070000}"/>
    <cellStyle name="_Costs not in AURORA 2006GRC 6.15.06_Power Costs - Comparison bx Rbtl-Staff-Jt-PC_Electric Rev Req Model (2009 GRC) Rebuttal REmoval of New  WH Solar AdjustMI 2" xfId="1993" xr:uid="{00000000-0005-0000-0000-0000C2070000}"/>
    <cellStyle name="_Costs not in AURORA 2006GRC 6.15.06_Power Costs - Comparison bx Rbtl-Staff-Jt-PC_Electric Rev Req Model (2009 GRC) Rebuttal REmoval of New  WH Solar AdjustMI 2 2" xfId="1994" xr:uid="{00000000-0005-0000-0000-0000C3070000}"/>
    <cellStyle name="_Costs not in AURORA 2006GRC 6.15.06_Power Costs - Comparison bx Rbtl-Staff-Jt-PC_Electric Rev Req Model (2009 GRC) Rebuttal REmoval of New  WH Solar AdjustMI 3" xfId="1995" xr:uid="{00000000-0005-0000-0000-0000C4070000}"/>
    <cellStyle name="_Costs not in AURORA 2006GRC 6.15.06_Power Costs - Comparison bx Rbtl-Staff-Jt-PC_Electric Rev Req Model (2009 GRC) Revised 01-18-2010" xfId="1996" xr:uid="{00000000-0005-0000-0000-0000C5070000}"/>
    <cellStyle name="_Costs not in AURORA 2006GRC 6.15.06_Power Costs - Comparison bx Rbtl-Staff-Jt-PC_Electric Rev Req Model (2009 GRC) Revised 01-18-2010 2" xfId="1997" xr:uid="{00000000-0005-0000-0000-0000C6070000}"/>
    <cellStyle name="_Costs not in AURORA 2006GRC 6.15.06_Power Costs - Comparison bx Rbtl-Staff-Jt-PC_Electric Rev Req Model (2009 GRC) Revised 01-18-2010 2 2" xfId="1998" xr:uid="{00000000-0005-0000-0000-0000C7070000}"/>
    <cellStyle name="_Costs not in AURORA 2006GRC 6.15.06_Power Costs - Comparison bx Rbtl-Staff-Jt-PC_Electric Rev Req Model (2009 GRC) Revised 01-18-2010 3" xfId="1999" xr:uid="{00000000-0005-0000-0000-0000C8070000}"/>
    <cellStyle name="_Costs not in AURORA 2006GRC 6.15.06_Power Costs - Comparison bx Rbtl-Staff-Jt-PC_Final Order Electric EXHIBIT A-1" xfId="2000" xr:uid="{00000000-0005-0000-0000-0000C9070000}"/>
    <cellStyle name="_Costs not in AURORA 2006GRC 6.15.06_Power Costs - Comparison bx Rbtl-Staff-Jt-PC_Final Order Electric EXHIBIT A-1 2" xfId="2001" xr:uid="{00000000-0005-0000-0000-0000CA070000}"/>
    <cellStyle name="_Costs not in AURORA 2006GRC 6.15.06_Power Costs - Comparison bx Rbtl-Staff-Jt-PC_Final Order Electric EXHIBIT A-1 2 2" xfId="2002" xr:uid="{00000000-0005-0000-0000-0000CB070000}"/>
    <cellStyle name="_Costs not in AURORA 2006GRC 6.15.06_Power Costs - Comparison bx Rbtl-Staff-Jt-PC_Final Order Electric EXHIBIT A-1 3" xfId="2003" xr:uid="{00000000-0005-0000-0000-0000CC070000}"/>
    <cellStyle name="_Costs not in AURORA 2006GRC 6.15.06_Production Adj 4.37" xfId="2004" xr:uid="{00000000-0005-0000-0000-0000CD070000}"/>
    <cellStyle name="_Costs not in AURORA 2006GRC 6.15.06_Production Adj 4.37 2" xfId="2005" xr:uid="{00000000-0005-0000-0000-0000CE070000}"/>
    <cellStyle name="_Costs not in AURORA 2006GRC 6.15.06_Production Adj 4.37 2 2" xfId="2006" xr:uid="{00000000-0005-0000-0000-0000CF070000}"/>
    <cellStyle name="_Costs not in AURORA 2006GRC 6.15.06_Production Adj 4.37 3" xfId="2007" xr:uid="{00000000-0005-0000-0000-0000D0070000}"/>
    <cellStyle name="_Costs not in AURORA 2006GRC 6.15.06_Purchased Power Adj 4.03" xfId="2008" xr:uid="{00000000-0005-0000-0000-0000D1070000}"/>
    <cellStyle name="_Costs not in AURORA 2006GRC 6.15.06_Purchased Power Adj 4.03 2" xfId="2009" xr:uid="{00000000-0005-0000-0000-0000D2070000}"/>
    <cellStyle name="_Costs not in AURORA 2006GRC 6.15.06_Purchased Power Adj 4.03 2 2" xfId="2010" xr:uid="{00000000-0005-0000-0000-0000D3070000}"/>
    <cellStyle name="_Costs not in AURORA 2006GRC 6.15.06_Purchased Power Adj 4.03 3" xfId="2011" xr:uid="{00000000-0005-0000-0000-0000D4070000}"/>
    <cellStyle name="_Costs not in AURORA 2006GRC 6.15.06_Rebuttal Power Costs" xfId="2012" xr:uid="{00000000-0005-0000-0000-0000D5070000}"/>
    <cellStyle name="_Costs not in AURORA 2006GRC 6.15.06_Rebuttal Power Costs 2" xfId="2013" xr:uid="{00000000-0005-0000-0000-0000D6070000}"/>
    <cellStyle name="_Costs not in AURORA 2006GRC 6.15.06_Rebuttal Power Costs 2 2" xfId="2014" xr:uid="{00000000-0005-0000-0000-0000D7070000}"/>
    <cellStyle name="_Costs not in AURORA 2006GRC 6.15.06_Rebuttal Power Costs 3" xfId="2015" xr:uid="{00000000-0005-0000-0000-0000D8070000}"/>
    <cellStyle name="_Costs not in AURORA 2006GRC 6.15.06_Rebuttal Power Costs_Adj Bench DR 3 for Initial Briefs (Electric)" xfId="2016" xr:uid="{00000000-0005-0000-0000-0000D9070000}"/>
    <cellStyle name="_Costs not in AURORA 2006GRC 6.15.06_Rebuttal Power Costs_Adj Bench DR 3 for Initial Briefs (Electric) 2" xfId="2017" xr:uid="{00000000-0005-0000-0000-0000DA070000}"/>
    <cellStyle name="_Costs not in AURORA 2006GRC 6.15.06_Rebuttal Power Costs_Adj Bench DR 3 for Initial Briefs (Electric) 2 2" xfId="2018" xr:uid="{00000000-0005-0000-0000-0000DB070000}"/>
    <cellStyle name="_Costs not in AURORA 2006GRC 6.15.06_Rebuttal Power Costs_Adj Bench DR 3 for Initial Briefs (Electric) 3" xfId="2019" xr:uid="{00000000-0005-0000-0000-0000DC070000}"/>
    <cellStyle name="_Costs not in AURORA 2006GRC 6.15.06_Rebuttal Power Costs_Electric Rev Req Model (2009 GRC) Rebuttal" xfId="2020" xr:uid="{00000000-0005-0000-0000-0000DD070000}"/>
    <cellStyle name="_Costs not in AURORA 2006GRC 6.15.06_Rebuttal Power Costs_Electric Rev Req Model (2009 GRC) Rebuttal 2" xfId="2021" xr:uid="{00000000-0005-0000-0000-0000DE070000}"/>
    <cellStyle name="_Costs not in AURORA 2006GRC 6.15.06_Rebuttal Power Costs_Electric Rev Req Model (2009 GRC) Rebuttal 2 2" xfId="2022" xr:uid="{00000000-0005-0000-0000-0000DF070000}"/>
    <cellStyle name="_Costs not in AURORA 2006GRC 6.15.06_Rebuttal Power Costs_Electric Rev Req Model (2009 GRC) Rebuttal 3" xfId="2023" xr:uid="{00000000-0005-0000-0000-0000E0070000}"/>
    <cellStyle name="_Costs not in AURORA 2006GRC 6.15.06_Rebuttal Power Costs_Electric Rev Req Model (2009 GRC) Rebuttal REmoval of New  WH Solar AdjustMI" xfId="2024" xr:uid="{00000000-0005-0000-0000-0000E1070000}"/>
    <cellStyle name="_Costs not in AURORA 2006GRC 6.15.06_Rebuttal Power Costs_Electric Rev Req Model (2009 GRC) Rebuttal REmoval of New  WH Solar AdjustMI 2" xfId="2025" xr:uid="{00000000-0005-0000-0000-0000E2070000}"/>
    <cellStyle name="_Costs not in AURORA 2006GRC 6.15.06_Rebuttal Power Costs_Electric Rev Req Model (2009 GRC) Rebuttal REmoval of New  WH Solar AdjustMI 2 2" xfId="2026" xr:uid="{00000000-0005-0000-0000-0000E3070000}"/>
    <cellStyle name="_Costs not in AURORA 2006GRC 6.15.06_Rebuttal Power Costs_Electric Rev Req Model (2009 GRC) Rebuttal REmoval of New  WH Solar AdjustMI 3" xfId="2027" xr:uid="{00000000-0005-0000-0000-0000E4070000}"/>
    <cellStyle name="_Costs not in AURORA 2006GRC 6.15.06_Rebuttal Power Costs_Electric Rev Req Model (2009 GRC) Revised 01-18-2010" xfId="2028" xr:uid="{00000000-0005-0000-0000-0000E5070000}"/>
    <cellStyle name="_Costs not in AURORA 2006GRC 6.15.06_Rebuttal Power Costs_Electric Rev Req Model (2009 GRC) Revised 01-18-2010 2" xfId="2029" xr:uid="{00000000-0005-0000-0000-0000E6070000}"/>
    <cellStyle name="_Costs not in AURORA 2006GRC 6.15.06_Rebuttal Power Costs_Electric Rev Req Model (2009 GRC) Revised 01-18-2010 2 2" xfId="2030" xr:uid="{00000000-0005-0000-0000-0000E7070000}"/>
    <cellStyle name="_Costs not in AURORA 2006GRC 6.15.06_Rebuttal Power Costs_Electric Rev Req Model (2009 GRC) Revised 01-18-2010 3" xfId="2031" xr:uid="{00000000-0005-0000-0000-0000E8070000}"/>
    <cellStyle name="_Costs not in AURORA 2006GRC 6.15.06_Rebuttal Power Costs_Final Order Electric EXHIBIT A-1" xfId="2032" xr:uid="{00000000-0005-0000-0000-0000E9070000}"/>
    <cellStyle name="_Costs not in AURORA 2006GRC 6.15.06_Rebuttal Power Costs_Final Order Electric EXHIBIT A-1 2" xfId="2033" xr:uid="{00000000-0005-0000-0000-0000EA070000}"/>
    <cellStyle name="_Costs not in AURORA 2006GRC 6.15.06_Rebuttal Power Costs_Final Order Electric EXHIBIT A-1 2 2" xfId="2034" xr:uid="{00000000-0005-0000-0000-0000EB070000}"/>
    <cellStyle name="_Costs not in AURORA 2006GRC 6.15.06_Rebuttal Power Costs_Final Order Electric EXHIBIT A-1 3" xfId="2035" xr:uid="{00000000-0005-0000-0000-0000EC070000}"/>
    <cellStyle name="_Costs not in AURORA 2006GRC 6.15.06_ROR &amp; CONV FACTOR" xfId="2036" xr:uid="{00000000-0005-0000-0000-0000ED070000}"/>
    <cellStyle name="_Costs not in AURORA 2006GRC 6.15.06_ROR &amp; CONV FACTOR 2" xfId="2037" xr:uid="{00000000-0005-0000-0000-0000EE070000}"/>
    <cellStyle name="_Costs not in AURORA 2006GRC 6.15.06_ROR &amp; CONV FACTOR 2 2" xfId="2038" xr:uid="{00000000-0005-0000-0000-0000EF070000}"/>
    <cellStyle name="_Costs not in AURORA 2006GRC 6.15.06_ROR &amp; CONV FACTOR 3" xfId="2039" xr:uid="{00000000-0005-0000-0000-0000F0070000}"/>
    <cellStyle name="_Costs not in AURORA 2006GRC 6.15.06_ROR 5.02" xfId="2040" xr:uid="{00000000-0005-0000-0000-0000F1070000}"/>
    <cellStyle name="_Costs not in AURORA 2006GRC 6.15.06_ROR 5.02 2" xfId="2041" xr:uid="{00000000-0005-0000-0000-0000F2070000}"/>
    <cellStyle name="_Costs not in AURORA 2006GRC 6.15.06_ROR 5.02 2 2" xfId="2042" xr:uid="{00000000-0005-0000-0000-0000F3070000}"/>
    <cellStyle name="_Costs not in AURORA 2006GRC 6.15.06_ROR 5.02 3" xfId="2043" xr:uid="{00000000-0005-0000-0000-0000F4070000}"/>
    <cellStyle name="_Costs not in AURORA 2006GRC 6.15.06_Wind Integration 10GRC" xfId="2044" xr:uid="{00000000-0005-0000-0000-0000F5070000}"/>
    <cellStyle name="_Costs not in AURORA 2006GRC 6.15.06_Wind Integration 10GRC 2" xfId="2045" xr:uid="{00000000-0005-0000-0000-0000F6070000}"/>
    <cellStyle name="_Costs not in AURORA 2006GRC w gas price updated" xfId="2046" xr:uid="{00000000-0005-0000-0000-0000F7070000}"/>
    <cellStyle name="_Costs not in AURORA 2006GRC w gas price updated 2" xfId="2047" xr:uid="{00000000-0005-0000-0000-0000F8070000}"/>
    <cellStyle name="_Costs not in AURORA 2006GRC w gas price updated 2 2" xfId="2048" xr:uid="{00000000-0005-0000-0000-0000F9070000}"/>
    <cellStyle name="_Costs not in AURORA 2006GRC w gas price updated 3" xfId="2049" xr:uid="{00000000-0005-0000-0000-0000FA070000}"/>
    <cellStyle name="_Costs not in AURORA 2006GRC w gas price updated_Adj Bench DR 3 for Initial Briefs (Electric)" xfId="2050" xr:uid="{00000000-0005-0000-0000-0000FB070000}"/>
    <cellStyle name="_Costs not in AURORA 2006GRC w gas price updated_Adj Bench DR 3 for Initial Briefs (Electric) 2" xfId="2051" xr:uid="{00000000-0005-0000-0000-0000FC070000}"/>
    <cellStyle name="_Costs not in AURORA 2006GRC w gas price updated_Adj Bench DR 3 for Initial Briefs (Electric) 2 2" xfId="2052" xr:uid="{00000000-0005-0000-0000-0000FD070000}"/>
    <cellStyle name="_Costs not in AURORA 2006GRC w gas price updated_Adj Bench DR 3 for Initial Briefs (Electric) 3" xfId="2053" xr:uid="{00000000-0005-0000-0000-0000FE070000}"/>
    <cellStyle name="_Costs not in AURORA 2006GRC w gas price updated_Book1" xfId="2054" xr:uid="{00000000-0005-0000-0000-0000FF070000}"/>
    <cellStyle name="_Costs not in AURORA 2006GRC w gas price updated_Book2" xfId="2055" xr:uid="{00000000-0005-0000-0000-000000080000}"/>
    <cellStyle name="_Costs not in AURORA 2006GRC w gas price updated_Book2 2" xfId="2056" xr:uid="{00000000-0005-0000-0000-000001080000}"/>
    <cellStyle name="_Costs not in AURORA 2006GRC w gas price updated_Book2 2 2" xfId="2057" xr:uid="{00000000-0005-0000-0000-000002080000}"/>
    <cellStyle name="_Costs not in AURORA 2006GRC w gas price updated_Book2 3" xfId="2058" xr:uid="{00000000-0005-0000-0000-000003080000}"/>
    <cellStyle name="_Costs not in AURORA 2006GRC w gas price updated_Book2_Adj Bench DR 3 for Initial Briefs (Electric)" xfId="2059" xr:uid="{00000000-0005-0000-0000-000004080000}"/>
    <cellStyle name="_Costs not in AURORA 2006GRC w gas price updated_Book2_Adj Bench DR 3 for Initial Briefs (Electric) 2" xfId="2060" xr:uid="{00000000-0005-0000-0000-000005080000}"/>
    <cellStyle name="_Costs not in AURORA 2006GRC w gas price updated_Book2_Adj Bench DR 3 for Initial Briefs (Electric) 2 2" xfId="2061" xr:uid="{00000000-0005-0000-0000-000006080000}"/>
    <cellStyle name="_Costs not in AURORA 2006GRC w gas price updated_Book2_Adj Bench DR 3 for Initial Briefs (Electric) 3" xfId="2062" xr:uid="{00000000-0005-0000-0000-000007080000}"/>
    <cellStyle name="_Costs not in AURORA 2006GRC w gas price updated_Book2_Electric Rev Req Model (2009 GRC) Rebuttal" xfId="2063" xr:uid="{00000000-0005-0000-0000-000008080000}"/>
    <cellStyle name="_Costs not in AURORA 2006GRC w gas price updated_Book2_Electric Rev Req Model (2009 GRC) Rebuttal 2" xfId="2064" xr:uid="{00000000-0005-0000-0000-000009080000}"/>
    <cellStyle name="_Costs not in AURORA 2006GRC w gas price updated_Book2_Electric Rev Req Model (2009 GRC) Rebuttal 2 2" xfId="2065" xr:uid="{00000000-0005-0000-0000-00000A080000}"/>
    <cellStyle name="_Costs not in AURORA 2006GRC w gas price updated_Book2_Electric Rev Req Model (2009 GRC) Rebuttal 3" xfId="2066" xr:uid="{00000000-0005-0000-0000-00000B080000}"/>
    <cellStyle name="_Costs not in AURORA 2006GRC w gas price updated_Book2_Electric Rev Req Model (2009 GRC) Rebuttal REmoval of New  WH Solar AdjustMI" xfId="2067" xr:uid="{00000000-0005-0000-0000-00000C080000}"/>
    <cellStyle name="_Costs not in AURORA 2006GRC w gas price updated_Book2_Electric Rev Req Model (2009 GRC) Rebuttal REmoval of New  WH Solar AdjustMI 2" xfId="2068" xr:uid="{00000000-0005-0000-0000-00000D080000}"/>
    <cellStyle name="_Costs not in AURORA 2006GRC w gas price updated_Book2_Electric Rev Req Model (2009 GRC) Rebuttal REmoval of New  WH Solar AdjustMI 2 2" xfId="2069" xr:uid="{00000000-0005-0000-0000-00000E080000}"/>
    <cellStyle name="_Costs not in AURORA 2006GRC w gas price updated_Book2_Electric Rev Req Model (2009 GRC) Rebuttal REmoval of New  WH Solar AdjustMI 3" xfId="2070" xr:uid="{00000000-0005-0000-0000-00000F080000}"/>
    <cellStyle name="_Costs not in AURORA 2006GRC w gas price updated_Book2_Electric Rev Req Model (2009 GRC) Revised 01-18-2010" xfId="2071" xr:uid="{00000000-0005-0000-0000-000010080000}"/>
    <cellStyle name="_Costs not in AURORA 2006GRC w gas price updated_Book2_Electric Rev Req Model (2009 GRC) Revised 01-18-2010 2" xfId="2072" xr:uid="{00000000-0005-0000-0000-000011080000}"/>
    <cellStyle name="_Costs not in AURORA 2006GRC w gas price updated_Book2_Electric Rev Req Model (2009 GRC) Revised 01-18-2010 2 2" xfId="2073" xr:uid="{00000000-0005-0000-0000-000012080000}"/>
    <cellStyle name="_Costs not in AURORA 2006GRC w gas price updated_Book2_Electric Rev Req Model (2009 GRC) Revised 01-18-2010 3" xfId="2074" xr:uid="{00000000-0005-0000-0000-000013080000}"/>
    <cellStyle name="_Costs not in AURORA 2006GRC w gas price updated_Book2_Final Order Electric EXHIBIT A-1" xfId="2075" xr:uid="{00000000-0005-0000-0000-000014080000}"/>
    <cellStyle name="_Costs not in AURORA 2006GRC w gas price updated_Book2_Final Order Electric EXHIBIT A-1 2" xfId="2076" xr:uid="{00000000-0005-0000-0000-000015080000}"/>
    <cellStyle name="_Costs not in AURORA 2006GRC w gas price updated_Book2_Final Order Electric EXHIBIT A-1 2 2" xfId="2077" xr:uid="{00000000-0005-0000-0000-000016080000}"/>
    <cellStyle name="_Costs not in AURORA 2006GRC w gas price updated_Book2_Final Order Electric EXHIBIT A-1 3" xfId="2078" xr:uid="{00000000-0005-0000-0000-000017080000}"/>
    <cellStyle name="_Costs not in AURORA 2006GRC w gas price updated_Chelan PUD Power Costs (8-10)" xfId="2079" xr:uid="{00000000-0005-0000-0000-000018080000}"/>
    <cellStyle name="_Costs not in AURORA 2006GRC w gas price updated_Confidential Material" xfId="2080" xr:uid="{00000000-0005-0000-0000-000019080000}"/>
    <cellStyle name="_Costs not in AURORA 2006GRC w gas price updated_DEM-WP(C) Colstrip 12 Coal Cost Forecast 2010GRC" xfId="2081" xr:uid="{00000000-0005-0000-0000-00001A080000}"/>
    <cellStyle name="_Costs not in AURORA 2006GRC w gas price updated_DEM-WP(C) Production O&amp;M 2010GRC As-Filed" xfId="2082" xr:uid="{00000000-0005-0000-0000-00001B080000}"/>
    <cellStyle name="_Costs not in AURORA 2006GRC w gas price updated_DEM-WP(C) Production O&amp;M 2010GRC As-Filed 2" xfId="2083" xr:uid="{00000000-0005-0000-0000-00001C080000}"/>
    <cellStyle name="_Costs not in AURORA 2006GRC w gas price updated_Electric Rev Req Model (2009 GRC) " xfId="2084" xr:uid="{00000000-0005-0000-0000-00001D080000}"/>
    <cellStyle name="_Costs not in AURORA 2006GRC w gas price updated_Electric Rev Req Model (2009 GRC)  2" xfId="2085" xr:uid="{00000000-0005-0000-0000-00001E080000}"/>
    <cellStyle name="_Costs not in AURORA 2006GRC w gas price updated_Electric Rev Req Model (2009 GRC)  2 2" xfId="2086" xr:uid="{00000000-0005-0000-0000-00001F080000}"/>
    <cellStyle name="_Costs not in AURORA 2006GRC w gas price updated_Electric Rev Req Model (2009 GRC)  3" xfId="2087" xr:uid="{00000000-0005-0000-0000-000020080000}"/>
    <cellStyle name="_Costs not in AURORA 2006GRC w gas price updated_Electric Rev Req Model (2009 GRC) Rebuttal" xfId="2088" xr:uid="{00000000-0005-0000-0000-000021080000}"/>
    <cellStyle name="_Costs not in AURORA 2006GRC w gas price updated_Electric Rev Req Model (2009 GRC) Rebuttal 2" xfId="2089" xr:uid="{00000000-0005-0000-0000-000022080000}"/>
    <cellStyle name="_Costs not in AURORA 2006GRC w gas price updated_Electric Rev Req Model (2009 GRC) Rebuttal 2 2" xfId="2090" xr:uid="{00000000-0005-0000-0000-000023080000}"/>
    <cellStyle name="_Costs not in AURORA 2006GRC w gas price updated_Electric Rev Req Model (2009 GRC) Rebuttal 3" xfId="2091" xr:uid="{00000000-0005-0000-0000-000024080000}"/>
    <cellStyle name="_Costs not in AURORA 2006GRC w gas price updated_Electric Rev Req Model (2009 GRC) Rebuttal REmoval of New  WH Solar AdjustMI" xfId="2092" xr:uid="{00000000-0005-0000-0000-000025080000}"/>
    <cellStyle name="_Costs not in AURORA 2006GRC w gas price updated_Electric Rev Req Model (2009 GRC) Rebuttal REmoval of New  WH Solar AdjustMI 2" xfId="2093" xr:uid="{00000000-0005-0000-0000-000026080000}"/>
    <cellStyle name="_Costs not in AURORA 2006GRC w gas price updated_Electric Rev Req Model (2009 GRC) Rebuttal REmoval of New  WH Solar AdjustMI 2 2" xfId="2094" xr:uid="{00000000-0005-0000-0000-000027080000}"/>
    <cellStyle name="_Costs not in AURORA 2006GRC w gas price updated_Electric Rev Req Model (2009 GRC) Rebuttal REmoval of New  WH Solar AdjustMI 3" xfId="2095" xr:uid="{00000000-0005-0000-0000-000028080000}"/>
    <cellStyle name="_Costs not in AURORA 2006GRC w gas price updated_Electric Rev Req Model (2009 GRC) Revised 01-18-2010" xfId="2096" xr:uid="{00000000-0005-0000-0000-000029080000}"/>
    <cellStyle name="_Costs not in AURORA 2006GRC w gas price updated_Electric Rev Req Model (2009 GRC) Revised 01-18-2010 2" xfId="2097" xr:uid="{00000000-0005-0000-0000-00002A080000}"/>
    <cellStyle name="_Costs not in AURORA 2006GRC w gas price updated_Electric Rev Req Model (2009 GRC) Revised 01-18-2010 2 2" xfId="2098" xr:uid="{00000000-0005-0000-0000-00002B080000}"/>
    <cellStyle name="_Costs not in AURORA 2006GRC w gas price updated_Electric Rev Req Model (2009 GRC) Revised 01-18-2010 3" xfId="2099" xr:uid="{00000000-0005-0000-0000-00002C080000}"/>
    <cellStyle name="_Costs not in AURORA 2006GRC w gas price updated_Electric Rev Req Model (2010 GRC)" xfId="2100" xr:uid="{00000000-0005-0000-0000-00002D080000}"/>
    <cellStyle name="_Costs not in AURORA 2006GRC w gas price updated_Electric Rev Req Model (2010 GRC) SF" xfId="2101" xr:uid="{00000000-0005-0000-0000-00002E080000}"/>
    <cellStyle name="_Costs not in AURORA 2006GRC w gas price updated_Final Order Electric EXHIBIT A-1" xfId="2102" xr:uid="{00000000-0005-0000-0000-00002F080000}"/>
    <cellStyle name="_Costs not in AURORA 2006GRC w gas price updated_Final Order Electric EXHIBIT A-1 2" xfId="2103" xr:uid="{00000000-0005-0000-0000-000030080000}"/>
    <cellStyle name="_Costs not in AURORA 2006GRC w gas price updated_Final Order Electric EXHIBIT A-1 2 2" xfId="2104" xr:uid="{00000000-0005-0000-0000-000031080000}"/>
    <cellStyle name="_Costs not in AURORA 2006GRC w gas price updated_Final Order Electric EXHIBIT A-1 3" xfId="2105" xr:uid="{00000000-0005-0000-0000-000032080000}"/>
    <cellStyle name="_Costs not in AURORA 2006GRC w gas price updated_NIM Summary" xfId="2106" xr:uid="{00000000-0005-0000-0000-000033080000}"/>
    <cellStyle name="_Costs not in AURORA 2006GRC w gas price updated_NIM Summary 2" xfId="2107" xr:uid="{00000000-0005-0000-0000-000034080000}"/>
    <cellStyle name="_Costs not in AURORA 2006GRC w gas price updated_Rebuttal Power Costs" xfId="2108" xr:uid="{00000000-0005-0000-0000-000035080000}"/>
    <cellStyle name="_Costs not in AURORA 2006GRC w gas price updated_Rebuttal Power Costs 2" xfId="2109" xr:uid="{00000000-0005-0000-0000-000036080000}"/>
    <cellStyle name="_Costs not in AURORA 2006GRC w gas price updated_Rebuttal Power Costs 2 2" xfId="2110" xr:uid="{00000000-0005-0000-0000-000037080000}"/>
    <cellStyle name="_Costs not in AURORA 2006GRC w gas price updated_Rebuttal Power Costs 3" xfId="2111" xr:uid="{00000000-0005-0000-0000-000038080000}"/>
    <cellStyle name="_Costs not in AURORA 2006GRC w gas price updated_Rebuttal Power Costs_Adj Bench DR 3 for Initial Briefs (Electric)" xfId="2112" xr:uid="{00000000-0005-0000-0000-000039080000}"/>
    <cellStyle name="_Costs not in AURORA 2006GRC w gas price updated_Rebuttal Power Costs_Adj Bench DR 3 for Initial Briefs (Electric) 2" xfId="2113" xr:uid="{00000000-0005-0000-0000-00003A080000}"/>
    <cellStyle name="_Costs not in AURORA 2006GRC w gas price updated_Rebuttal Power Costs_Adj Bench DR 3 for Initial Briefs (Electric) 2 2" xfId="2114" xr:uid="{00000000-0005-0000-0000-00003B080000}"/>
    <cellStyle name="_Costs not in AURORA 2006GRC w gas price updated_Rebuttal Power Costs_Adj Bench DR 3 for Initial Briefs (Electric) 3" xfId="2115" xr:uid="{00000000-0005-0000-0000-00003C080000}"/>
    <cellStyle name="_Costs not in AURORA 2006GRC w gas price updated_Rebuttal Power Costs_Electric Rev Req Model (2009 GRC) Rebuttal" xfId="2116" xr:uid="{00000000-0005-0000-0000-00003D080000}"/>
    <cellStyle name="_Costs not in AURORA 2006GRC w gas price updated_Rebuttal Power Costs_Electric Rev Req Model (2009 GRC) Rebuttal 2" xfId="2117" xr:uid="{00000000-0005-0000-0000-00003E080000}"/>
    <cellStyle name="_Costs not in AURORA 2006GRC w gas price updated_Rebuttal Power Costs_Electric Rev Req Model (2009 GRC) Rebuttal 2 2" xfId="2118" xr:uid="{00000000-0005-0000-0000-00003F080000}"/>
    <cellStyle name="_Costs not in AURORA 2006GRC w gas price updated_Rebuttal Power Costs_Electric Rev Req Model (2009 GRC) Rebuttal 3" xfId="2119" xr:uid="{00000000-0005-0000-0000-000040080000}"/>
    <cellStyle name="_Costs not in AURORA 2006GRC w gas price updated_Rebuttal Power Costs_Electric Rev Req Model (2009 GRC) Rebuttal REmoval of New  WH Solar AdjustMI" xfId="2120" xr:uid="{00000000-0005-0000-0000-000041080000}"/>
    <cellStyle name="_Costs not in AURORA 2006GRC w gas price updated_Rebuttal Power Costs_Electric Rev Req Model (2009 GRC) Rebuttal REmoval of New  WH Solar AdjustMI 2" xfId="2121" xr:uid="{00000000-0005-0000-0000-000042080000}"/>
    <cellStyle name="_Costs not in AURORA 2006GRC w gas price updated_Rebuttal Power Costs_Electric Rev Req Model (2009 GRC) Rebuttal REmoval of New  WH Solar AdjustMI 2 2" xfId="2122" xr:uid="{00000000-0005-0000-0000-000043080000}"/>
    <cellStyle name="_Costs not in AURORA 2006GRC w gas price updated_Rebuttal Power Costs_Electric Rev Req Model (2009 GRC) Rebuttal REmoval of New  WH Solar AdjustMI 3" xfId="2123" xr:uid="{00000000-0005-0000-0000-000044080000}"/>
    <cellStyle name="_Costs not in AURORA 2006GRC w gas price updated_Rebuttal Power Costs_Electric Rev Req Model (2009 GRC) Revised 01-18-2010" xfId="2124" xr:uid="{00000000-0005-0000-0000-000045080000}"/>
    <cellStyle name="_Costs not in AURORA 2006GRC w gas price updated_Rebuttal Power Costs_Electric Rev Req Model (2009 GRC) Revised 01-18-2010 2" xfId="2125" xr:uid="{00000000-0005-0000-0000-000046080000}"/>
    <cellStyle name="_Costs not in AURORA 2006GRC w gas price updated_Rebuttal Power Costs_Electric Rev Req Model (2009 GRC) Revised 01-18-2010 2 2" xfId="2126" xr:uid="{00000000-0005-0000-0000-000047080000}"/>
    <cellStyle name="_Costs not in AURORA 2006GRC w gas price updated_Rebuttal Power Costs_Electric Rev Req Model (2009 GRC) Revised 01-18-2010 3" xfId="2127" xr:uid="{00000000-0005-0000-0000-000048080000}"/>
    <cellStyle name="_Costs not in AURORA 2006GRC w gas price updated_Rebuttal Power Costs_Final Order Electric EXHIBIT A-1" xfId="2128" xr:uid="{00000000-0005-0000-0000-000049080000}"/>
    <cellStyle name="_Costs not in AURORA 2006GRC w gas price updated_Rebuttal Power Costs_Final Order Electric EXHIBIT A-1 2" xfId="2129" xr:uid="{00000000-0005-0000-0000-00004A080000}"/>
    <cellStyle name="_Costs not in AURORA 2006GRC w gas price updated_Rebuttal Power Costs_Final Order Electric EXHIBIT A-1 2 2" xfId="2130" xr:uid="{00000000-0005-0000-0000-00004B080000}"/>
    <cellStyle name="_Costs not in AURORA 2006GRC w gas price updated_Rebuttal Power Costs_Final Order Electric EXHIBIT A-1 3" xfId="2131" xr:uid="{00000000-0005-0000-0000-00004C080000}"/>
    <cellStyle name="_Costs not in AURORA 2006GRC w gas price updated_TENASKA REGULATORY ASSET" xfId="2132" xr:uid="{00000000-0005-0000-0000-00004D080000}"/>
    <cellStyle name="_Costs not in AURORA 2006GRC w gas price updated_TENASKA REGULATORY ASSET 2" xfId="2133" xr:uid="{00000000-0005-0000-0000-00004E080000}"/>
    <cellStyle name="_Costs not in AURORA 2006GRC w gas price updated_TENASKA REGULATORY ASSET 2 2" xfId="2134" xr:uid="{00000000-0005-0000-0000-00004F080000}"/>
    <cellStyle name="_Costs not in AURORA 2006GRC w gas price updated_TENASKA REGULATORY ASSET 3" xfId="2135" xr:uid="{00000000-0005-0000-0000-000050080000}"/>
    <cellStyle name="_Costs not in AURORA 2007 Rate Case" xfId="2136" xr:uid="{00000000-0005-0000-0000-000051080000}"/>
    <cellStyle name="_Costs not in AURORA 2007 Rate Case 2" xfId="2137" xr:uid="{00000000-0005-0000-0000-000052080000}"/>
    <cellStyle name="_Costs not in AURORA 2007 Rate Case 2 2" xfId="2138" xr:uid="{00000000-0005-0000-0000-000053080000}"/>
    <cellStyle name="_Costs not in AURORA 2007 Rate Case 2 2 2" xfId="2139" xr:uid="{00000000-0005-0000-0000-000054080000}"/>
    <cellStyle name="_Costs not in AURORA 2007 Rate Case 2 3" xfId="2140" xr:uid="{00000000-0005-0000-0000-000055080000}"/>
    <cellStyle name="_Costs not in AURORA 2007 Rate Case 3" xfId="2141" xr:uid="{00000000-0005-0000-0000-000056080000}"/>
    <cellStyle name="_Costs not in AURORA 2007 Rate Case 3 2" xfId="2142" xr:uid="{00000000-0005-0000-0000-000057080000}"/>
    <cellStyle name="_Costs not in AURORA 2007 Rate Case 4" xfId="2143" xr:uid="{00000000-0005-0000-0000-000058080000}"/>
    <cellStyle name="_Costs not in AURORA 2007 Rate Case 4 2" xfId="2144" xr:uid="{00000000-0005-0000-0000-000059080000}"/>
    <cellStyle name="_Costs not in AURORA 2007 Rate Case 5" xfId="2145" xr:uid="{00000000-0005-0000-0000-00005A080000}"/>
    <cellStyle name="_Costs not in AURORA 2007 Rate Case_(C) WHE Proforma with ITC cash grant 10 Yr Amort_for deferral_102809" xfId="2146" xr:uid="{00000000-0005-0000-0000-00005B080000}"/>
    <cellStyle name="_Costs not in AURORA 2007 Rate Case_(C) WHE Proforma with ITC cash grant 10 Yr Amort_for deferral_102809 2" xfId="2147" xr:uid="{00000000-0005-0000-0000-00005C080000}"/>
    <cellStyle name="_Costs not in AURORA 2007 Rate Case_(C) WHE Proforma with ITC cash grant 10 Yr Amort_for deferral_102809 2 2" xfId="2148" xr:uid="{00000000-0005-0000-0000-00005D080000}"/>
    <cellStyle name="_Costs not in AURORA 2007 Rate Case_(C) WHE Proforma with ITC cash grant 10 Yr Amort_for deferral_102809 3" xfId="2149" xr:uid="{00000000-0005-0000-0000-00005E080000}"/>
    <cellStyle name="_Costs not in AURORA 2007 Rate Case_(C) WHE Proforma with ITC cash grant 10 Yr Amort_for deferral_102809_16.07E Wild Horse Wind Expansionwrkingfile" xfId="2150" xr:uid="{00000000-0005-0000-0000-00005F080000}"/>
    <cellStyle name="_Costs not in AURORA 2007 Rate Case_(C) WHE Proforma with ITC cash grant 10 Yr Amort_for deferral_102809_16.07E Wild Horse Wind Expansionwrkingfile 2" xfId="2151" xr:uid="{00000000-0005-0000-0000-000060080000}"/>
    <cellStyle name="_Costs not in AURORA 2007 Rate Case_(C) WHE Proforma with ITC cash grant 10 Yr Amort_for deferral_102809_16.07E Wild Horse Wind Expansionwrkingfile 2 2" xfId="2152" xr:uid="{00000000-0005-0000-0000-000061080000}"/>
    <cellStyle name="_Costs not in AURORA 2007 Rate Case_(C) WHE Proforma with ITC cash grant 10 Yr Amort_for deferral_102809_16.07E Wild Horse Wind Expansionwrkingfile 3" xfId="2153" xr:uid="{00000000-0005-0000-0000-000062080000}"/>
    <cellStyle name="_Costs not in AURORA 2007 Rate Case_(C) WHE Proforma with ITC cash grant 10 Yr Amort_for deferral_102809_16.07E Wild Horse Wind Expansionwrkingfile SF" xfId="2154" xr:uid="{00000000-0005-0000-0000-000063080000}"/>
    <cellStyle name="_Costs not in AURORA 2007 Rate Case_(C) WHE Proforma with ITC cash grant 10 Yr Amort_for deferral_102809_16.07E Wild Horse Wind Expansionwrkingfile SF 2" xfId="2155" xr:uid="{00000000-0005-0000-0000-000064080000}"/>
    <cellStyle name="_Costs not in AURORA 2007 Rate Case_(C) WHE Proforma with ITC cash grant 10 Yr Amort_for deferral_102809_16.07E Wild Horse Wind Expansionwrkingfile SF 2 2" xfId="2156" xr:uid="{00000000-0005-0000-0000-000065080000}"/>
    <cellStyle name="_Costs not in AURORA 2007 Rate Case_(C) WHE Proforma with ITC cash grant 10 Yr Amort_for deferral_102809_16.07E Wild Horse Wind Expansionwrkingfile SF 3" xfId="2157" xr:uid="{00000000-0005-0000-0000-000066080000}"/>
    <cellStyle name="_Costs not in AURORA 2007 Rate Case_(C) WHE Proforma with ITC cash grant 10 Yr Amort_for deferral_102809_16.37E Wild Horse Expansion DeferralRevwrkingfile SF" xfId="2158" xr:uid="{00000000-0005-0000-0000-000067080000}"/>
    <cellStyle name="_Costs not in AURORA 2007 Rate Case_(C) WHE Proforma with ITC cash grant 10 Yr Amort_for deferral_102809_16.37E Wild Horse Expansion DeferralRevwrkingfile SF 2" xfId="2159" xr:uid="{00000000-0005-0000-0000-000068080000}"/>
    <cellStyle name="_Costs not in AURORA 2007 Rate Case_(C) WHE Proforma with ITC cash grant 10 Yr Amort_for deferral_102809_16.37E Wild Horse Expansion DeferralRevwrkingfile SF 2 2" xfId="2160" xr:uid="{00000000-0005-0000-0000-000069080000}"/>
    <cellStyle name="_Costs not in AURORA 2007 Rate Case_(C) WHE Proforma with ITC cash grant 10 Yr Amort_for deferral_102809_16.37E Wild Horse Expansion DeferralRevwrkingfile SF 3" xfId="2161" xr:uid="{00000000-0005-0000-0000-00006A080000}"/>
    <cellStyle name="_Costs not in AURORA 2007 Rate Case_(C) WHE Proforma with ITC cash grant 10 Yr Amort_for rebuttal_120709" xfId="2162" xr:uid="{00000000-0005-0000-0000-00006B080000}"/>
    <cellStyle name="_Costs not in AURORA 2007 Rate Case_(C) WHE Proforma with ITC cash grant 10 Yr Amort_for rebuttal_120709 2" xfId="2163" xr:uid="{00000000-0005-0000-0000-00006C080000}"/>
    <cellStyle name="_Costs not in AURORA 2007 Rate Case_(C) WHE Proforma with ITC cash grant 10 Yr Amort_for rebuttal_120709 2 2" xfId="2164" xr:uid="{00000000-0005-0000-0000-00006D080000}"/>
    <cellStyle name="_Costs not in AURORA 2007 Rate Case_(C) WHE Proforma with ITC cash grant 10 Yr Amort_for rebuttal_120709 3" xfId="2165" xr:uid="{00000000-0005-0000-0000-00006E080000}"/>
    <cellStyle name="_Costs not in AURORA 2007 Rate Case_04.07E Wild Horse Wind Expansion" xfId="2166" xr:uid="{00000000-0005-0000-0000-00006F080000}"/>
    <cellStyle name="_Costs not in AURORA 2007 Rate Case_04.07E Wild Horse Wind Expansion 2" xfId="2167" xr:uid="{00000000-0005-0000-0000-000070080000}"/>
    <cellStyle name="_Costs not in AURORA 2007 Rate Case_04.07E Wild Horse Wind Expansion 2 2" xfId="2168" xr:uid="{00000000-0005-0000-0000-000071080000}"/>
    <cellStyle name="_Costs not in AURORA 2007 Rate Case_04.07E Wild Horse Wind Expansion 3" xfId="2169" xr:uid="{00000000-0005-0000-0000-000072080000}"/>
    <cellStyle name="_Costs not in AURORA 2007 Rate Case_04.07E Wild Horse Wind Expansion_16.07E Wild Horse Wind Expansionwrkingfile" xfId="2170" xr:uid="{00000000-0005-0000-0000-000073080000}"/>
    <cellStyle name="_Costs not in AURORA 2007 Rate Case_04.07E Wild Horse Wind Expansion_16.07E Wild Horse Wind Expansionwrkingfile 2" xfId="2171" xr:uid="{00000000-0005-0000-0000-000074080000}"/>
    <cellStyle name="_Costs not in AURORA 2007 Rate Case_04.07E Wild Horse Wind Expansion_16.07E Wild Horse Wind Expansionwrkingfile 2 2" xfId="2172" xr:uid="{00000000-0005-0000-0000-000075080000}"/>
    <cellStyle name="_Costs not in AURORA 2007 Rate Case_04.07E Wild Horse Wind Expansion_16.07E Wild Horse Wind Expansionwrkingfile 3" xfId="2173" xr:uid="{00000000-0005-0000-0000-000076080000}"/>
    <cellStyle name="_Costs not in AURORA 2007 Rate Case_04.07E Wild Horse Wind Expansion_16.07E Wild Horse Wind Expansionwrkingfile SF" xfId="2174" xr:uid="{00000000-0005-0000-0000-000077080000}"/>
    <cellStyle name="_Costs not in AURORA 2007 Rate Case_04.07E Wild Horse Wind Expansion_16.07E Wild Horse Wind Expansionwrkingfile SF 2" xfId="2175" xr:uid="{00000000-0005-0000-0000-000078080000}"/>
    <cellStyle name="_Costs not in AURORA 2007 Rate Case_04.07E Wild Horse Wind Expansion_16.07E Wild Horse Wind Expansionwrkingfile SF 2 2" xfId="2176" xr:uid="{00000000-0005-0000-0000-000079080000}"/>
    <cellStyle name="_Costs not in AURORA 2007 Rate Case_04.07E Wild Horse Wind Expansion_16.07E Wild Horse Wind Expansionwrkingfile SF 3" xfId="2177" xr:uid="{00000000-0005-0000-0000-00007A080000}"/>
    <cellStyle name="_Costs not in AURORA 2007 Rate Case_04.07E Wild Horse Wind Expansion_16.37E Wild Horse Expansion DeferralRevwrkingfile SF" xfId="2178" xr:uid="{00000000-0005-0000-0000-00007B080000}"/>
    <cellStyle name="_Costs not in AURORA 2007 Rate Case_04.07E Wild Horse Wind Expansion_16.37E Wild Horse Expansion DeferralRevwrkingfile SF 2" xfId="2179" xr:uid="{00000000-0005-0000-0000-00007C080000}"/>
    <cellStyle name="_Costs not in AURORA 2007 Rate Case_04.07E Wild Horse Wind Expansion_16.37E Wild Horse Expansion DeferralRevwrkingfile SF 2 2" xfId="2180" xr:uid="{00000000-0005-0000-0000-00007D080000}"/>
    <cellStyle name="_Costs not in AURORA 2007 Rate Case_04.07E Wild Horse Wind Expansion_16.37E Wild Horse Expansion DeferralRevwrkingfile SF 3" xfId="2181" xr:uid="{00000000-0005-0000-0000-00007E080000}"/>
    <cellStyle name="_Costs not in AURORA 2007 Rate Case_16.07E Wild Horse Wind Expansionwrkingfile" xfId="2182" xr:uid="{00000000-0005-0000-0000-00007F080000}"/>
    <cellStyle name="_Costs not in AURORA 2007 Rate Case_16.07E Wild Horse Wind Expansionwrkingfile 2" xfId="2183" xr:uid="{00000000-0005-0000-0000-000080080000}"/>
    <cellStyle name="_Costs not in AURORA 2007 Rate Case_16.07E Wild Horse Wind Expansionwrkingfile 2 2" xfId="2184" xr:uid="{00000000-0005-0000-0000-000081080000}"/>
    <cellStyle name="_Costs not in AURORA 2007 Rate Case_16.07E Wild Horse Wind Expansionwrkingfile 3" xfId="2185" xr:uid="{00000000-0005-0000-0000-000082080000}"/>
    <cellStyle name="_Costs not in AURORA 2007 Rate Case_16.07E Wild Horse Wind Expansionwrkingfile SF" xfId="2186" xr:uid="{00000000-0005-0000-0000-000083080000}"/>
    <cellStyle name="_Costs not in AURORA 2007 Rate Case_16.07E Wild Horse Wind Expansionwrkingfile SF 2" xfId="2187" xr:uid="{00000000-0005-0000-0000-000084080000}"/>
    <cellStyle name="_Costs not in AURORA 2007 Rate Case_16.07E Wild Horse Wind Expansionwrkingfile SF 2 2" xfId="2188" xr:uid="{00000000-0005-0000-0000-000085080000}"/>
    <cellStyle name="_Costs not in AURORA 2007 Rate Case_16.07E Wild Horse Wind Expansionwrkingfile SF 3" xfId="2189" xr:uid="{00000000-0005-0000-0000-000086080000}"/>
    <cellStyle name="_Costs not in AURORA 2007 Rate Case_16.37E Wild Horse Expansion DeferralRevwrkingfile SF" xfId="2190" xr:uid="{00000000-0005-0000-0000-000087080000}"/>
    <cellStyle name="_Costs not in AURORA 2007 Rate Case_16.37E Wild Horse Expansion DeferralRevwrkingfile SF 2" xfId="2191" xr:uid="{00000000-0005-0000-0000-000088080000}"/>
    <cellStyle name="_Costs not in AURORA 2007 Rate Case_16.37E Wild Horse Expansion DeferralRevwrkingfile SF 2 2" xfId="2192" xr:uid="{00000000-0005-0000-0000-000089080000}"/>
    <cellStyle name="_Costs not in AURORA 2007 Rate Case_16.37E Wild Horse Expansion DeferralRevwrkingfile SF 3" xfId="2193" xr:uid="{00000000-0005-0000-0000-00008A080000}"/>
    <cellStyle name="_Costs not in AURORA 2007 Rate Case_2009 Compliance Filing PCA Exhibits for GRC" xfId="2194" xr:uid="{00000000-0005-0000-0000-00008B080000}"/>
    <cellStyle name="_Costs not in AURORA 2007 Rate Case_2009 GRC Compl Filing - Exhibit D" xfId="2195" xr:uid="{00000000-0005-0000-0000-00008C080000}"/>
    <cellStyle name="_Costs not in AURORA 2007 Rate Case_2009 GRC Compl Filing - Exhibit D 2" xfId="2196" xr:uid="{00000000-0005-0000-0000-00008D080000}"/>
    <cellStyle name="_Costs not in AURORA 2007 Rate Case_3.01 Income Statement" xfId="2197" xr:uid="{00000000-0005-0000-0000-00008E080000}"/>
    <cellStyle name="_Costs not in AURORA 2007 Rate Case_4 31 Regulatory Assets and Liabilities  7 06- Exhibit D" xfId="2198" xr:uid="{00000000-0005-0000-0000-00008F080000}"/>
    <cellStyle name="_Costs not in AURORA 2007 Rate Case_4 31 Regulatory Assets and Liabilities  7 06- Exhibit D 2" xfId="2199" xr:uid="{00000000-0005-0000-0000-000090080000}"/>
    <cellStyle name="_Costs not in AURORA 2007 Rate Case_4 31 Regulatory Assets and Liabilities  7 06- Exhibit D 2 2" xfId="2200" xr:uid="{00000000-0005-0000-0000-000091080000}"/>
    <cellStyle name="_Costs not in AURORA 2007 Rate Case_4 31 Regulatory Assets and Liabilities  7 06- Exhibit D 3" xfId="2201" xr:uid="{00000000-0005-0000-0000-000092080000}"/>
    <cellStyle name="_Costs not in AURORA 2007 Rate Case_4 31 Regulatory Assets and Liabilities  7 06- Exhibit D_NIM Summary" xfId="2202" xr:uid="{00000000-0005-0000-0000-000093080000}"/>
    <cellStyle name="_Costs not in AURORA 2007 Rate Case_4 31 Regulatory Assets and Liabilities  7 06- Exhibit D_NIM Summary 2" xfId="2203" xr:uid="{00000000-0005-0000-0000-000094080000}"/>
    <cellStyle name="_Costs not in AURORA 2007 Rate Case_4 32 Regulatory Assets and Liabilities  7 06- Exhibit D" xfId="2204" xr:uid="{00000000-0005-0000-0000-000095080000}"/>
    <cellStyle name="_Costs not in AURORA 2007 Rate Case_4 32 Regulatory Assets and Liabilities  7 06- Exhibit D 2" xfId="2205" xr:uid="{00000000-0005-0000-0000-000096080000}"/>
    <cellStyle name="_Costs not in AURORA 2007 Rate Case_4 32 Regulatory Assets and Liabilities  7 06- Exhibit D 2 2" xfId="2206" xr:uid="{00000000-0005-0000-0000-000097080000}"/>
    <cellStyle name="_Costs not in AURORA 2007 Rate Case_4 32 Regulatory Assets and Liabilities  7 06- Exhibit D 3" xfId="2207" xr:uid="{00000000-0005-0000-0000-000098080000}"/>
    <cellStyle name="_Costs not in AURORA 2007 Rate Case_4 32 Regulatory Assets and Liabilities  7 06- Exhibit D_NIM Summary" xfId="2208" xr:uid="{00000000-0005-0000-0000-000099080000}"/>
    <cellStyle name="_Costs not in AURORA 2007 Rate Case_4 32 Regulatory Assets and Liabilities  7 06- Exhibit D_NIM Summary 2" xfId="2209" xr:uid="{00000000-0005-0000-0000-00009A080000}"/>
    <cellStyle name="_Costs not in AURORA 2007 Rate Case_AURORA Total New" xfId="2210" xr:uid="{00000000-0005-0000-0000-00009B080000}"/>
    <cellStyle name="_Costs not in AURORA 2007 Rate Case_AURORA Total New 2" xfId="2211" xr:uid="{00000000-0005-0000-0000-00009C080000}"/>
    <cellStyle name="_Costs not in AURORA 2007 Rate Case_Book2" xfId="2212" xr:uid="{00000000-0005-0000-0000-00009D080000}"/>
    <cellStyle name="_Costs not in AURORA 2007 Rate Case_Book2 2" xfId="2213" xr:uid="{00000000-0005-0000-0000-00009E080000}"/>
    <cellStyle name="_Costs not in AURORA 2007 Rate Case_Book2 2 2" xfId="2214" xr:uid="{00000000-0005-0000-0000-00009F080000}"/>
    <cellStyle name="_Costs not in AURORA 2007 Rate Case_Book2 3" xfId="2215" xr:uid="{00000000-0005-0000-0000-0000A0080000}"/>
    <cellStyle name="_Costs not in AURORA 2007 Rate Case_Book2_Adj Bench DR 3 for Initial Briefs (Electric)" xfId="2216" xr:uid="{00000000-0005-0000-0000-0000A1080000}"/>
    <cellStyle name="_Costs not in AURORA 2007 Rate Case_Book2_Adj Bench DR 3 for Initial Briefs (Electric) 2" xfId="2217" xr:uid="{00000000-0005-0000-0000-0000A2080000}"/>
    <cellStyle name="_Costs not in AURORA 2007 Rate Case_Book2_Adj Bench DR 3 for Initial Briefs (Electric) 2 2" xfId="2218" xr:uid="{00000000-0005-0000-0000-0000A3080000}"/>
    <cellStyle name="_Costs not in AURORA 2007 Rate Case_Book2_Adj Bench DR 3 for Initial Briefs (Electric) 3" xfId="2219" xr:uid="{00000000-0005-0000-0000-0000A4080000}"/>
    <cellStyle name="_Costs not in AURORA 2007 Rate Case_Book2_Electric Rev Req Model (2009 GRC) Rebuttal" xfId="2220" xr:uid="{00000000-0005-0000-0000-0000A5080000}"/>
    <cellStyle name="_Costs not in AURORA 2007 Rate Case_Book2_Electric Rev Req Model (2009 GRC) Rebuttal 2" xfId="2221" xr:uid="{00000000-0005-0000-0000-0000A6080000}"/>
    <cellStyle name="_Costs not in AURORA 2007 Rate Case_Book2_Electric Rev Req Model (2009 GRC) Rebuttal 2 2" xfId="2222" xr:uid="{00000000-0005-0000-0000-0000A7080000}"/>
    <cellStyle name="_Costs not in AURORA 2007 Rate Case_Book2_Electric Rev Req Model (2009 GRC) Rebuttal 3" xfId="2223" xr:uid="{00000000-0005-0000-0000-0000A8080000}"/>
    <cellStyle name="_Costs not in AURORA 2007 Rate Case_Book2_Electric Rev Req Model (2009 GRC) Rebuttal REmoval of New  WH Solar AdjustMI" xfId="2224" xr:uid="{00000000-0005-0000-0000-0000A9080000}"/>
    <cellStyle name="_Costs not in AURORA 2007 Rate Case_Book2_Electric Rev Req Model (2009 GRC) Rebuttal REmoval of New  WH Solar AdjustMI 2" xfId="2225" xr:uid="{00000000-0005-0000-0000-0000AA080000}"/>
    <cellStyle name="_Costs not in AURORA 2007 Rate Case_Book2_Electric Rev Req Model (2009 GRC) Rebuttal REmoval of New  WH Solar AdjustMI 2 2" xfId="2226" xr:uid="{00000000-0005-0000-0000-0000AB080000}"/>
    <cellStyle name="_Costs not in AURORA 2007 Rate Case_Book2_Electric Rev Req Model (2009 GRC) Rebuttal REmoval of New  WH Solar AdjustMI 3" xfId="2227" xr:uid="{00000000-0005-0000-0000-0000AC080000}"/>
    <cellStyle name="_Costs not in AURORA 2007 Rate Case_Book2_Electric Rev Req Model (2009 GRC) Revised 01-18-2010" xfId="2228" xr:uid="{00000000-0005-0000-0000-0000AD080000}"/>
    <cellStyle name="_Costs not in AURORA 2007 Rate Case_Book2_Electric Rev Req Model (2009 GRC) Revised 01-18-2010 2" xfId="2229" xr:uid="{00000000-0005-0000-0000-0000AE080000}"/>
    <cellStyle name="_Costs not in AURORA 2007 Rate Case_Book2_Electric Rev Req Model (2009 GRC) Revised 01-18-2010 2 2" xfId="2230" xr:uid="{00000000-0005-0000-0000-0000AF080000}"/>
    <cellStyle name="_Costs not in AURORA 2007 Rate Case_Book2_Electric Rev Req Model (2009 GRC) Revised 01-18-2010 3" xfId="2231" xr:uid="{00000000-0005-0000-0000-0000B0080000}"/>
    <cellStyle name="_Costs not in AURORA 2007 Rate Case_Book2_Final Order Electric EXHIBIT A-1" xfId="2232" xr:uid="{00000000-0005-0000-0000-0000B1080000}"/>
    <cellStyle name="_Costs not in AURORA 2007 Rate Case_Book2_Final Order Electric EXHIBIT A-1 2" xfId="2233" xr:uid="{00000000-0005-0000-0000-0000B2080000}"/>
    <cellStyle name="_Costs not in AURORA 2007 Rate Case_Book2_Final Order Electric EXHIBIT A-1 2 2" xfId="2234" xr:uid="{00000000-0005-0000-0000-0000B3080000}"/>
    <cellStyle name="_Costs not in AURORA 2007 Rate Case_Book2_Final Order Electric EXHIBIT A-1 3" xfId="2235" xr:uid="{00000000-0005-0000-0000-0000B4080000}"/>
    <cellStyle name="_Costs not in AURORA 2007 Rate Case_Book4" xfId="2236" xr:uid="{00000000-0005-0000-0000-0000B5080000}"/>
    <cellStyle name="_Costs not in AURORA 2007 Rate Case_Book4 2" xfId="2237" xr:uid="{00000000-0005-0000-0000-0000B6080000}"/>
    <cellStyle name="_Costs not in AURORA 2007 Rate Case_Book4 2 2" xfId="2238" xr:uid="{00000000-0005-0000-0000-0000B7080000}"/>
    <cellStyle name="_Costs not in AURORA 2007 Rate Case_Book4 3" xfId="2239" xr:uid="{00000000-0005-0000-0000-0000B8080000}"/>
    <cellStyle name="_Costs not in AURORA 2007 Rate Case_Book9" xfId="2240" xr:uid="{00000000-0005-0000-0000-0000B9080000}"/>
    <cellStyle name="_Costs not in AURORA 2007 Rate Case_Book9 2" xfId="2241" xr:uid="{00000000-0005-0000-0000-0000BA080000}"/>
    <cellStyle name="_Costs not in AURORA 2007 Rate Case_Book9 2 2" xfId="2242" xr:uid="{00000000-0005-0000-0000-0000BB080000}"/>
    <cellStyle name="_Costs not in AURORA 2007 Rate Case_Book9 3" xfId="2243" xr:uid="{00000000-0005-0000-0000-0000BC080000}"/>
    <cellStyle name="_Costs not in AURORA 2007 Rate Case_Chelan PUD Power Costs (8-10)" xfId="2244" xr:uid="{00000000-0005-0000-0000-0000BD080000}"/>
    <cellStyle name="_Costs not in AURORA 2007 Rate Case_Electric COS Inputs" xfId="2245" xr:uid="{00000000-0005-0000-0000-0000BE080000}"/>
    <cellStyle name="_Costs not in AURORA 2007 Rate Case_Electric COS Inputs 2" xfId="2246" xr:uid="{00000000-0005-0000-0000-0000BF080000}"/>
    <cellStyle name="_Costs not in AURORA 2007 Rate Case_Electric COS Inputs 2 2" xfId="2247" xr:uid="{00000000-0005-0000-0000-0000C0080000}"/>
    <cellStyle name="_Costs not in AURORA 2007 Rate Case_Electric COS Inputs 2 2 2" xfId="2248" xr:uid="{00000000-0005-0000-0000-0000C1080000}"/>
    <cellStyle name="_Costs not in AURORA 2007 Rate Case_Electric COS Inputs 2 3" xfId="2249" xr:uid="{00000000-0005-0000-0000-0000C2080000}"/>
    <cellStyle name="_Costs not in AURORA 2007 Rate Case_Electric COS Inputs 2 3 2" xfId="2250" xr:uid="{00000000-0005-0000-0000-0000C3080000}"/>
    <cellStyle name="_Costs not in AURORA 2007 Rate Case_Electric COS Inputs 2 4" xfId="2251" xr:uid="{00000000-0005-0000-0000-0000C4080000}"/>
    <cellStyle name="_Costs not in AURORA 2007 Rate Case_Electric COS Inputs 2 4 2" xfId="2252" xr:uid="{00000000-0005-0000-0000-0000C5080000}"/>
    <cellStyle name="_Costs not in AURORA 2007 Rate Case_Electric COS Inputs 3" xfId="2253" xr:uid="{00000000-0005-0000-0000-0000C6080000}"/>
    <cellStyle name="_Costs not in AURORA 2007 Rate Case_Electric COS Inputs 3 2" xfId="2254" xr:uid="{00000000-0005-0000-0000-0000C7080000}"/>
    <cellStyle name="_Costs not in AURORA 2007 Rate Case_Electric COS Inputs 4" xfId="2255" xr:uid="{00000000-0005-0000-0000-0000C8080000}"/>
    <cellStyle name="_Costs not in AURORA 2007 Rate Case_Electric COS Inputs 4 2" xfId="2256" xr:uid="{00000000-0005-0000-0000-0000C9080000}"/>
    <cellStyle name="_Costs not in AURORA 2007 Rate Case_Electric COS Inputs 5" xfId="2257" xr:uid="{00000000-0005-0000-0000-0000CA080000}"/>
    <cellStyle name="_Costs not in AURORA 2007 Rate Case_Electric COS Inputs 6" xfId="2258" xr:uid="{00000000-0005-0000-0000-0000CB080000}"/>
    <cellStyle name="_Costs not in AURORA 2007 Rate Case_NIM Summary" xfId="2259" xr:uid="{00000000-0005-0000-0000-0000CC080000}"/>
    <cellStyle name="_Costs not in AURORA 2007 Rate Case_NIM Summary 09GRC" xfId="2260" xr:uid="{00000000-0005-0000-0000-0000CD080000}"/>
    <cellStyle name="_Costs not in AURORA 2007 Rate Case_NIM Summary 09GRC 2" xfId="2261" xr:uid="{00000000-0005-0000-0000-0000CE080000}"/>
    <cellStyle name="_Costs not in AURORA 2007 Rate Case_NIM Summary 2" xfId="2262" xr:uid="{00000000-0005-0000-0000-0000CF080000}"/>
    <cellStyle name="_Costs not in AURORA 2007 Rate Case_NIM Summary 3" xfId="2263" xr:uid="{00000000-0005-0000-0000-0000D0080000}"/>
    <cellStyle name="_Costs not in AURORA 2007 Rate Case_NIM Summary 4" xfId="2264" xr:uid="{00000000-0005-0000-0000-0000D1080000}"/>
    <cellStyle name="_Costs not in AURORA 2007 Rate Case_NIM Summary 5" xfId="2265" xr:uid="{00000000-0005-0000-0000-0000D2080000}"/>
    <cellStyle name="_Costs not in AURORA 2007 Rate Case_NIM Summary 6" xfId="2266" xr:uid="{00000000-0005-0000-0000-0000D3080000}"/>
    <cellStyle name="_Costs not in AURORA 2007 Rate Case_NIM Summary 7" xfId="2267" xr:uid="{00000000-0005-0000-0000-0000D4080000}"/>
    <cellStyle name="_Costs not in AURORA 2007 Rate Case_NIM Summary 8" xfId="2268" xr:uid="{00000000-0005-0000-0000-0000D5080000}"/>
    <cellStyle name="_Costs not in AURORA 2007 Rate Case_NIM Summary 9" xfId="2269" xr:uid="{00000000-0005-0000-0000-0000D6080000}"/>
    <cellStyle name="_Costs not in AURORA 2007 Rate Case_PCA 10 -  Exhibit D from A Kellogg Jan 2011" xfId="2270" xr:uid="{00000000-0005-0000-0000-0000D7080000}"/>
    <cellStyle name="_Costs not in AURORA 2007 Rate Case_PCA 10 -  Exhibit D from A Kellogg July 2011" xfId="2271" xr:uid="{00000000-0005-0000-0000-0000D8080000}"/>
    <cellStyle name="_Costs not in AURORA 2007 Rate Case_PCA 10 -  Exhibit D from S Free Rcv'd 12-11" xfId="2272" xr:uid="{00000000-0005-0000-0000-0000D9080000}"/>
    <cellStyle name="_Costs not in AURORA 2007 Rate Case_PCA 9 -  Exhibit D April 2010" xfId="2273" xr:uid="{00000000-0005-0000-0000-0000DA080000}"/>
    <cellStyle name="_Costs not in AURORA 2007 Rate Case_PCA 9 -  Exhibit D April 2010 (3)" xfId="2274" xr:uid="{00000000-0005-0000-0000-0000DB080000}"/>
    <cellStyle name="_Costs not in AURORA 2007 Rate Case_PCA 9 -  Exhibit D April 2010 (3) 2" xfId="2275" xr:uid="{00000000-0005-0000-0000-0000DC080000}"/>
    <cellStyle name="_Costs not in AURORA 2007 Rate Case_PCA 9 -  Exhibit D Nov 2010" xfId="2276" xr:uid="{00000000-0005-0000-0000-0000DD080000}"/>
    <cellStyle name="_Costs not in AURORA 2007 Rate Case_PCA 9 - Exhibit D at August 2010" xfId="2277" xr:uid="{00000000-0005-0000-0000-0000DE080000}"/>
    <cellStyle name="_Costs not in AURORA 2007 Rate Case_PCA 9 - Exhibit D June 2010 GRC" xfId="2278" xr:uid="{00000000-0005-0000-0000-0000DF080000}"/>
    <cellStyle name="_Costs not in AURORA 2007 Rate Case_Power Costs - Comparison bx Rbtl-Staff-Jt-PC" xfId="2279" xr:uid="{00000000-0005-0000-0000-0000E0080000}"/>
    <cellStyle name="_Costs not in AURORA 2007 Rate Case_Power Costs - Comparison bx Rbtl-Staff-Jt-PC 2" xfId="2280" xr:uid="{00000000-0005-0000-0000-0000E1080000}"/>
    <cellStyle name="_Costs not in AURORA 2007 Rate Case_Power Costs - Comparison bx Rbtl-Staff-Jt-PC 2 2" xfId="2281" xr:uid="{00000000-0005-0000-0000-0000E2080000}"/>
    <cellStyle name="_Costs not in AURORA 2007 Rate Case_Power Costs - Comparison bx Rbtl-Staff-Jt-PC 3" xfId="2282" xr:uid="{00000000-0005-0000-0000-0000E3080000}"/>
    <cellStyle name="_Costs not in AURORA 2007 Rate Case_Power Costs - Comparison bx Rbtl-Staff-Jt-PC_Adj Bench DR 3 for Initial Briefs (Electric)" xfId="2283" xr:uid="{00000000-0005-0000-0000-0000E4080000}"/>
    <cellStyle name="_Costs not in AURORA 2007 Rate Case_Power Costs - Comparison bx Rbtl-Staff-Jt-PC_Adj Bench DR 3 for Initial Briefs (Electric) 2" xfId="2284" xr:uid="{00000000-0005-0000-0000-0000E5080000}"/>
    <cellStyle name="_Costs not in AURORA 2007 Rate Case_Power Costs - Comparison bx Rbtl-Staff-Jt-PC_Adj Bench DR 3 for Initial Briefs (Electric) 2 2" xfId="2285" xr:uid="{00000000-0005-0000-0000-0000E6080000}"/>
    <cellStyle name="_Costs not in AURORA 2007 Rate Case_Power Costs - Comparison bx Rbtl-Staff-Jt-PC_Adj Bench DR 3 for Initial Briefs (Electric) 3" xfId="2286" xr:uid="{00000000-0005-0000-0000-0000E7080000}"/>
    <cellStyle name="_Costs not in AURORA 2007 Rate Case_Power Costs - Comparison bx Rbtl-Staff-Jt-PC_Electric Rev Req Model (2009 GRC) Rebuttal" xfId="2287" xr:uid="{00000000-0005-0000-0000-0000E8080000}"/>
    <cellStyle name="_Costs not in AURORA 2007 Rate Case_Power Costs - Comparison bx Rbtl-Staff-Jt-PC_Electric Rev Req Model (2009 GRC) Rebuttal 2" xfId="2288" xr:uid="{00000000-0005-0000-0000-0000E9080000}"/>
    <cellStyle name="_Costs not in AURORA 2007 Rate Case_Power Costs - Comparison bx Rbtl-Staff-Jt-PC_Electric Rev Req Model (2009 GRC) Rebuttal 2 2" xfId="2289" xr:uid="{00000000-0005-0000-0000-0000EA080000}"/>
    <cellStyle name="_Costs not in AURORA 2007 Rate Case_Power Costs - Comparison bx Rbtl-Staff-Jt-PC_Electric Rev Req Model (2009 GRC) Rebuttal 3" xfId="2290" xr:uid="{00000000-0005-0000-0000-0000EB080000}"/>
    <cellStyle name="_Costs not in AURORA 2007 Rate Case_Power Costs - Comparison bx Rbtl-Staff-Jt-PC_Electric Rev Req Model (2009 GRC) Rebuttal REmoval of New  WH Solar AdjustMI" xfId="2291" xr:uid="{00000000-0005-0000-0000-0000EC080000}"/>
    <cellStyle name="_Costs not in AURORA 2007 Rate Case_Power Costs - Comparison bx Rbtl-Staff-Jt-PC_Electric Rev Req Model (2009 GRC) Rebuttal REmoval of New  WH Solar AdjustMI 2" xfId="2292" xr:uid="{00000000-0005-0000-0000-0000ED080000}"/>
    <cellStyle name="_Costs not in AURORA 2007 Rate Case_Power Costs - Comparison bx Rbtl-Staff-Jt-PC_Electric Rev Req Model (2009 GRC) Rebuttal REmoval of New  WH Solar AdjustMI 2 2" xfId="2293" xr:uid="{00000000-0005-0000-0000-0000EE080000}"/>
    <cellStyle name="_Costs not in AURORA 2007 Rate Case_Power Costs - Comparison bx Rbtl-Staff-Jt-PC_Electric Rev Req Model (2009 GRC) Rebuttal REmoval of New  WH Solar AdjustMI 3" xfId="2294" xr:uid="{00000000-0005-0000-0000-0000EF080000}"/>
    <cellStyle name="_Costs not in AURORA 2007 Rate Case_Power Costs - Comparison bx Rbtl-Staff-Jt-PC_Electric Rev Req Model (2009 GRC) Revised 01-18-2010" xfId="2295" xr:uid="{00000000-0005-0000-0000-0000F0080000}"/>
    <cellStyle name="_Costs not in AURORA 2007 Rate Case_Power Costs - Comparison bx Rbtl-Staff-Jt-PC_Electric Rev Req Model (2009 GRC) Revised 01-18-2010 2" xfId="2296" xr:uid="{00000000-0005-0000-0000-0000F1080000}"/>
    <cellStyle name="_Costs not in AURORA 2007 Rate Case_Power Costs - Comparison bx Rbtl-Staff-Jt-PC_Electric Rev Req Model (2009 GRC) Revised 01-18-2010 2 2" xfId="2297" xr:uid="{00000000-0005-0000-0000-0000F2080000}"/>
    <cellStyle name="_Costs not in AURORA 2007 Rate Case_Power Costs - Comparison bx Rbtl-Staff-Jt-PC_Electric Rev Req Model (2009 GRC) Revised 01-18-2010 3" xfId="2298" xr:uid="{00000000-0005-0000-0000-0000F3080000}"/>
    <cellStyle name="_Costs not in AURORA 2007 Rate Case_Power Costs - Comparison bx Rbtl-Staff-Jt-PC_Final Order Electric EXHIBIT A-1" xfId="2299" xr:uid="{00000000-0005-0000-0000-0000F4080000}"/>
    <cellStyle name="_Costs not in AURORA 2007 Rate Case_Power Costs - Comparison bx Rbtl-Staff-Jt-PC_Final Order Electric EXHIBIT A-1 2" xfId="2300" xr:uid="{00000000-0005-0000-0000-0000F5080000}"/>
    <cellStyle name="_Costs not in AURORA 2007 Rate Case_Power Costs - Comparison bx Rbtl-Staff-Jt-PC_Final Order Electric EXHIBIT A-1 2 2" xfId="2301" xr:uid="{00000000-0005-0000-0000-0000F6080000}"/>
    <cellStyle name="_Costs not in AURORA 2007 Rate Case_Power Costs - Comparison bx Rbtl-Staff-Jt-PC_Final Order Electric EXHIBIT A-1 3" xfId="2302" xr:uid="{00000000-0005-0000-0000-0000F7080000}"/>
    <cellStyle name="_Costs not in AURORA 2007 Rate Case_Production Adj 4.37" xfId="2303" xr:uid="{00000000-0005-0000-0000-0000F8080000}"/>
    <cellStyle name="_Costs not in AURORA 2007 Rate Case_Production Adj 4.37 2" xfId="2304" xr:uid="{00000000-0005-0000-0000-0000F9080000}"/>
    <cellStyle name="_Costs not in AURORA 2007 Rate Case_Production Adj 4.37 2 2" xfId="2305" xr:uid="{00000000-0005-0000-0000-0000FA080000}"/>
    <cellStyle name="_Costs not in AURORA 2007 Rate Case_Production Adj 4.37 3" xfId="2306" xr:uid="{00000000-0005-0000-0000-0000FB080000}"/>
    <cellStyle name="_Costs not in AURORA 2007 Rate Case_Purchased Power Adj 4.03" xfId="2307" xr:uid="{00000000-0005-0000-0000-0000FC080000}"/>
    <cellStyle name="_Costs not in AURORA 2007 Rate Case_Purchased Power Adj 4.03 2" xfId="2308" xr:uid="{00000000-0005-0000-0000-0000FD080000}"/>
    <cellStyle name="_Costs not in AURORA 2007 Rate Case_Purchased Power Adj 4.03 2 2" xfId="2309" xr:uid="{00000000-0005-0000-0000-0000FE080000}"/>
    <cellStyle name="_Costs not in AURORA 2007 Rate Case_Purchased Power Adj 4.03 3" xfId="2310" xr:uid="{00000000-0005-0000-0000-0000FF080000}"/>
    <cellStyle name="_Costs not in AURORA 2007 Rate Case_Rebuttal Power Costs" xfId="2311" xr:uid="{00000000-0005-0000-0000-000000090000}"/>
    <cellStyle name="_Costs not in AURORA 2007 Rate Case_Rebuttal Power Costs 2" xfId="2312" xr:uid="{00000000-0005-0000-0000-000001090000}"/>
    <cellStyle name="_Costs not in AURORA 2007 Rate Case_Rebuttal Power Costs 2 2" xfId="2313" xr:uid="{00000000-0005-0000-0000-000002090000}"/>
    <cellStyle name="_Costs not in AURORA 2007 Rate Case_Rebuttal Power Costs 3" xfId="2314" xr:uid="{00000000-0005-0000-0000-000003090000}"/>
    <cellStyle name="_Costs not in AURORA 2007 Rate Case_Rebuttal Power Costs_Adj Bench DR 3 for Initial Briefs (Electric)" xfId="2315" xr:uid="{00000000-0005-0000-0000-000004090000}"/>
    <cellStyle name="_Costs not in AURORA 2007 Rate Case_Rebuttal Power Costs_Adj Bench DR 3 for Initial Briefs (Electric) 2" xfId="2316" xr:uid="{00000000-0005-0000-0000-000005090000}"/>
    <cellStyle name="_Costs not in AURORA 2007 Rate Case_Rebuttal Power Costs_Adj Bench DR 3 for Initial Briefs (Electric) 2 2" xfId="2317" xr:uid="{00000000-0005-0000-0000-000006090000}"/>
    <cellStyle name="_Costs not in AURORA 2007 Rate Case_Rebuttal Power Costs_Adj Bench DR 3 for Initial Briefs (Electric) 3" xfId="2318" xr:uid="{00000000-0005-0000-0000-000007090000}"/>
    <cellStyle name="_Costs not in AURORA 2007 Rate Case_Rebuttal Power Costs_Electric Rev Req Model (2009 GRC) Rebuttal" xfId="2319" xr:uid="{00000000-0005-0000-0000-000008090000}"/>
    <cellStyle name="_Costs not in AURORA 2007 Rate Case_Rebuttal Power Costs_Electric Rev Req Model (2009 GRC) Rebuttal 2" xfId="2320" xr:uid="{00000000-0005-0000-0000-000009090000}"/>
    <cellStyle name="_Costs not in AURORA 2007 Rate Case_Rebuttal Power Costs_Electric Rev Req Model (2009 GRC) Rebuttal 2 2" xfId="2321" xr:uid="{00000000-0005-0000-0000-00000A090000}"/>
    <cellStyle name="_Costs not in AURORA 2007 Rate Case_Rebuttal Power Costs_Electric Rev Req Model (2009 GRC) Rebuttal 3" xfId="2322" xr:uid="{00000000-0005-0000-0000-00000B090000}"/>
    <cellStyle name="_Costs not in AURORA 2007 Rate Case_Rebuttal Power Costs_Electric Rev Req Model (2009 GRC) Rebuttal REmoval of New  WH Solar AdjustMI" xfId="2323" xr:uid="{00000000-0005-0000-0000-00000C090000}"/>
    <cellStyle name="_Costs not in AURORA 2007 Rate Case_Rebuttal Power Costs_Electric Rev Req Model (2009 GRC) Rebuttal REmoval of New  WH Solar AdjustMI 2" xfId="2324" xr:uid="{00000000-0005-0000-0000-00000D090000}"/>
    <cellStyle name="_Costs not in AURORA 2007 Rate Case_Rebuttal Power Costs_Electric Rev Req Model (2009 GRC) Rebuttal REmoval of New  WH Solar AdjustMI 2 2" xfId="2325" xr:uid="{00000000-0005-0000-0000-00000E090000}"/>
    <cellStyle name="_Costs not in AURORA 2007 Rate Case_Rebuttal Power Costs_Electric Rev Req Model (2009 GRC) Rebuttal REmoval of New  WH Solar AdjustMI 3" xfId="2326" xr:uid="{00000000-0005-0000-0000-00000F090000}"/>
    <cellStyle name="_Costs not in AURORA 2007 Rate Case_Rebuttal Power Costs_Electric Rev Req Model (2009 GRC) Revised 01-18-2010" xfId="2327" xr:uid="{00000000-0005-0000-0000-000010090000}"/>
    <cellStyle name="_Costs not in AURORA 2007 Rate Case_Rebuttal Power Costs_Electric Rev Req Model (2009 GRC) Revised 01-18-2010 2" xfId="2328" xr:uid="{00000000-0005-0000-0000-000011090000}"/>
    <cellStyle name="_Costs not in AURORA 2007 Rate Case_Rebuttal Power Costs_Electric Rev Req Model (2009 GRC) Revised 01-18-2010 2 2" xfId="2329" xr:uid="{00000000-0005-0000-0000-000012090000}"/>
    <cellStyle name="_Costs not in AURORA 2007 Rate Case_Rebuttal Power Costs_Electric Rev Req Model (2009 GRC) Revised 01-18-2010 3" xfId="2330" xr:uid="{00000000-0005-0000-0000-000013090000}"/>
    <cellStyle name="_Costs not in AURORA 2007 Rate Case_Rebuttal Power Costs_Final Order Electric EXHIBIT A-1" xfId="2331" xr:uid="{00000000-0005-0000-0000-000014090000}"/>
    <cellStyle name="_Costs not in AURORA 2007 Rate Case_Rebuttal Power Costs_Final Order Electric EXHIBIT A-1 2" xfId="2332" xr:uid="{00000000-0005-0000-0000-000015090000}"/>
    <cellStyle name="_Costs not in AURORA 2007 Rate Case_Rebuttal Power Costs_Final Order Electric EXHIBIT A-1 2 2" xfId="2333" xr:uid="{00000000-0005-0000-0000-000016090000}"/>
    <cellStyle name="_Costs not in AURORA 2007 Rate Case_Rebuttal Power Costs_Final Order Electric EXHIBIT A-1 3" xfId="2334" xr:uid="{00000000-0005-0000-0000-000017090000}"/>
    <cellStyle name="_Costs not in AURORA 2007 Rate Case_ROR 5.02" xfId="2335" xr:uid="{00000000-0005-0000-0000-000018090000}"/>
    <cellStyle name="_Costs not in AURORA 2007 Rate Case_ROR 5.02 2" xfId="2336" xr:uid="{00000000-0005-0000-0000-000019090000}"/>
    <cellStyle name="_Costs not in AURORA 2007 Rate Case_ROR 5.02 2 2" xfId="2337" xr:uid="{00000000-0005-0000-0000-00001A090000}"/>
    <cellStyle name="_Costs not in AURORA 2007 Rate Case_ROR 5.02 3" xfId="2338" xr:uid="{00000000-0005-0000-0000-00001B090000}"/>
    <cellStyle name="_Costs not in AURORA 2007 Rate Case_Transmission Workbook for May BOD" xfId="2339" xr:uid="{00000000-0005-0000-0000-00001C090000}"/>
    <cellStyle name="_Costs not in AURORA 2007 Rate Case_Transmission Workbook for May BOD 2" xfId="2340" xr:uid="{00000000-0005-0000-0000-00001D090000}"/>
    <cellStyle name="_Costs not in AURORA 2007 Rate Case_Wind Integration 10GRC" xfId="2341" xr:uid="{00000000-0005-0000-0000-00001E090000}"/>
    <cellStyle name="_Costs not in AURORA 2007 Rate Case_Wind Integration 10GRC 2" xfId="2342" xr:uid="{00000000-0005-0000-0000-00001F090000}"/>
    <cellStyle name="_Costs not in KWI3000 '06Budget" xfId="2343" xr:uid="{00000000-0005-0000-0000-000020090000}"/>
    <cellStyle name="_Costs not in KWI3000 '06Budget 2" xfId="2344" xr:uid="{00000000-0005-0000-0000-000021090000}"/>
    <cellStyle name="_Costs not in KWI3000 '06Budget 2 2" xfId="2345" xr:uid="{00000000-0005-0000-0000-000022090000}"/>
    <cellStyle name="_Costs not in KWI3000 '06Budget 2 2 2" xfId="2346" xr:uid="{00000000-0005-0000-0000-000023090000}"/>
    <cellStyle name="_Costs not in KWI3000 '06Budget 2 3" xfId="2347" xr:uid="{00000000-0005-0000-0000-000024090000}"/>
    <cellStyle name="_Costs not in KWI3000 '06Budget 3" xfId="2348" xr:uid="{00000000-0005-0000-0000-000025090000}"/>
    <cellStyle name="_Costs not in KWI3000 '06Budget 3 2" xfId="2349" xr:uid="{00000000-0005-0000-0000-000026090000}"/>
    <cellStyle name="_Costs not in KWI3000 '06Budget 3 2 2" xfId="2350" xr:uid="{00000000-0005-0000-0000-000027090000}"/>
    <cellStyle name="_Costs not in KWI3000 '06Budget 3 3" xfId="2351" xr:uid="{00000000-0005-0000-0000-000028090000}"/>
    <cellStyle name="_Costs not in KWI3000 '06Budget 3 3 2" xfId="2352" xr:uid="{00000000-0005-0000-0000-000029090000}"/>
    <cellStyle name="_Costs not in KWI3000 '06Budget 3 4" xfId="2353" xr:uid="{00000000-0005-0000-0000-00002A090000}"/>
    <cellStyle name="_Costs not in KWI3000 '06Budget 3 4 2" xfId="2354" xr:uid="{00000000-0005-0000-0000-00002B090000}"/>
    <cellStyle name="_Costs not in KWI3000 '06Budget 4" xfId="2355" xr:uid="{00000000-0005-0000-0000-00002C090000}"/>
    <cellStyle name="_Costs not in KWI3000 '06Budget 4 2" xfId="2356" xr:uid="{00000000-0005-0000-0000-00002D090000}"/>
    <cellStyle name="_Costs not in KWI3000 '06Budget 5" xfId="2357" xr:uid="{00000000-0005-0000-0000-00002E090000}"/>
    <cellStyle name="_Costs not in KWI3000 '06Budget 6" xfId="2358" xr:uid="{00000000-0005-0000-0000-00002F090000}"/>
    <cellStyle name="_Costs not in KWI3000 '06Budget 7" xfId="2359" xr:uid="{00000000-0005-0000-0000-000030090000}"/>
    <cellStyle name="_Costs not in KWI3000 '06Budget_(C) WHE Proforma with ITC cash grant 10 Yr Amort_for deferral_102809" xfId="2360" xr:uid="{00000000-0005-0000-0000-000031090000}"/>
    <cellStyle name="_Costs not in KWI3000 '06Budget_(C) WHE Proforma with ITC cash grant 10 Yr Amort_for deferral_102809 2" xfId="2361" xr:uid="{00000000-0005-0000-0000-000032090000}"/>
    <cellStyle name="_Costs not in KWI3000 '06Budget_(C) WHE Proforma with ITC cash grant 10 Yr Amort_for deferral_102809 2 2" xfId="2362" xr:uid="{00000000-0005-0000-0000-000033090000}"/>
    <cellStyle name="_Costs not in KWI3000 '06Budget_(C) WHE Proforma with ITC cash grant 10 Yr Amort_for deferral_102809 3" xfId="2363" xr:uid="{00000000-0005-0000-0000-000034090000}"/>
    <cellStyle name="_Costs not in KWI3000 '06Budget_(C) WHE Proforma with ITC cash grant 10 Yr Amort_for deferral_102809_16.07E Wild Horse Wind Expansionwrkingfile" xfId="2364" xr:uid="{00000000-0005-0000-0000-000035090000}"/>
    <cellStyle name="_Costs not in KWI3000 '06Budget_(C) WHE Proforma with ITC cash grant 10 Yr Amort_for deferral_102809_16.07E Wild Horse Wind Expansionwrkingfile 2" xfId="2365" xr:uid="{00000000-0005-0000-0000-000036090000}"/>
    <cellStyle name="_Costs not in KWI3000 '06Budget_(C) WHE Proforma with ITC cash grant 10 Yr Amort_for deferral_102809_16.07E Wild Horse Wind Expansionwrkingfile 2 2" xfId="2366" xr:uid="{00000000-0005-0000-0000-000037090000}"/>
    <cellStyle name="_Costs not in KWI3000 '06Budget_(C) WHE Proforma with ITC cash grant 10 Yr Amort_for deferral_102809_16.07E Wild Horse Wind Expansionwrkingfile 3" xfId="2367" xr:uid="{00000000-0005-0000-0000-000038090000}"/>
    <cellStyle name="_Costs not in KWI3000 '06Budget_(C) WHE Proforma with ITC cash grant 10 Yr Amort_for deferral_102809_16.07E Wild Horse Wind Expansionwrkingfile SF" xfId="2368" xr:uid="{00000000-0005-0000-0000-000039090000}"/>
    <cellStyle name="_Costs not in KWI3000 '06Budget_(C) WHE Proforma with ITC cash grant 10 Yr Amort_for deferral_102809_16.07E Wild Horse Wind Expansionwrkingfile SF 2" xfId="2369" xr:uid="{00000000-0005-0000-0000-00003A090000}"/>
    <cellStyle name="_Costs not in KWI3000 '06Budget_(C) WHE Proforma with ITC cash grant 10 Yr Amort_for deferral_102809_16.07E Wild Horse Wind Expansionwrkingfile SF 2 2" xfId="2370" xr:uid="{00000000-0005-0000-0000-00003B090000}"/>
    <cellStyle name="_Costs not in KWI3000 '06Budget_(C) WHE Proforma with ITC cash grant 10 Yr Amort_for deferral_102809_16.07E Wild Horse Wind Expansionwrkingfile SF 3" xfId="2371" xr:uid="{00000000-0005-0000-0000-00003C090000}"/>
    <cellStyle name="_Costs not in KWI3000 '06Budget_(C) WHE Proforma with ITC cash grant 10 Yr Amort_for deferral_102809_16.37E Wild Horse Expansion DeferralRevwrkingfile SF" xfId="2372" xr:uid="{00000000-0005-0000-0000-00003D090000}"/>
    <cellStyle name="_Costs not in KWI3000 '06Budget_(C) WHE Proforma with ITC cash grant 10 Yr Amort_for deferral_102809_16.37E Wild Horse Expansion DeferralRevwrkingfile SF 2" xfId="2373" xr:uid="{00000000-0005-0000-0000-00003E090000}"/>
    <cellStyle name="_Costs not in KWI3000 '06Budget_(C) WHE Proforma with ITC cash grant 10 Yr Amort_for deferral_102809_16.37E Wild Horse Expansion DeferralRevwrkingfile SF 2 2" xfId="2374" xr:uid="{00000000-0005-0000-0000-00003F090000}"/>
    <cellStyle name="_Costs not in KWI3000 '06Budget_(C) WHE Proforma with ITC cash grant 10 Yr Amort_for deferral_102809_16.37E Wild Horse Expansion DeferralRevwrkingfile SF 3" xfId="2375" xr:uid="{00000000-0005-0000-0000-000040090000}"/>
    <cellStyle name="_Costs not in KWI3000 '06Budget_(C) WHE Proforma with ITC cash grant 10 Yr Amort_for rebuttal_120709" xfId="2376" xr:uid="{00000000-0005-0000-0000-000041090000}"/>
    <cellStyle name="_Costs not in KWI3000 '06Budget_(C) WHE Proforma with ITC cash grant 10 Yr Amort_for rebuttal_120709 2" xfId="2377" xr:uid="{00000000-0005-0000-0000-000042090000}"/>
    <cellStyle name="_Costs not in KWI3000 '06Budget_(C) WHE Proforma with ITC cash grant 10 Yr Amort_for rebuttal_120709 2 2" xfId="2378" xr:uid="{00000000-0005-0000-0000-000043090000}"/>
    <cellStyle name="_Costs not in KWI3000 '06Budget_(C) WHE Proforma with ITC cash grant 10 Yr Amort_for rebuttal_120709 3" xfId="2379" xr:uid="{00000000-0005-0000-0000-000044090000}"/>
    <cellStyle name="_Costs not in KWI3000 '06Budget_04.07E Wild Horse Wind Expansion" xfId="2380" xr:uid="{00000000-0005-0000-0000-000045090000}"/>
    <cellStyle name="_Costs not in KWI3000 '06Budget_04.07E Wild Horse Wind Expansion 2" xfId="2381" xr:uid="{00000000-0005-0000-0000-000046090000}"/>
    <cellStyle name="_Costs not in KWI3000 '06Budget_04.07E Wild Horse Wind Expansion 2 2" xfId="2382" xr:uid="{00000000-0005-0000-0000-000047090000}"/>
    <cellStyle name="_Costs not in KWI3000 '06Budget_04.07E Wild Horse Wind Expansion 3" xfId="2383" xr:uid="{00000000-0005-0000-0000-000048090000}"/>
    <cellStyle name="_Costs not in KWI3000 '06Budget_04.07E Wild Horse Wind Expansion_16.07E Wild Horse Wind Expansionwrkingfile" xfId="2384" xr:uid="{00000000-0005-0000-0000-000049090000}"/>
    <cellStyle name="_Costs not in KWI3000 '06Budget_04.07E Wild Horse Wind Expansion_16.07E Wild Horse Wind Expansionwrkingfile 2" xfId="2385" xr:uid="{00000000-0005-0000-0000-00004A090000}"/>
    <cellStyle name="_Costs not in KWI3000 '06Budget_04.07E Wild Horse Wind Expansion_16.07E Wild Horse Wind Expansionwrkingfile 2 2" xfId="2386" xr:uid="{00000000-0005-0000-0000-00004B090000}"/>
    <cellStyle name="_Costs not in KWI3000 '06Budget_04.07E Wild Horse Wind Expansion_16.07E Wild Horse Wind Expansionwrkingfile 3" xfId="2387" xr:uid="{00000000-0005-0000-0000-00004C090000}"/>
    <cellStyle name="_Costs not in KWI3000 '06Budget_04.07E Wild Horse Wind Expansion_16.07E Wild Horse Wind Expansionwrkingfile SF" xfId="2388" xr:uid="{00000000-0005-0000-0000-00004D090000}"/>
    <cellStyle name="_Costs not in KWI3000 '06Budget_04.07E Wild Horse Wind Expansion_16.07E Wild Horse Wind Expansionwrkingfile SF 2" xfId="2389" xr:uid="{00000000-0005-0000-0000-00004E090000}"/>
    <cellStyle name="_Costs not in KWI3000 '06Budget_04.07E Wild Horse Wind Expansion_16.07E Wild Horse Wind Expansionwrkingfile SF 2 2" xfId="2390" xr:uid="{00000000-0005-0000-0000-00004F090000}"/>
    <cellStyle name="_Costs not in KWI3000 '06Budget_04.07E Wild Horse Wind Expansion_16.07E Wild Horse Wind Expansionwrkingfile SF 3" xfId="2391" xr:uid="{00000000-0005-0000-0000-000050090000}"/>
    <cellStyle name="_Costs not in KWI3000 '06Budget_04.07E Wild Horse Wind Expansion_16.37E Wild Horse Expansion DeferralRevwrkingfile SF" xfId="2392" xr:uid="{00000000-0005-0000-0000-000051090000}"/>
    <cellStyle name="_Costs not in KWI3000 '06Budget_04.07E Wild Horse Wind Expansion_16.37E Wild Horse Expansion DeferralRevwrkingfile SF 2" xfId="2393" xr:uid="{00000000-0005-0000-0000-000052090000}"/>
    <cellStyle name="_Costs not in KWI3000 '06Budget_04.07E Wild Horse Wind Expansion_16.37E Wild Horse Expansion DeferralRevwrkingfile SF 2 2" xfId="2394" xr:uid="{00000000-0005-0000-0000-000053090000}"/>
    <cellStyle name="_Costs not in KWI3000 '06Budget_04.07E Wild Horse Wind Expansion_16.37E Wild Horse Expansion DeferralRevwrkingfile SF 3" xfId="2395" xr:uid="{00000000-0005-0000-0000-000054090000}"/>
    <cellStyle name="_Costs not in KWI3000 '06Budget_16.07E Wild Horse Wind Expansionwrkingfile" xfId="2396" xr:uid="{00000000-0005-0000-0000-000055090000}"/>
    <cellStyle name="_Costs not in KWI3000 '06Budget_16.07E Wild Horse Wind Expansionwrkingfile 2" xfId="2397" xr:uid="{00000000-0005-0000-0000-000056090000}"/>
    <cellStyle name="_Costs not in KWI3000 '06Budget_16.07E Wild Horse Wind Expansionwrkingfile 2 2" xfId="2398" xr:uid="{00000000-0005-0000-0000-000057090000}"/>
    <cellStyle name="_Costs not in KWI3000 '06Budget_16.07E Wild Horse Wind Expansionwrkingfile 3" xfId="2399" xr:uid="{00000000-0005-0000-0000-000058090000}"/>
    <cellStyle name="_Costs not in KWI3000 '06Budget_16.07E Wild Horse Wind Expansionwrkingfile SF" xfId="2400" xr:uid="{00000000-0005-0000-0000-000059090000}"/>
    <cellStyle name="_Costs not in KWI3000 '06Budget_16.07E Wild Horse Wind Expansionwrkingfile SF 2" xfId="2401" xr:uid="{00000000-0005-0000-0000-00005A090000}"/>
    <cellStyle name="_Costs not in KWI3000 '06Budget_16.07E Wild Horse Wind Expansionwrkingfile SF 2 2" xfId="2402" xr:uid="{00000000-0005-0000-0000-00005B090000}"/>
    <cellStyle name="_Costs not in KWI3000 '06Budget_16.07E Wild Horse Wind Expansionwrkingfile SF 3" xfId="2403" xr:uid="{00000000-0005-0000-0000-00005C090000}"/>
    <cellStyle name="_Costs not in KWI3000 '06Budget_16.37E Wild Horse Expansion DeferralRevwrkingfile SF" xfId="2404" xr:uid="{00000000-0005-0000-0000-00005D090000}"/>
    <cellStyle name="_Costs not in KWI3000 '06Budget_16.37E Wild Horse Expansion DeferralRevwrkingfile SF 2" xfId="2405" xr:uid="{00000000-0005-0000-0000-00005E090000}"/>
    <cellStyle name="_Costs not in KWI3000 '06Budget_16.37E Wild Horse Expansion DeferralRevwrkingfile SF 2 2" xfId="2406" xr:uid="{00000000-0005-0000-0000-00005F090000}"/>
    <cellStyle name="_Costs not in KWI3000 '06Budget_16.37E Wild Horse Expansion DeferralRevwrkingfile SF 3" xfId="2407" xr:uid="{00000000-0005-0000-0000-000060090000}"/>
    <cellStyle name="_Costs not in KWI3000 '06Budget_2009 Compliance Filing PCA Exhibits for GRC" xfId="2408" xr:uid="{00000000-0005-0000-0000-000061090000}"/>
    <cellStyle name="_Costs not in KWI3000 '06Budget_2009 GRC Compl Filing - Exhibit D" xfId="2409" xr:uid="{00000000-0005-0000-0000-000062090000}"/>
    <cellStyle name="_Costs not in KWI3000 '06Budget_2009 GRC Compl Filing - Exhibit D 2" xfId="2410" xr:uid="{00000000-0005-0000-0000-000063090000}"/>
    <cellStyle name="_Costs not in KWI3000 '06Budget_3.01 Income Statement" xfId="2411" xr:uid="{00000000-0005-0000-0000-000064090000}"/>
    <cellStyle name="_Costs not in KWI3000 '06Budget_4 31 Regulatory Assets and Liabilities  7 06- Exhibit D" xfId="2412" xr:uid="{00000000-0005-0000-0000-000065090000}"/>
    <cellStyle name="_Costs not in KWI3000 '06Budget_4 31 Regulatory Assets and Liabilities  7 06- Exhibit D 2" xfId="2413" xr:uid="{00000000-0005-0000-0000-000066090000}"/>
    <cellStyle name="_Costs not in KWI3000 '06Budget_4 31 Regulatory Assets and Liabilities  7 06- Exhibit D 2 2" xfId="2414" xr:uid="{00000000-0005-0000-0000-000067090000}"/>
    <cellStyle name="_Costs not in KWI3000 '06Budget_4 31 Regulatory Assets and Liabilities  7 06- Exhibit D 3" xfId="2415" xr:uid="{00000000-0005-0000-0000-000068090000}"/>
    <cellStyle name="_Costs not in KWI3000 '06Budget_4 31 Regulatory Assets and Liabilities  7 06- Exhibit D_NIM Summary" xfId="2416" xr:uid="{00000000-0005-0000-0000-000069090000}"/>
    <cellStyle name="_Costs not in KWI3000 '06Budget_4 31 Regulatory Assets and Liabilities  7 06- Exhibit D_NIM Summary 2" xfId="2417" xr:uid="{00000000-0005-0000-0000-00006A090000}"/>
    <cellStyle name="_Costs not in KWI3000 '06Budget_4 32 Regulatory Assets and Liabilities  7 06- Exhibit D" xfId="2418" xr:uid="{00000000-0005-0000-0000-00006B090000}"/>
    <cellStyle name="_Costs not in KWI3000 '06Budget_4 32 Regulatory Assets and Liabilities  7 06- Exhibit D 2" xfId="2419" xr:uid="{00000000-0005-0000-0000-00006C090000}"/>
    <cellStyle name="_Costs not in KWI3000 '06Budget_4 32 Regulatory Assets and Liabilities  7 06- Exhibit D 2 2" xfId="2420" xr:uid="{00000000-0005-0000-0000-00006D090000}"/>
    <cellStyle name="_Costs not in KWI3000 '06Budget_4 32 Regulatory Assets and Liabilities  7 06- Exhibit D 3" xfId="2421" xr:uid="{00000000-0005-0000-0000-00006E090000}"/>
    <cellStyle name="_Costs not in KWI3000 '06Budget_4 32 Regulatory Assets and Liabilities  7 06- Exhibit D_NIM Summary" xfId="2422" xr:uid="{00000000-0005-0000-0000-00006F090000}"/>
    <cellStyle name="_Costs not in KWI3000 '06Budget_4 32 Regulatory Assets and Liabilities  7 06- Exhibit D_NIM Summary 2" xfId="2423" xr:uid="{00000000-0005-0000-0000-000070090000}"/>
    <cellStyle name="_Costs not in KWI3000 '06Budget_ACCOUNTS" xfId="2424" xr:uid="{00000000-0005-0000-0000-000071090000}"/>
    <cellStyle name="_Costs not in KWI3000 '06Budget_AURORA Total New" xfId="2425" xr:uid="{00000000-0005-0000-0000-000072090000}"/>
    <cellStyle name="_Costs not in KWI3000 '06Budget_AURORA Total New 2" xfId="2426" xr:uid="{00000000-0005-0000-0000-000073090000}"/>
    <cellStyle name="_Costs not in KWI3000 '06Budget_Book2" xfId="2427" xr:uid="{00000000-0005-0000-0000-000074090000}"/>
    <cellStyle name="_Costs not in KWI3000 '06Budget_Book2 2" xfId="2428" xr:uid="{00000000-0005-0000-0000-000075090000}"/>
    <cellStyle name="_Costs not in KWI3000 '06Budget_Book2 2 2" xfId="2429" xr:uid="{00000000-0005-0000-0000-000076090000}"/>
    <cellStyle name="_Costs not in KWI3000 '06Budget_Book2 3" xfId="2430" xr:uid="{00000000-0005-0000-0000-000077090000}"/>
    <cellStyle name="_Costs not in KWI3000 '06Budget_Book2_Adj Bench DR 3 for Initial Briefs (Electric)" xfId="2431" xr:uid="{00000000-0005-0000-0000-000078090000}"/>
    <cellStyle name="_Costs not in KWI3000 '06Budget_Book2_Adj Bench DR 3 for Initial Briefs (Electric) 2" xfId="2432" xr:uid="{00000000-0005-0000-0000-000079090000}"/>
    <cellStyle name="_Costs not in KWI3000 '06Budget_Book2_Adj Bench DR 3 for Initial Briefs (Electric) 2 2" xfId="2433" xr:uid="{00000000-0005-0000-0000-00007A090000}"/>
    <cellStyle name="_Costs not in KWI3000 '06Budget_Book2_Adj Bench DR 3 for Initial Briefs (Electric) 3" xfId="2434" xr:uid="{00000000-0005-0000-0000-00007B090000}"/>
    <cellStyle name="_Costs not in KWI3000 '06Budget_Book2_Electric Rev Req Model (2009 GRC) Rebuttal" xfId="2435" xr:uid="{00000000-0005-0000-0000-00007C090000}"/>
    <cellStyle name="_Costs not in KWI3000 '06Budget_Book2_Electric Rev Req Model (2009 GRC) Rebuttal 2" xfId="2436" xr:uid="{00000000-0005-0000-0000-00007D090000}"/>
    <cellStyle name="_Costs not in KWI3000 '06Budget_Book2_Electric Rev Req Model (2009 GRC) Rebuttal 2 2" xfId="2437" xr:uid="{00000000-0005-0000-0000-00007E090000}"/>
    <cellStyle name="_Costs not in KWI3000 '06Budget_Book2_Electric Rev Req Model (2009 GRC) Rebuttal 3" xfId="2438" xr:uid="{00000000-0005-0000-0000-00007F090000}"/>
    <cellStyle name="_Costs not in KWI3000 '06Budget_Book2_Electric Rev Req Model (2009 GRC) Rebuttal REmoval of New  WH Solar AdjustMI" xfId="2439" xr:uid="{00000000-0005-0000-0000-000080090000}"/>
    <cellStyle name="_Costs not in KWI3000 '06Budget_Book2_Electric Rev Req Model (2009 GRC) Rebuttal REmoval of New  WH Solar AdjustMI 2" xfId="2440" xr:uid="{00000000-0005-0000-0000-000081090000}"/>
    <cellStyle name="_Costs not in KWI3000 '06Budget_Book2_Electric Rev Req Model (2009 GRC) Rebuttal REmoval of New  WH Solar AdjustMI 2 2" xfId="2441" xr:uid="{00000000-0005-0000-0000-000082090000}"/>
    <cellStyle name="_Costs not in KWI3000 '06Budget_Book2_Electric Rev Req Model (2009 GRC) Rebuttal REmoval of New  WH Solar AdjustMI 3" xfId="2442" xr:uid="{00000000-0005-0000-0000-000083090000}"/>
    <cellStyle name="_Costs not in KWI3000 '06Budget_Book2_Electric Rev Req Model (2009 GRC) Revised 01-18-2010" xfId="2443" xr:uid="{00000000-0005-0000-0000-000084090000}"/>
    <cellStyle name="_Costs not in KWI3000 '06Budget_Book2_Electric Rev Req Model (2009 GRC) Revised 01-18-2010 2" xfId="2444" xr:uid="{00000000-0005-0000-0000-000085090000}"/>
    <cellStyle name="_Costs not in KWI3000 '06Budget_Book2_Electric Rev Req Model (2009 GRC) Revised 01-18-2010 2 2" xfId="2445" xr:uid="{00000000-0005-0000-0000-000086090000}"/>
    <cellStyle name="_Costs not in KWI3000 '06Budget_Book2_Electric Rev Req Model (2009 GRC) Revised 01-18-2010 3" xfId="2446" xr:uid="{00000000-0005-0000-0000-000087090000}"/>
    <cellStyle name="_Costs not in KWI3000 '06Budget_Book2_Final Order Electric EXHIBIT A-1" xfId="2447" xr:uid="{00000000-0005-0000-0000-000088090000}"/>
    <cellStyle name="_Costs not in KWI3000 '06Budget_Book2_Final Order Electric EXHIBIT A-1 2" xfId="2448" xr:uid="{00000000-0005-0000-0000-000089090000}"/>
    <cellStyle name="_Costs not in KWI3000 '06Budget_Book2_Final Order Electric EXHIBIT A-1 2 2" xfId="2449" xr:uid="{00000000-0005-0000-0000-00008A090000}"/>
    <cellStyle name="_Costs not in KWI3000 '06Budget_Book2_Final Order Electric EXHIBIT A-1 3" xfId="2450" xr:uid="{00000000-0005-0000-0000-00008B090000}"/>
    <cellStyle name="_Costs not in KWI3000 '06Budget_Book4" xfId="2451" xr:uid="{00000000-0005-0000-0000-00008C090000}"/>
    <cellStyle name="_Costs not in KWI3000 '06Budget_Book4 2" xfId="2452" xr:uid="{00000000-0005-0000-0000-00008D090000}"/>
    <cellStyle name="_Costs not in KWI3000 '06Budget_Book4 2 2" xfId="2453" xr:uid="{00000000-0005-0000-0000-00008E090000}"/>
    <cellStyle name="_Costs not in KWI3000 '06Budget_Book4 3" xfId="2454" xr:uid="{00000000-0005-0000-0000-00008F090000}"/>
    <cellStyle name="_Costs not in KWI3000 '06Budget_Book9" xfId="2455" xr:uid="{00000000-0005-0000-0000-000090090000}"/>
    <cellStyle name="_Costs not in KWI3000 '06Budget_Book9 2" xfId="2456" xr:uid="{00000000-0005-0000-0000-000091090000}"/>
    <cellStyle name="_Costs not in KWI3000 '06Budget_Book9 2 2" xfId="2457" xr:uid="{00000000-0005-0000-0000-000092090000}"/>
    <cellStyle name="_Costs not in KWI3000 '06Budget_Book9 3" xfId="2458" xr:uid="{00000000-0005-0000-0000-000093090000}"/>
    <cellStyle name="_Costs not in KWI3000 '06Budget_Check the Interest Calculation" xfId="2459" xr:uid="{00000000-0005-0000-0000-000094090000}"/>
    <cellStyle name="_Costs not in KWI3000 '06Budget_Check the Interest Calculation_Scenario 1 REC vs PTC Offset" xfId="2460" xr:uid="{00000000-0005-0000-0000-000095090000}"/>
    <cellStyle name="_Costs not in KWI3000 '06Budget_Check the Interest Calculation_Scenario 3" xfId="2461" xr:uid="{00000000-0005-0000-0000-000096090000}"/>
    <cellStyle name="_Costs not in KWI3000 '06Budget_Chelan PUD Power Costs (8-10)" xfId="2462" xr:uid="{00000000-0005-0000-0000-000097090000}"/>
    <cellStyle name="_Costs not in KWI3000 '06Budget_Exhibit D fr R Gho 12-31-08" xfId="2463" xr:uid="{00000000-0005-0000-0000-000098090000}"/>
    <cellStyle name="_Costs not in KWI3000 '06Budget_Exhibit D fr R Gho 12-31-08 2" xfId="2464" xr:uid="{00000000-0005-0000-0000-000099090000}"/>
    <cellStyle name="_Costs not in KWI3000 '06Budget_Exhibit D fr R Gho 12-31-08 v2" xfId="2465" xr:uid="{00000000-0005-0000-0000-00009A090000}"/>
    <cellStyle name="_Costs not in KWI3000 '06Budget_Exhibit D fr R Gho 12-31-08 v2 2" xfId="2466" xr:uid="{00000000-0005-0000-0000-00009B090000}"/>
    <cellStyle name="_Costs not in KWI3000 '06Budget_Exhibit D fr R Gho 12-31-08 v2_NIM Summary" xfId="2467" xr:uid="{00000000-0005-0000-0000-00009C090000}"/>
    <cellStyle name="_Costs not in KWI3000 '06Budget_Exhibit D fr R Gho 12-31-08 v2_NIM Summary 2" xfId="2468" xr:uid="{00000000-0005-0000-0000-00009D090000}"/>
    <cellStyle name="_Costs not in KWI3000 '06Budget_Exhibit D fr R Gho 12-31-08_NIM Summary" xfId="2469" xr:uid="{00000000-0005-0000-0000-00009E090000}"/>
    <cellStyle name="_Costs not in KWI3000 '06Budget_Exhibit D fr R Gho 12-31-08_NIM Summary 2" xfId="2470" xr:uid="{00000000-0005-0000-0000-00009F090000}"/>
    <cellStyle name="_Costs not in KWI3000 '06Budget_Gas Rev Req Model (2010 GRC)" xfId="2471" xr:uid="{00000000-0005-0000-0000-0000A0090000}"/>
    <cellStyle name="_Costs not in KWI3000 '06Budget_Hopkins Ridge Prepaid Tran - Interest Earned RY 12ME Feb  '11" xfId="2472" xr:uid="{00000000-0005-0000-0000-0000A1090000}"/>
    <cellStyle name="_Costs not in KWI3000 '06Budget_Hopkins Ridge Prepaid Tran - Interest Earned RY 12ME Feb  '11 2" xfId="2473" xr:uid="{00000000-0005-0000-0000-0000A2090000}"/>
    <cellStyle name="_Costs not in KWI3000 '06Budget_Hopkins Ridge Prepaid Tran - Interest Earned RY 12ME Feb  '11_NIM Summary" xfId="2474" xr:uid="{00000000-0005-0000-0000-0000A3090000}"/>
    <cellStyle name="_Costs not in KWI3000 '06Budget_Hopkins Ridge Prepaid Tran - Interest Earned RY 12ME Feb  '11_NIM Summary 2" xfId="2475" xr:uid="{00000000-0005-0000-0000-0000A4090000}"/>
    <cellStyle name="_Costs not in KWI3000 '06Budget_Hopkins Ridge Prepaid Tran - Interest Earned RY 12ME Feb  '11_Transmission Workbook for May BOD" xfId="2476" xr:uid="{00000000-0005-0000-0000-0000A5090000}"/>
    <cellStyle name="_Costs not in KWI3000 '06Budget_Hopkins Ridge Prepaid Tran - Interest Earned RY 12ME Feb  '11_Transmission Workbook for May BOD 2" xfId="2477" xr:uid="{00000000-0005-0000-0000-0000A6090000}"/>
    <cellStyle name="_Costs not in KWI3000 '06Budget_INPUTS" xfId="2478" xr:uid="{00000000-0005-0000-0000-0000A7090000}"/>
    <cellStyle name="_Costs not in KWI3000 '06Budget_INPUTS 2" xfId="2479" xr:uid="{00000000-0005-0000-0000-0000A8090000}"/>
    <cellStyle name="_Costs not in KWI3000 '06Budget_INPUTS 2 2" xfId="2480" xr:uid="{00000000-0005-0000-0000-0000A9090000}"/>
    <cellStyle name="_Costs not in KWI3000 '06Budget_INPUTS 3" xfId="2481" xr:uid="{00000000-0005-0000-0000-0000AA090000}"/>
    <cellStyle name="_Costs not in KWI3000 '06Budget_NIM Summary" xfId="2482" xr:uid="{00000000-0005-0000-0000-0000AB090000}"/>
    <cellStyle name="_Costs not in KWI3000 '06Budget_NIM Summary 09GRC" xfId="2483" xr:uid="{00000000-0005-0000-0000-0000AC090000}"/>
    <cellStyle name="_Costs not in KWI3000 '06Budget_NIM Summary 09GRC 2" xfId="2484" xr:uid="{00000000-0005-0000-0000-0000AD090000}"/>
    <cellStyle name="_Costs not in KWI3000 '06Budget_NIM Summary 2" xfId="2485" xr:uid="{00000000-0005-0000-0000-0000AE090000}"/>
    <cellStyle name="_Costs not in KWI3000 '06Budget_NIM Summary 3" xfId="2486" xr:uid="{00000000-0005-0000-0000-0000AF090000}"/>
    <cellStyle name="_Costs not in KWI3000 '06Budget_NIM Summary 4" xfId="2487" xr:uid="{00000000-0005-0000-0000-0000B0090000}"/>
    <cellStyle name="_Costs not in KWI3000 '06Budget_NIM Summary 5" xfId="2488" xr:uid="{00000000-0005-0000-0000-0000B1090000}"/>
    <cellStyle name="_Costs not in KWI3000 '06Budget_NIM Summary 6" xfId="2489" xr:uid="{00000000-0005-0000-0000-0000B2090000}"/>
    <cellStyle name="_Costs not in KWI3000 '06Budget_NIM Summary 7" xfId="2490" xr:uid="{00000000-0005-0000-0000-0000B3090000}"/>
    <cellStyle name="_Costs not in KWI3000 '06Budget_NIM Summary 8" xfId="2491" xr:uid="{00000000-0005-0000-0000-0000B4090000}"/>
    <cellStyle name="_Costs not in KWI3000 '06Budget_NIM Summary 9" xfId="2492" xr:uid="{00000000-0005-0000-0000-0000B5090000}"/>
    <cellStyle name="_Costs not in KWI3000 '06Budget_PCA 10 -  Exhibit D from A Kellogg Jan 2011" xfId="2493" xr:uid="{00000000-0005-0000-0000-0000B6090000}"/>
    <cellStyle name="_Costs not in KWI3000 '06Budget_PCA 10 -  Exhibit D from A Kellogg July 2011" xfId="2494" xr:uid="{00000000-0005-0000-0000-0000B7090000}"/>
    <cellStyle name="_Costs not in KWI3000 '06Budget_PCA 10 -  Exhibit D from S Free Rcv'd 12-11" xfId="2495" xr:uid="{00000000-0005-0000-0000-0000B8090000}"/>
    <cellStyle name="_Costs not in KWI3000 '06Budget_PCA 7 - Exhibit D update 11_30_08 (2)" xfId="2496" xr:uid="{00000000-0005-0000-0000-0000B9090000}"/>
    <cellStyle name="_Costs not in KWI3000 '06Budget_PCA 7 - Exhibit D update 11_30_08 (2) 2" xfId="2497" xr:uid="{00000000-0005-0000-0000-0000BA090000}"/>
    <cellStyle name="_Costs not in KWI3000 '06Budget_PCA 7 - Exhibit D update 11_30_08 (2) 2 2" xfId="2498" xr:uid="{00000000-0005-0000-0000-0000BB090000}"/>
    <cellStyle name="_Costs not in KWI3000 '06Budget_PCA 7 - Exhibit D update 11_30_08 (2) 3" xfId="2499" xr:uid="{00000000-0005-0000-0000-0000BC090000}"/>
    <cellStyle name="_Costs not in KWI3000 '06Budget_PCA 7 - Exhibit D update 11_30_08 (2)_NIM Summary" xfId="2500" xr:uid="{00000000-0005-0000-0000-0000BD090000}"/>
    <cellStyle name="_Costs not in KWI3000 '06Budget_PCA 7 - Exhibit D update 11_30_08 (2)_NIM Summary 2" xfId="2501" xr:uid="{00000000-0005-0000-0000-0000BE090000}"/>
    <cellStyle name="_Costs not in KWI3000 '06Budget_PCA 8 - Exhibit D update 12_31_09" xfId="2502" xr:uid="{00000000-0005-0000-0000-0000BF090000}"/>
    <cellStyle name="_Costs not in KWI3000 '06Budget_PCA 9 -  Exhibit D April 2010" xfId="2503" xr:uid="{00000000-0005-0000-0000-0000C0090000}"/>
    <cellStyle name="_Costs not in KWI3000 '06Budget_PCA 9 -  Exhibit D April 2010 (3)" xfId="2504" xr:uid="{00000000-0005-0000-0000-0000C1090000}"/>
    <cellStyle name="_Costs not in KWI3000 '06Budget_PCA 9 -  Exhibit D April 2010 (3) 2" xfId="2505" xr:uid="{00000000-0005-0000-0000-0000C2090000}"/>
    <cellStyle name="_Costs not in KWI3000 '06Budget_PCA 9 -  Exhibit D Feb 2010" xfId="2506" xr:uid="{00000000-0005-0000-0000-0000C3090000}"/>
    <cellStyle name="_Costs not in KWI3000 '06Budget_PCA 9 -  Exhibit D Feb 2010 v2" xfId="2507" xr:uid="{00000000-0005-0000-0000-0000C4090000}"/>
    <cellStyle name="_Costs not in KWI3000 '06Budget_PCA 9 -  Exhibit D Feb 2010 WF" xfId="2508" xr:uid="{00000000-0005-0000-0000-0000C5090000}"/>
    <cellStyle name="_Costs not in KWI3000 '06Budget_PCA 9 -  Exhibit D Jan 2010" xfId="2509" xr:uid="{00000000-0005-0000-0000-0000C6090000}"/>
    <cellStyle name="_Costs not in KWI3000 '06Budget_PCA 9 -  Exhibit D March 2010 (2)" xfId="2510" xr:uid="{00000000-0005-0000-0000-0000C7090000}"/>
    <cellStyle name="_Costs not in KWI3000 '06Budget_PCA 9 -  Exhibit D Nov 2010" xfId="2511" xr:uid="{00000000-0005-0000-0000-0000C8090000}"/>
    <cellStyle name="_Costs not in KWI3000 '06Budget_PCA 9 - Exhibit D at August 2010" xfId="2512" xr:uid="{00000000-0005-0000-0000-0000C9090000}"/>
    <cellStyle name="_Costs not in KWI3000 '06Budget_PCA 9 - Exhibit D June 2010 GRC" xfId="2513" xr:uid="{00000000-0005-0000-0000-0000CA090000}"/>
    <cellStyle name="_Costs not in KWI3000 '06Budget_Power Costs - Comparison bx Rbtl-Staff-Jt-PC" xfId="2514" xr:uid="{00000000-0005-0000-0000-0000CB090000}"/>
    <cellStyle name="_Costs not in KWI3000 '06Budget_Power Costs - Comparison bx Rbtl-Staff-Jt-PC 2" xfId="2515" xr:uid="{00000000-0005-0000-0000-0000CC090000}"/>
    <cellStyle name="_Costs not in KWI3000 '06Budget_Power Costs - Comparison bx Rbtl-Staff-Jt-PC 2 2" xfId="2516" xr:uid="{00000000-0005-0000-0000-0000CD090000}"/>
    <cellStyle name="_Costs not in KWI3000 '06Budget_Power Costs - Comparison bx Rbtl-Staff-Jt-PC 3" xfId="2517" xr:uid="{00000000-0005-0000-0000-0000CE090000}"/>
    <cellStyle name="_Costs not in KWI3000 '06Budget_Power Costs - Comparison bx Rbtl-Staff-Jt-PC_Adj Bench DR 3 for Initial Briefs (Electric)" xfId="2518" xr:uid="{00000000-0005-0000-0000-0000CF090000}"/>
    <cellStyle name="_Costs not in KWI3000 '06Budget_Power Costs - Comparison bx Rbtl-Staff-Jt-PC_Adj Bench DR 3 for Initial Briefs (Electric) 2" xfId="2519" xr:uid="{00000000-0005-0000-0000-0000D0090000}"/>
    <cellStyle name="_Costs not in KWI3000 '06Budget_Power Costs - Comparison bx Rbtl-Staff-Jt-PC_Adj Bench DR 3 for Initial Briefs (Electric) 2 2" xfId="2520" xr:uid="{00000000-0005-0000-0000-0000D1090000}"/>
    <cellStyle name="_Costs not in KWI3000 '06Budget_Power Costs - Comparison bx Rbtl-Staff-Jt-PC_Adj Bench DR 3 for Initial Briefs (Electric) 3" xfId="2521" xr:uid="{00000000-0005-0000-0000-0000D2090000}"/>
    <cellStyle name="_Costs not in KWI3000 '06Budget_Power Costs - Comparison bx Rbtl-Staff-Jt-PC_Electric Rev Req Model (2009 GRC) Rebuttal" xfId="2522" xr:uid="{00000000-0005-0000-0000-0000D3090000}"/>
    <cellStyle name="_Costs not in KWI3000 '06Budget_Power Costs - Comparison bx Rbtl-Staff-Jt-PC_Electric Rev Req Model (2009 GRC) Rebuttal 2" xfId="2523" xr:uid="{00000000-0005-0000-0000-0000D4090000}"/>
    <cellStyle name="_Costs not in KWI3000 '06Budget_Power Costs - Comparison bx Rbtl-Staff-Jt-PC_Electric Rev Req Model (2009 GRC) Rebuttal 2 2" xfId="2524" xr:uid="{00000000-0005-0000-0000-0000D5090000}"/>
    <cellStyle name="_Costs not in KWI3000 '06Budget_Power Costs - Comparison bx Rbtl-Staff-Jt-PC_Electric Rev Req Model (2009 GRC) Rebuttal 3" xfId="2525" xr:uid="{00000000-0005-0000-0000-0000D6090000}"/>
    <cellStyle name="_Costs not in KWI3000 '06Budget_Power Costs - Comparison bx Rbtl-Staff-Jt-PC_Electric Rev Req Model (2009 GRC) Rebuttal REmoval of New  WH Solar AdjustMI" xfId="2526" xr:uid="{00000000-0005-0000-0000-0000D7090000}"/>
    <cellStyle name="_Costs not in KWI3000 '06Budget_Power Costs - Comparison bx Rbtl-Staff-Jt-PC_Electric Rev Req Model (2009 GRC) Rebuttal REmoval of New  WH Solar AdjustMI 2" xfId="2527" xr:uid="{00000000-0005-0000-0000-0000D8090000}"/>
    <cellStyle name="_Costs not in KWI3000 '06Budget_Power Costs - Comparison bx Rbtl-Staff-Jt-PC_Electric Rev Req Model (2009 GRC) Rebuttal REmoval of New  WH Solar AdjustMI 2 2" xfId="2528" xr:uid="{00000000-0005-0000-0000-0000D9090000}"/>
    <cellStyle name="_Costs not in KWI3000 '06Budget_Power Costs - Comparison bx Rbtl-Staff-Jt-PC_Electric Rev Req Model (2009 GRC) Rebuttal REmoval of New  WH Solar AdjustMI 3" xfId="2529" xr:uid="{00000000-0005-0000-0000-0000DA090000}"/>
    <cellStyle name="_Costs not in KWI3000 '06Budget_Power Costs - Comparison bx Rbtl-Staff-Jt-PC_Electric Rev Req Model (2009 GRC) Revised 01-18-2010" xfId="2530" xr:uid="{00000000-0005-0000-0000-0000DB090000}"/>
    <cellStyle name="_Costs not in KWI3000 '06Budget_Power Costs - Comparison bx Rbtl-Staff-Jt-PC_Electric Rev Req Model (2009 GRC) Revised 01-18-2010 2" xfId="2531" xr:uid="{00000000-0005-0000-0000-0000DC090000}"/>
    <cellStyle name="_Costs not in KWI3000 '06Budget_Power Costs - Comparison bx Rbtl-Staff-Jt-PC_Electric Rev Req Model (2009 GRC) Revised 01-18-2010 2 2" xfId="2532" xr:uid="{00000000-0005-0000-0000-0000DD090000}"/>
    <cellStyle name="_Costs not in KWI3000 '06Budget_Power Costs - Comparison bx Rbtl-Staff-Jt-PC_Electric Rev Req Model (2009 GRC) Revised 01-18-2010 3" xfId="2533" xr:uid="{00000000-0005-0000-0000-0000DE090000}"/>
    <cellStyle name="_Costs not in KWI3000 '06Budget_Power Costs - Comparison bx Rbtl-Staff-Jt-PC_Final Order Electric EXHIBIT A-1" xfId="2534" xr:uid="{00000000-0005-0000-0000-0000DF090000}"/>
    <cellStyle name="_Costs not in KWI3000 '06Budget_Power Costs - Comparison bx Rbtl-Staff-Jt-PC_Final Order Electric EXHIBIT A-1 2" xfId="2535" xr:uid="{00000000-0005-0000-0000-0000E0090000}"/>
    <cellStyle name="_Costs not in KWI3000 '06Budget_Power Costs - Comparison bx Rbtl-Staff-Jt-PC_Final Order Electric EXHIBIT A-1 2 2" xfId="2536" xr:uid="{00000000-0005-0000-0000-0000E1090000}"/>
    <cellStyle name="_Costs not in KWI3000 '06Budget_Power Costs - Comparison bx Rbtl-Staff-Jt-PC_Final Order Electric EXHIBIT A-1 3" xfId="2537" xr:uid="{00000000-0005-0000-0000-0000E2090000}"/>
    <cellStyle name="_Costs not in KWI3000 '06Budget_Production Adj 4.37" xfId="2538" xr:uid="{00000000-0005-0000-0000-0000E3090000}"/>
    <cellStyle name="_Costs not in KWI3000 '06Budget_Production Adj 4.37 2" xfId="2539" xr:uid="{00000000-0005-0000-0000-0000E4090000}"/>
    <cellStyle name="_Costs not in KWI3000 '06Budget_Production Adj 4.37 2 2" xfId="2540" xr:uid="{00000000-0005-0000-0000-0000E5090000}"/>
    <cellStyle name="_Costs not in KWI3000 '06Budget_Production Adj 4.37 3" xfId="2541" xr:uid="{00000000-0005-0000-0000-0000E6090000}"/>
    <cellStyle name="_Costs not in KWI3000 '06Budget_Purchased Power Adj 4.03" xfId="2542" xr:uid="{00000000-0005-0000-0000-0000E7090000}"/>
    <cellStyle name="_Costs not in KWI3000 '06Budget_Purchased Power Adj 4.03 2" xfId="2543" xr:uid="{00000000-0005-0000-0000-0000E8090000}"/>
    <cellStyle name="_Costs not in KWI3000 '06Budget_Purchased Power Adj 4.03 2 2" xfId="2544" xr:uid="{00000000-0005-0000-0000-0000E9090000}"/>
    <cellStyle name="_Costs not in KWI3000 '06Budget_Purchased Power Adj 4.03 3" xfId="2545" xr:uid="{00000000-0005-0000-0000-0000EA090000}"/>
    <cellStyle name="_Costs not in KWI3000 '06Budget_Rebuttal Power Costs" xfId="2546" xr:uid="{00000000-0005-0000-0000-0000EB090000}"/>
    <cellStyle name="_Costs not in KWI3000 '06Budget_Rebuttal Power Costs 2" xfId="2547" xr:uid="{00000000-0005-0000-0000-0000EC090000}"/>
    <cellStyle name="_Costs not in KWI3000 '06Budget_Rebuttal Power Costs 2 2" xfId="2548" xr:uid="{00000000-0005-0000-0000-0000ED090000}"/>
    <cellStyle name="_Costs not in KWI3000 '06Budget_Rebuttal Power Costs 3" xfId="2549" xr:uid="{00000000-0005-0000-0000-0000EE090000}"/>
    <cellStyle name="_Costs not in KWI3000 '06Budget_Rebuttal Power Costs_Adj Bench DR 3 for Initial Briefs (Electric)" xfId="2550" xr:uid="{00000000-0005-0000-0000-0000EF090000}"/>
    <cellStyle name="_Costs not in KWI3000 '06Budget_Rebuttal Power Costs_Adj Bench DR 3 for Initial Briefs (Electric) 2" xfId="2551" xr:uid="{00000000-0005-0000-0000-0000F0090000}"/>
    <cellStyle name="_Costs not in KWI3000 '06Budget_Rebuttal Power Costs_Adj Bench DR 3 for Initial Briefs (Electric) 2 2" xfId="2552" xr:uid="{00000000-0005-0000-0000-0000F1090000}"/>
    <cellStyle name="_Costs not in KWI3000 '06Budget_Rebuttal Power Costs_Adj Bench DR 3 for Initial Briefs (Electric) 3" xfId="2553" xr:uid="{00000000-0005-0000-0000-0000F2090000}"/>
    <cellStyle name="_Costs not in KWI3000 '06Budget_Rebuttal Power Costs_Electric Rev Req Model (2009 GRC) Rebuttal" xfId="2554" xr:uid="{00000000-0005-0000-0000-0000F3090000}"/>
    <cellStyle name="_Costs not in KWI3000 '06Budget_Rebuttal Power Costs_Electric Rev Req Model (2009 GRC) Rebuttal 2" xfId="2555" xr:uid="{00000000-0005-0000-0000-0000F4090000}"/>
    <cellStyle name="_Costs not in KWI3000 '06Budget_Rebuttal Power Costs_Electric Rev Req Model (2009 GRC) Rebuttal 2 2" xfId="2556" xr:uid="{00000000-0005-0000-0000-0000F5090000}"/>
    <cellStyle name="_Costs not in KWI3000 '06Budget_Rebuttal Power Costs_Electric Rev Req Model (2009 GRC) Rebuttal 3" xfId="2557" xr:uid="{00000000-0005-0000-0000-0000F6090000}"/>
    <cellStyle name="_Costs not in KWI3000 '06Budget_Rebuttal Power Costs_Electric Rev Req Model (2009 GRC) Rebuttal REmoval of New  WH Solar AdjustMI" xfId="2558" xr:uid="{00000000-0005-0000-0000-0000F7090000}"/>
    <cellStyle name="_Costs not in KWI3000 '06Budget_Rebuttal Power Costs_Electric Rev Req Model (2009 GRC) Rebuttal REmoval of New  WH Solar AdjustMI 2" xfId="2559" xr:uid="{00000000-0005-0000-0000-0000F8090000}"/>
    <cellStyle name="_Costs not in KWI3000 '06Budget_Rebuttal Power Costs_Electric Rev Req Model (2009 GRC) Rebuttal REmoval of New  WH Solar AdjustMI 2 2" xfId="2560" xr:uid="{00000000-0005-0000-0000-0000F9090000}"/>
    <cellStyle name="_Costs not in KWI3000 '06Budget_Rebuttal Power Costs_Electric Rev Req Model (2009 GRC) Rebuttal REmoval of New  WH Solar AdjustMI 3" xfId="2561" xr:uid="{00000000-0005-0000-0000-0000FA090000}"/>
    <cellStyle name="_Costs not in KWI3000 '06Budget_Rebuttal Power Costs_Electric Rev Req Model (2009 GRC) Revised 01-18-2010" xfId="2562" xr:uid="{00000000-0005-0000-0000-0000FB090000}"/>
    <cellStyle name="_Costs not in KWI3000 '06Budget_Rebuttal Power Costs_Electric Rev Req Model (2009 GRC) Revised 01-18-2010 2" xfId="2563" xr:uid="{00000000-0005-0000-0000-0000FC090000}"/>
    <cellStyle name="_Costs not in KWI3000 '06Budget_Rebuttal Power Costs_Electric Rev Req Model (2009 GRC) Revised 01-18-2010 2 2" xfId="2564" xr:uid="{00000000-0005-0000-0000-0000FD090000}"/>
    <cellStyle name="_Costs not in KWI3000 '06Budget_Rebuttal Power Costs_Electric Rev Req Model (2009 GRC) Revised 01-18-2010 3" xfId="2565" xr:uid="{00000000-0005-0000-0000-0000FE090000}"/>
    <cellStyle name="_Costs not in KWI3000 '06Budget_Rebuttal Power Costs_Final Order Electric EXHIBIT A-1" xfId="2566" xr:uid="{00000000-0005-0000-0000-0000FF090000}"/>
    <cellStyle name="_Costs not in KWI3000 '06Budget_Rebuttal Power Costs_Final Order Electric EXHIBIT A-1 2" xfId="2567" xr:uid="{00000000-0005-0000-0000-0000000A0000}"/>
    <cellStyle name="_Costs not in KWI3000 '06Budget_Rebuttal Power Costs_Final Order Electric EXHIBIT A-1 2 2" xfId="2568" xr:uid="{00000000-0005-0000-0000-0000010A0000}"/>
    <cellStyle name="_Costs not in KWI3000 '06Budget_Rebuttal Power Costs_Final Order Electric EXHIBIT A-1 3" xfId="2569" xr:uid="{00000000-0005-0000-0000-0000020A0000}"/>
    <cellStyle name="_Costs not in KWI3000 '06Budget_ROR &amp; CONV FACTOR" xfId="2570" xr:uid="{00000000-0005-0000-0000-0000030A0000}"/>
    <cellStyle name="_Costs not in KWI3000 '06Budget_ROR &amp; CONV FACTOR 2" xfId="2571" xr:uid="{00000000-0005-0000-0000-0000040A0000}"/>
    <cellStyle name="_Costs not in KWI3000 '06Budget_ROR &amp; CONV FACTOR 2 2" xfId="2572" xr:uid="{00000000-0005-0000-0000-0000050A0000}"/>
    <cellStyle name="_Costs not in KWI3000 '06Budget_ROR &amp; CONV FACTOR 3" xfId="2573" xr:uid="{00000000-0005-0000-0000-0000060A0000}"/>
    <cellStyle name="_Costs not in KWI3000 '06Budget_ROR 5.02" xfId="2574" xr:uid="{00000000-0005-0000-0000-0000070A0000}"/>
    <cellStyle name="_Costs not in KWI3000 '06Budget_ROR 5.02 2" xfId="2575" xr:uid="{00000000-0005-0000-0000-0000080A0000}"/>
    <cellStyle name="_Costs not in KWI3000 '06Budget_ROR 5.02 2 2" xfId="2576" xr:uid="{00000000-0005-0000-0000-0000090A0000}"/>
    <cellStyle name="_Costs not in KWI3000 '06Budget_ROR 5.02 3" xfId="2577" xr:uid="{00000000-0005-0000-0000-00000A0A0000}"/>
    <cellStyle name="_Costs not in KWI3000 '06Budget_Transmission Workbook for May BOD" xfId="2578" xr:uid="{00000000-0005-0000-0000-00000B0A0000}"/>
    <cellStyle name="_Costs not in KWI3000 '06Budget_Transmission Workbook for May BOD 2" xfId="2579" xr:uid="{00000000-0005-0000-0000-00000C0A0000}"/>
    <cellStyle name="_Costs not in KWI3000 '06Budget_Wind Integration 10GRC" xfId="2580" xr:uid="{00000000-0005-0000-0000-00000D0A0000}"/>
    <cellStyle name="_Costs not in KWI3000 '06Budget_Wind Integration 10GRC 2" xfId="2581" xr:uid="{00000000-0005-0000-0000-00000E0A0000}"/>
    <cellStyle name="_DEM-08C Power Cost Comparison" xfId="2582" xr:uid="{00000000-0005-0000-0000-00000F0A0000}"/>
    <cellStyle name="_DEM-WP (C) Costs not in AURORA 2006GRC Order 11.30.06 Gas" xfId="2583" xr:uid="{00000000-0005-0000-0000-0000100A0000}"/>
    <cellStyle name="_DEM-WP (C) Costs not in AURORA 2006GRC Order 11.30.06 Gas 2" xfId="2584" xr:uid="{00000000-0005-0000-0000-0000110A0000}"/>
    <cellStyle name="_DEM-WP (C) Costs not in AURORA 2006GRC Order 11.30.06 Gas_Chelan PUD Power Costs (8-10)" xfId="2585" xr:uid="{00000000-0005-0000-0000-0000120A0000}"/>
    <cellStyle name="_DEM-WP (C) Costs not in AURORA 2006GRC Order 11.30.06 Gas_NIM Summary" xfId="2586" xr:uid="{00000000-0005-0000-0000-0000130A0000}"/>
    <cellStyle name="_DEM-WP (C) Costs not in AURORA 2006GRC Order 11.30.06 Gas_NIM Summary 2" xfId="2587" xr:uid="{00000000-0005-0000-0000-0000140A0000}"/>
    <cellStyle name="_DEM-WP (C) Power Cost 2006GRC Order" xfId="2588" xr:uid="{00000000-0005-0000-0000-0000150A0000}"/>
    <cellStyle name="_DEM-WP (C) Power Cost 2006GRC Order 2" xfId="2589" xr:uid="{00000000-0005-0000-0000-0000160A0000}"/>
    <cellStyle name="_DEM-WP (C) Power Cost 2006GRC Order 2 2" xfId="2590" xr:uid="{00000000-0005-0000-0000-0000170A0000}"/>
    <cellStyle name="_DEM-WP (C) Power Cost 2006GRC Order 2 2 2" xfId="2591" xr:uid="{00000000-0005-0000-0000-0000180A0000}"/>
    <cellStyle name="_DEM-WP (C) Power Cost 2006GRC Order 2 3" xfId="2592" xr:uid="{00000000-0005-0000-0000-0000190A0000}"/>
    <cellStyle name="_DEM-WP (C) Power Cost 2006GRC Order 3" xfId="2593" xr:uid="{00000000-0005-0000-0000-00001A0A0000}"/>
    <cellStyle name="_DEM-WP (C) Power Cost 2006GRC Order 3 2" xfId="2594" xr:uid="{00000000-0005-0000-0000-00001B0A0000}"/>
    <cellStyle name="_DEM-WP (C) Power Cost 2006GRC Order 4" xfId="2595" xr:uid="{00000000-0005-0000-0000-00001C0A0000}"/>
    <cellStyle name="_DEM-WP (C) Power Cost 2006GRC Order 4 2" xfId="2596" xr:uid="{00000000-0005-0000-0000-00001D0A0000}"/>
    <cellStyle name="_DEM-WP (C) Power Cost 2006GRC Order 5" xfId="2597" xr:uid="{00000000-0005-0000-0000-00001E0A0000}"/>
    <cellStyle name="_DEM-WP (C) Power Cost 2006GRC Order_04 07E Wild Horse Wind Expansion (C) (2)" xfId="2598" xr:uid="{00000000-0005-0000-0000-00001F0A0000}"/>
    <cellStyle name="_DEM-WP (C) Power Cost 2006GRC Order_04 07E Wild Horse Wind Expansion (C) (2) 2" xfId="2599" xr:uid="{00000000-0005-0000-0000-0000200A0000}"/>
    <cellStyle name="_DEM-WP (C) Power Cost 2006GRC Order_04 07E Wild Horse Wind Expansion (C) (2) 2 2" xfId="2600" xr:uid="{00000000-0005-0000-0000-0000210A0000}"/>
    <cellStyle name="_DEM-WP (C) Power Cost 2006GRC Order_04 07E Wild Horse Wind Expansion (C) (2) 3" xfId="2601" xr:uid="{00000000-0005-0000-0000-0000220A0000}"/>
    <cellStyle name="_DEM-WP (C) Power Cost 2006GRC Order_04 07E Wild Horse Wind Expansion (C) (2)_Adj Bench DR 3 for Initial Briefs (Electric)" xfId="2602" xr:uid="{00000000-0005-0000-0000-0000230A0000}"/>
    <cellStyle name="_DEM-WP (C) Power Cost 2006GRC Order_04 07E Wild Horse Wind Expansion (C) (2)_Adj Bench DR 3 for Initial Briefs (Electric) 2" xfId="2603" xr:uid="{00000000-0005-0000-0000-0000240A0000}"/>
    <cellStyle name="_DEM-WP (C) Power Cost 2006GRC Order_04 07E Wild Horse Wind Expansion (C) (2)_Adj Bench DR 3 for Initial Briefs (Electric) 2 2" xfId="2604" xr:uid="{00000000-0005-0000-0000-0000250A0000}"/>
    <cellStyle name="_DEM-WP (C) Power Cost 2006GRC Order_04 07E Wild Horse Wind Expansion (C) (2)_Adj Bench DR 3 for Initial Briefs (Electric) 3" xfId="2605" xr:uid="{00000000-0005-0000-0000-0000260A0000}"/>
    <cellStyle name="_DEM-WP (C) Power Cost 2006GRC Order_04 07E Wild Horse Wind Expansion (C) (2)_Book1" xfId="2606" xr:uid="{00000000-0005-0000-0000-0000270A0000}"/>
    <cellStyle name="_DEM-WP (C) Power Cost 2006GRC Order_04 07E Wild Horse Wind Expansion (C) (2)_Electric Rev Req Model (2009 GRC) " xfId="2607" xr:uid="{00000000-0005-0000-0000-0000280A0000}"/>
    <cellStyle name="_DEM-WP (C) Power Cost 2006GRC Order_04 07E Wild Horse Wind Expansion (C) (2)_Electric Rev Req Model (2009 GRC)  2" xfId="2608" xr:uid="{00000000-0005-0000-0000-0000290A0000}"/>
    <cellStyle name="_DEM-WP (C) Power Cost 2006GRC Order_04 07E Wild Horse Wind Expansion (C) (2)_Electric Rev Req Model (2009 GRC)  2 2" xfId="2609" xr:uid="{00000000-0005-0000-0000-00002A0A0000}"/>
    <cellStyle name="_DEM-WP (C) Power Cost 2006GRC Order_04 07E Wild Horse Wind Expansion (C) (2)_Electric Rev Req Model (2009 GRC)  3" xfId="2610" xr:uid="{00000000-0005-0000-0000-00002B0A0000}"/>
    <cellStyle name="_DEM-WP (C) Power Cost 2006GRC Order_04 07E Wild Horse Wind Expansion (C) (2)_Electric Rev Req Model (2009 GRC) Rebuttal" xfId="2611" xr:uid="{00000000-0005-0000-0000-00002C0A0000}"/>
    <cellStyle name="_DEM-WP (C) Power Cost 2006GRC Order_04 07E Wild Horse Wind Expansion (C) (2)_Electric Rev Req Model (2009 GRC) Rebuttal 2" xfId="2612" xr:uid="{00000000-0005-0000-0000-00002D0A0000}"/>
    <cellStyle name="_DEM-WP (C) Power Cost 2006GRC Order_04 07E Wild Horse Wind Expansion (C) (2)_Electric Rev Req Model (2009 GRC) Rebuttal 2 2" xfId="2613" xr:uid="{00000000-0005-0000-0000-00002E0A0000}"/>
    <cellStyle name="_DEM-WP (C) Power Cost 2006GRC Order_04 07E Wild Horse Wind Expansion (C) (2)_Electric Rev Req Model (2009 GRC) Rebuttal 3" xfId="2614" xr:uid="{00000000-0005-0000-0000-00002F0A0000}"/>
    <cellStyle name="_DEM-WP (C) Power Cost 2006GRC Order_04 07E Wild Horse Wind Expansion (C) (2)_Electric Rev Req Model (2009 GRC) Rebuttal REmoval of New  WH Solar AdjustMI" xfId="2615" xr:uid="{00000000-0005-0000-0000-0000300A0000}"/>
    <cellStyle name="_DEM-WP (C) Power Cost 2006GRC Order_04 07E Wild Horse Wind Expansion (C) (2)_Electric Rev Req Model (2009 GRC) Rebuttal REmoval of New  WH Solar AdjustMI 2" xfId="2616" xr:uid="{00000000-0005-0000-0000-0000310A0000}"/>
    <cellStyle name="_DEM-WP (C) Power Cost 2006GRC Order_04 07E Wild Horse Wind Expansion (C) (2)_Electric Rev Req Model (2009 GRC) Rebuttal REmoval of New  WH Solar AdjustMI 2 2" xfId="2617" xr:uid="{00000000-0005-0000-0000-0000320A0000}"/>
    <cellStyle name="_DEM-WP (C) Power Cost 2006GRC Order_04 07E Wild Horse Wind Expansion (C) (2)_Electric Rev Req Model (2009 GRC) Rebuttal REmoval of New  WH Solar AdjustMI 3" xfId="2618" xr:uid="{00000000-0005-0000-0000-0000330A0000}"/>
    <cellStyle name="_DEM-WP (C) Power Cost 2006GRC Order_04 07E Wild Horse Wind Expansion (C) (2)_Electric Rev Req Model (2009 GRC) Revised 01-18-2010" xfId="2619" xr:uid="{00000000-0005-0000-0000-0000340A0000}"/>
    <cellStyle name="_DEM-WP (C) Power Cost 2006GRC Order_04 07E Wild Horse Wind Expansion (C) (2)_Electric Rev Req Model (2009 GRC) Revised 01-18-2010 2" xfId="2620" xr:uid="{00000000-0005-0000-0000-0000350A0000}"/>
    <cellStyle name="_DEM-WP (C) Power Cost 2006GRC Order_04 07E Wild Horse Wind Expansion (C) (2)_Electric Rev Req Model (2009 GRC) Revised 01-18-2010 2 2" xfId="2621" xr:uid="{00000000-0005-0000-0000-0000360A0000}"/>
    <cellStyle name="_DEM-WP (C) Power Cost 2006GRC Order_04 07E Wild Horse Wind Expansion (C) (2)_Electric Rev Req Model (2009 GRC) Revised 01-18-2010 3" xfId="2622" xr:uid="{00000000-0005-0000-0000-0000370A0000}"/>
    <cellStyle name="_DEM-WP (C) Power Cost 2006GRC Order_04 07E Wild Horse Wind Expansion (C) (2)_Electric Rev Req Model (2010 GRC)" xfId="2623" xr:uid="{00000000-0005-0000-0000-0000380A0000}"/>
    <cellStyle name="_DEM-WP (C) Power Cost 2006GRC Order_04 07E Wild Horse Wind Expansion (C) (2)_Electric Rev Req Model (2010 GRC) SF" xfId="2624" xr:uid="{00000000-0005-0000-0000-0000390A0000}"/>
    <cellStyle name="_DEM-WP (C) Power Cost 2006GRC Order_04 07E Wild Horse Wind Expansion (C) (2)_Final Order Electric EXHIBIT A-1" xfId="2625" xr:uid="{00000000-0005-0000-0000-00003A0A0000}"/>
    <cellStyle name="_DEM-WP (C) Power Cost 2006GRC Order_04 07E Wild Horse Wind Expansion (C) (2)_Final Order Electric EXHIBIT A-1 2" xfId="2626" xr:uid="{00000000-0005-0000-0000-00003B0A0000}"/>
    <cellStyle name="_DEM-WP (C) Power Cost 2006GRC Order_04 07E Wild Horse Wind Expansion (C) (2)_Final Order Electric EXHIBIT A-1 2 2" xfId="2627" xr:uid="{00000000-0005-0000-0000-00003C0A0000}"/>
    <cellStyle name="_DEM-WP (C) Power Cost 2006GRC Order_04 07E Wild Horse Wind Expansion (C) (2)_Final Order Electric EXHIBIT A-1 3" xfId="2628" xr:uid="{00000000-0005-0000-0000-00003D0A0000}"/>
    <cellStyle name="_DEM-WP (C) Power Cost 2006GRC Order_04 07E Wild Horse Wind Expansion (C) (2)_TENASKA REGULATORY ASSET" xfId="2629" xr:uid="{00000000-0005-0000-0000-00003E0A0000}"/>
    <cellStyle name="_DEM-WP (C) Power Cost 2006GRC Order_04 07E Wild Horse Wind Expansion (C) (2)_TENASKA REGULATORY ASSET 2" xfId="2630" xr:uid="{00000000-0005-0000-0000-00003F0A0000}"/>
    <cellStyle name="_DEM-WP (C) Power Cost 2006GRC Order_04 07E Wild Horse Wind Expansion (C) (2)_TENASKA REGULATORY ASSET 2 2" xfId="2631" xr:uid="{00000000-0005-0000-0000-0000400A0000}"/>
    <cellStyle name="_DEM-WP (C) Power Cost 2006GRC Order_04 07E Wild Horse Wind Expansion (C) (2)_TENASKA REGULATORY ASSET 3" xfId="2632" xr:uid="{00000000-0005-0000-0000-0000410A0000}"/>
    <cellStyle name="_DEM-WP (C) Power Cost 2006GRC Order_16.37E Wild Horse Expansion DeferralRevwrkingfile SF" xfId="2633" xr:uid="{00000000-0005-0000-0000-0000420A0000}"/>
    <cellStyle name="_DEM-WP (C) Power Cost 2006GRC Order_16.37E Wild Horse Expansion DeferralRevwrkingfile SF 2" xfId="2634" xr:uid="{00000000-0005-0000-0000-0000430A0000}"/>
    <cellStyle name="_DEM-WP (C) Power Cost 2006GRC Order_16.37E Wild Horse Expansion DeferralRevwrkingfile SF 2 2" xfId="2635" xr:uid="{00000000-0005-0000-0000-0000440A0000}"/>
    <cellStyle name="_DEM-WP (C) Power Cost 2006GRC Order_16.37E Wild Horse Expansion DeferralRevwrkingfile SF 3" xfId="2636" xr:uid="{00000000-0005-0000-0000-0000450A0000}"/>
    <cellStyle name="_DEM-WP (C) Power Cost 2006GRC Order_2009 Compliance Filing PCA Exhibits for GRC" xfId="2637" xr:uid="{00000000-0005-0000-0000-0000460A0000}"/>
    <cellStyle name="_DEM-WP (C) Power Cost 2006GRC Order_2009 GRC Compl Filing - Exhibit D" xfId="2638" xr:uid="{00000000-0005-0000-0000-0000470A0000}"/>
    <cellStyle name="_DEM-WP (C) Power Cost 2006GRC Order_2009 GRC Compl Filing - Exhibit D 2" xfId="2639" xr:uid="{00000000-0005-0000-0000-0000480A0000}"/>
    <cellStyle name="_DEM-WP (C) Power Cost 2006GRC Order_3.01 Income Statement" xfId="2640" xr:uid="{00000000-0005-0000-0000-0000490A0000}"/>
    <cellStyle name="_DEM-WP (C) Power Cost 2006GRC Order_4 31 Regulatory Assets and Liabilities  7 06- Exhibit D" xfId="2641" xr:uid="{00000000-0005-0000-0000-00004A0A0000}"/>
    <cellStyle name="_DEM-WP (C) Power Cost 2006GRC Order_4 31 Regulatory Assets and Liabilities  7 06- Exhibit D 2" xfId="2642" xr:uid="{00000000-0005-0000-0000-00004B0A0000}"/>
    <cellStyle name="_DEM-WP (C) Power Cost 2006GRC Order_4 31 Regulatory Assets and Liabilities  7 06- Exhibit D 2 2" xfId="2643" xr:uid="{00000000-0005-0000-0000-00004C0A0000}"/>
    <cellStyle name="_DEM-WP (C) Power Cost 2006GRC Order_4 31 Regulatory Assets and Liabilities  7 06- Exhibit D 3" xfId="2644" xr:uid="{00000000-0005-0000-0000-00004D0A0000}"/>
    <cellStyle name="_DEM-WP (C) Power Cost 2006GRC Order_4 31 Regulatory Assets and Liabilities  7 06- Exhibit D_NIM Summary" xfId="2645" xr:uid="{00000000-0005-0000-0000-00004E0A0000}"/>
    <cellStyle name="_DEM-WP (C) Power Cost 2006GRC Order_4 31 Regulatory Assets and Liabilities  7 06- Exhibit D_NIM Summary 2" xfId="2646" xr:uid="{00000000-0005-0000-0000-00004F0A0000}"/>
    <cellStyle name="_DEM-WP (C) Power Cost 2006GRC Order_4 32 Regulatory Assets and Liabilities  7 06- Exhibit D" xfId="2647" xr:uid="{00000000-0005-0000-0000-0000500A0000}"/>
    <cellStyle name="_DEM-WP (C) Power Cost 2006GRC Order_4 32 Regulatory Assets and Liabilities  7 06- Exhibit D 2" xfId="2648" xr:uid="{00000000-0005-0000-0000-0000510A0000}"/>
    <cellStyle name="_DEM-WP (C) Power Cost 2006GRC Order_4 32 Regulatory Assets and Liabilities  7 06- Exhibit D 2 2" xfId="2649" xr:uid="{00000000-0005-0000-0000-0000520A0000}"/>
    <cellStyle name="_DEM-WP (C) Power Cost 2006GRC Order_4 32 Regulatory Assets and Liabilities  7 06- Exhibit D 3" xfId="2650" xr:uid="{00000000-0005-0000-0000-0000530A0000}"/>
    <cellStyle name="_DEM-WP (C) Power Cost 2006GRC Order_4 32 Regulatory Assets and Liabilities  7 06- Exhibit D_NIM Summary" xfId="2651" xr:uid="{00000000-0005-0000-0000-0000540A0000}"/>
    <cellStyle name="_DEM-WP (C) Power Cost 2006GRC Order_4 32 Regulatory Assets and Liabilities  7 06- Exhibit D_NIM Summary 2" xfId="2652" xr:uid="{00000000-0005-0000-0000-0000550A0000}"/>
    <cellStyle name="_DEM-WP (C) Power Cost 2006GRC Order_AURORA Total New" xfId="2653" xr:uid="{00000000-0005-0000-0000-0000560A0000}"/>
    <cellStyle name="_DEM-WP (C) Power Cost 2006GRC Order_AURORA Total New 2" xfId="2654" xr:uid="{00000000-0005-0000-0000-0000570A0000}"/>
    <cellStyle name="_DEM-WP (C) Power Cost 2006GRC Order_Book2" xfId="2655" xr:uid="{00000000-0005-0000-0000-0000580A0000}"/>
    <cellStyle name="_DEM-WP (C) Power Cost 2006GRC Order_Book2 2" xfId="2656" xr:uid="{00000000-0005-0000-0000-0000590A0000}"/>
    <cellStyle name="_DEM-WP (C) Power Cost 2006GRC Order_Book2 2 2" xfId="2657" xr:uid="{00000000-0005-0000-0000-00005A0A0000}"/>
    <cellStyle name="_DEM-WP (C) Power Cost 2006GRC Order_Book2 3" xfId="2658" xr:uid="{00000000-0005-0000-0000-00005B0A0000}"/>
    <cellStyle name="_DEM-WP (C) Power Cost 2006GRC Order_Book2_Adj Bench DR 3 for Initial Briefs (Electric)" xfId="2659" xr:uid="{00000000-0005-0000-0000-00005C0A0000}"/>
    <cellStyle name="_DEM-WP (C) Power Cost 2006GRC Order_Book2_Adj Bench DR 3 for Initial Briefs (Electric) 2" xfId="2660" xr:uid="{00000000-0005-0000-0000-00005D0A0000}"/>
    <cellStyle name="_DEM-WP (C) Power Cost 2006GRC Order_Book2_Adj Bench DR 3 for Initial Briefs (Electric) 2 2" xfId="2661" xr:uid="{00000000-0005-0000-0000-00005E0A0000}"/>
    <cellStyle name="_DEM-WP (C) Power Cost 2006GRC Order_Book2_Adj Bench DR 3 for Initial Briefs (Electric) 3" xfId="2662" xr:uid="{00000000-0005-0000-0000-00005F0A0000}"/>
    <cellStyle name="_DEM-WP (C) Power Cost 2006GRC Order_Book2_Electric Rev Req Model (2009 GRC) Rebuttal" xfId="2663" xr:uid="{00000000-0005-0000-0000-0000600A0000}"/>
    <cellStyle name="_DEM-WP (C) Power Cost 2006GRC Order_Book2_Electric Rev Req Model (2009 GRC) Rebuttal 2" xfId="2664" xr:uid="{00000000-0005-0000-0000-0000610A0000}"/>
    <cellStyle name="_DEM-WP (C) Power Cost 2006GRC Order_Book2_Electric Rev Req Model (2009 GRC) Rebuttal 2 2" xfId="2665" xr:uid="{00000000-0005-0000-0000-0000620A0000}"/>
    <cellStyle name="_DEM-WP (C) Power Cost 2006GRC Order_Book2_Electric Rev Req Model (2009 GRC) Rebuttal 3" xfId="2666" xr:uid="{00000000-0005-0000-0000-0000630A0000}"/>
    <cellStyle name="_DEM-WP (C) Power Cost 2006GRC Order_Book2_Electric Rev Req Model (2009 GRC) Rebuttal REmoval of New  WH Solar AdjustMI" xfId="2667" xr:uid="{00000000-0005-0000-0000-0000640A0000}"/>
    <cellStyle name="_DEM-WP (C) Power Cost 2006GRC Order_Book2_Electric Rev Req Model (2009 GRC) Rebuttal REmoval of New  WH Solar AdjustMI 2" xfId="2668" xr:uid="{00000000-0005-0000-0000-0000650A0000}"/>
    <cellStyle name="_DEM-WP (C) Power Cost 2006GRC Order_Book2_Electric Rev Req Model (2009 GRC) Rebuttal REmoval of New  WH Solar AdjustMI 2 2" xfId="2669" xr:uid="{00000000-0005-0000-0000-0000660A0000}"/>
    <cellStyle name="_DEM-WP (C) Power Cost 2006GRC Order_Book2_Electric Rev Req Model (2009 GRC) Rebuttal REmoval of New  WH Solar AdjustMI 3" xfId="2670" xr:uid="{00000000-0005-0000-0000-0000670A0000}"/>
    <cellStyle name="_DEM-WP (C) Power Cost 2006GRC Order_Book2_Electric Rev Req Model (2009 GRC) Revised 01-18-2010" xfId="2671" xr:uid="{00000000-0005-0000-0000-0000680A0000}"/>
    <cellStyle name="_DEM-WP (C) Power Cost 2006GRC Order_Book2_Electric Rev Req Model (2009 GRC) Revised 01-18-2010 2" xfId="2672" xr:uid="{00000000-0005-0000-0000-0000690A0000}"/>
    <cellStyle name="_DEM-WP (C) Power Cost 2006GRC Order_Book2_Electric Rev Req Model (2009 GRC) Revised 01-18-2010 2 2" xfId="2673" xr:uid="{00000000-0005-0000-0000-00006A0A0000}"/>
    <cellStyle name="_DEM-WP (C) Power Cost 2006GRC Order_Book2_Electric Rev Req Model (2009 GRC) Revised 01-18-2010 3" xfId="2674" xr:uid="{00000000-0005-0000-0000-00006B0A0000}"/>
    <cellStyle name="_DEM-WP (C) Power Cost 2006GRC Order_Book2_Final Order Electric EXHIBIT A-1" xfId="2675" xr:uid="{00000000-0005-0000-0000-00006C0A0000}"/>
    <cellStyle name="_DEM-WP (C) Power Cost 2006GRC Order_Book2_Final Order Electric EXHIBIT A-1 2" xfId="2676" xr:uid="{00000000-0005-0000-0000-00006D0A0000}"/>
    <cellStyle name="_DEM-WP (C) Power Cost 2006GRC Order_Book2_Final Order Electric EXHIBIT A-1 2 2" xfId="2677" xr:uid="{00000000-0005-0000-0000-00006E0A0000}"/>
    <cellStyle name="_DEM-WP (C) Power Cost 2006GRC Order_Book2_Final Order Electric EXHIBIT A-1 3" xfId="2678" xr:uid="{00000000-0005-0000-0000-00006F0A0000}"/>
    <cellStyle name="_DEM-WP (C) Power Cost 2006GRC Order_Book4" xfId="2679" xr:uid="{00000000-0005-0000-0000-0000700A0000}"/>
    <cellStyle name="_DEM-WP (C) Power Cost 2006GRC Order_Book4 2" xfId="2680" xr:uid="{00000000-0005-0000-0000-0000710A0000}"/>
    <cellStyle name="_DEM-WP (C) Power Cost 2006GRC Order_Book4 2 2" xfId="2681" xr:uid="{00000000-0005-0000-0000-0000720A0000}"/>
    <cellStyle name="_DEM-WP (C) Power Cost 2006GRC Order_Book4 3" xfId="2682" xr:uid="{00000000-0005-0000-0000-0000730A0000}"/>
    <cellStyle name="_DEM-WP (C) Power Cost 2006GRC Order_Book9" xfId="2683" xr:uid="{00000000-0005-0000-0000-0000740A0000}"/>
    <cellStyle name="_DEM-WP (C) Power Cost 2006GRC Order_Book9 2" xfId="2684" xr:uid="{00000000-0005-0000-0000-0000750A0000}"/>
    <cellStyle name="_DEM-WP (C) Power Cost 2006GRC Order_Book9 2 2" xfId="2685" xr:uid="{00000000-0005-0000-0000-0000760A0000}"/>
    <cellStyle name="_DEM-WP (C) Power Cost 2006GRC Order_Book9 3" xfId="2686" xr:uid="{00000000-0005-0000-0000-0000770A0000}"/>
    <cellStyle name="_DEM-WP (C) Power Cost 2006GRC Order_Chelan PUD Power Costs (8-10)" xfId="2687" xr:uid="{00000000-0005-0000-0000-0000780A0000}"/>
    <cellStyle name="_DEM-WP (C) Power Cost 2006GRC Order_Electric COS Inputs" xfId="2688" xr:uid="{00000000-0005-0000-0000-0000790A0000}"/>
    <cellStyle name="_DEM-WP (C) Power Cost 2006GRC Order_Electric COS Inputs 2" xfId="2689" xr:uid="{00000000-0005-0000-0000-00007A0A0000}"/>
    <cellStyle name="_DEM-WP (C) Power Cost 2006GRC Order_Electric COS Inputs 2 2" xfId="2690" xr:uid="{00000000-0005-0000-0000-00007B0A0000}"/>
    <cellStyle name="_DEM-WP (C) Power Cost 2006GRC Order_Electric COS Inputs 2 2 2" xfId="2691" xr:uid="{00000000-0005-0000-0000-00007C0A0000}"/>
    <cellStyle name="_DEM-WP (C) Power Cost 2006GRC Order_Electric COS Inputs 2 3" xfId="2692" xr:uid="{00000000-0005-0000-0000-00007D0A0000}"/>
    <cellStyle name="_DEM-WP (C) Power Cost 2006GRC Order_Electric COS Inputs 2 3 2" xfId="2693" xr:uid="{00000000-0005-0000-0000-00007E0A0000}"/>
    <cellStyle name="_DEM-WP (C) Power Cost 2006GRC Order_Electric COS Inputs 2 4" xfId="2694" xr:uid="{00000000-0005-0000-0000-00007F0A0000}"/>
    <cellStyle name="_DEM-WP (C) Power Cost 2006GRC Order_Electric COS Inputs 2 4 2" xfId="2695" xr:uid="{00000000-0005-0000-0000-0000800A0000}"/>
    <cellStyle name="_DEM-WP (C) Power Cost 2006GRC Order_Electric COS Inputs 3" xfId="2696" xr:uid="{00000000-0005-0000-0000-0000810A0000}"/>
    <cellStyle name="_DEM-WP (C) Power Cost 2006GRC Order_Electric COS Inputs 3 2" xfId="2697" xr:uid="{00000000-0005-0000-0000-0000820A0000}"/>
    <cellStyle name="_DEM-WP (C) Power Cost 2006GRC Order_Electric COS Inputs 4" xfId="2698" xr:uid="{00000000-0005-0000-0000-0000830A0000}"/>
    <cellStyle name="_DEM-WP (C) Power Cost 2006GRC Order_Electric COS Inputs 4 2" xfId="2699" xr:uid="{00000000-0005-0000-0000-0000840A0000}"/>
    <cellStyle name="_DEM-WP (C) Power Cost 2006GRC Order_Electric COS Inputs 5" xfId="2700" xr:uid="{00000000-0005-0000-0000-0000850A0000}"/>
    <cellStyle name="_DEM-WP (C) Power Cost 2006GRC Order_Electric COS Inputs 6" xfId="2701" xr:uid="{00000000-0005-0000-0000-0000860A0000}"/>
    <cellStyle name="_DEM-WP (C) Power Cost 2006GRC Order_NIM Summary" xfId="2702" xr:uid="{00000000-0005-0000-0000-0000870A0000}"/>
    <cellStyle name="_DEM-WP (C) Power Cost 2006GRC Order_NIM Summary 09GRC" xfId="2703" xr:uid="{00000000-0005-0000-0000-0000880A0000}"/>
    <cellStyle name="_DEM-WP (C) Power Cost 2006GRC Order_NIM Summary 09GRC 2" xfId="2704" xr:uid="{00000000-0005-0000-0000-0000890A0000}"/>
    <cellStyle name="_DEM-WP (C) Power Cost 2006GRC Order_NIM Summary 2" xfId="2705" xr:uid="{00000000-0005-0000-0000-00008A0A0000}"/>
    <cellStyle name="_DEM-WP (C) Power Cost 2006GRC Order_NIM Summary 3" xfId="2706" xr:uid="{00000000-0005-0000-0000-00008B0A0000}"/>
    <cellStyle name="_DEM-WP (C) Power Cost 2006GRC Order_NIM Summary 4" xfId="2707" xr:uid="{00000000-0005-0000-0000-00008C0A0000}"/>
    <cellStyle name="_DEM-WP (C) Power Cost 2006GRC Order_NIM Summary 5" xfId="2708" xr:uid="{00000000-0005-0000-0000-00008D0A0000}"/>
    <cellStyle name="_DEM-WP (C) Power Cost 2006GRC Order_NIM Summary 6" xfId="2709" xr:uid="{00000000-0005-0000-0000-00008E0A0000}"/>
    <cellStyle name="_DEM-WP (C) Power Cost 2006GRC Order_NIM Summary 7" xfId="2710" xr:uid="{00000000-0005-0000-0000-00008F0A0000}"/>
    <cellStyle name="_DEM-WP (C) Power Cost 2006GRC Order_NIM Summary 8" xfId="2711" xr:uid="{00000000-0005-0000-0000-0000900A0000}"/>
    <cellStyle name="_DEM-WP (C) Power Cost 2006GRC Order_NIM Summary 9" xfId="2712" xr:uid="{00000000-0005-0000-0000-0000910A0000}"/>
    <cellStyle name="_DEM-WP (C) Power Cost 2006GRC Order_PCA 10 -  Exhibit D from A Kellogg Jan 2011" xfId="2713" xr:uid="{00000000-0005-0000-0000-0000920A0000}"/>
    <cellStyle name="_DEM-WP (C) Power Cost 2006GRC Order_PCA 10 -  Exhibit D from A Kellogg July 2011" xfId="2714" xr:uid="{00000000-0005-0000-0000-0000930A0000}"/>
    <cellStyle name="_DEM-WP (C) Power Cost 2006GRC Order_PCA 10 -  Exhibit D from S Free Rcv'd 12-11" xfId="2715" xr:uid="{00000000-0005-0000-0000-0000940A0000}"/>
    <cellStyle name="_DEM-WP (C) Power Cost 2006GRC Order_PCA 9 -  Exhibit D April 2010" xfId="2716" xr:uid="{00000000-0005-0000-0000-0000950A0000}"/>
    <cellStyle name="_DEM-WP (C) Power Cost 2006GRC Order_PCA 9 -  Exhibit D April 2010 (3)" xfId="2717" xr:uid="{00000000-0005-0000-0000-0000960A0000}"/>
    <cellStyle name="_DEM-WP (C) Power Cost 2006GRC Order_PCA 9 -  Exhibit D April 2010 (3) 2" xfId="2718" xr:uid="{00000000-0005-0000-0000-0000970A0000}"/>
    <cellStyle name="_DEM-WP (C) Power Cost 2006GRC Order_PCA 9 -  Exhibit D Nov 2010" xfId="2719" xr:uid="{00000000-0005-0000-0000-0000980A0000}"/>
    <cellStyle name="_DEM-WP (C) Power Cost 2006GRC Order_PCA 9 - Exhibit D at August 2010" xfId="2720" xr:uid="{00000000-0005-0000-0000-0000990A0000}"/>
    <cellStyle name="_DEM-WP (C) Power Cost 2006GRC Order_PCA 9 - Exhibit D June 2010 GRC" xfId="2721" xr:uid="{00000000-0005-0000-0000-00009A0A0000}"/>
    <cellStyle name="_DEM-WP (C) Power Cost 2006GRC Order_Power Costs - Comparison bx Rbtl-Staff-Jt-PC" xfId="2722" xr:uid="{00000000-0005-0000-0000-00009B0A0000}"/>
    <cellStyle name="_DEM-WP (C) Power Cost 2006GRC Order_Power Costs - Comparison bx Rbtl-Staff-Jt-PC 2" xfId="2723" xr:uid="{00000000-0005-0000-0000-00009C0A0000}"/>
    <cellStyle name="_DEM-WP (C) Power Cost 2006GRC Order_Power Costs - Comparison bx Rbtl-Staff-Jt-PC 2 2" xfId="2724" xr:uid="{00000000-0005-0000-0000-00009D0A0000}"/>
    <cellStyle name="_DEM-WP (C) Power Cost 2006GRC Order_Power Costs - Comparison bx Rbtl-Staff-Jt-PC 3" xfId="2725" xr:uid="{00000000-0005-0000-0000-00009E0A0000}"/>
    <cellStyle name="_DEM-WP (C) Power Cost 2006GRC Order_Power Costs - Comparison bx Rbtl-Staff-Jt-PC_Adj Bench DR 3 for Initial Briefs (Electric)" xfId="2726" xr:uid="{00000000-0005-0000-0000-00009F0A0000}"/>
    <cellStyle name="_DEM-WP (C) Power Cost 2006GRC Order_Power Costs - Comparison bx Rbtl-Staff-Jt-PC_Adj Bench DR 3 for Initial Briefs (Electric) 2" xfId="2727" xr:uid="{00000000-0005-0000-0000-0000A00A0000}"/>
    <cellStyle name="_DEM-WP (C) Power Cost 2006GRC Order_Power Costs - Comparison bx Rbtl-Staff-Jt-PC_Adj Bench DR 3 for Initial Briefs (Electric) 2 2" xfId="2728" xr:uid="{00000000-0005-0000-0000-0000A10A0000}"/>
    <cellStyle name="_DEM-WP (C) Power Cost 2006GRC Order_Power Costs - Comparison bx Rbtl-Staff-Jt-PC_Adj Bench DR 3 for Initial Briefs (Electric) 3" xfId="2729" xr:uid="{00000000-0005-0000-0000-0000A20A0000}"/>
    <cellStyle name="_DEM-WP (C) Power Cost 2006GRC Order_Power Costs - Comparison bx Rbtl-Staff-Jt-PC_Electric Rev Req Model (2009 GRC) Rebuttal" xfId="2730" xr:uid="{00000000-0005-0000-0000-0000A30A0000}"/>
    <cellStyle name="_DEM-WP (C) Power Cost 2006GRC Order_Power Costs - Comparison bx Rbtl-Staff-Jt-PC_Electric Rev Req Model (2009 GRC) Rebuttal 2" xfId="2731" xr:uid="{00000000-0005-0000-0000-0000A40A0000}"/>
    <cellStyle name="_DEM-WP (C) Power Cost 2006GRC Order_Power Costs - Comparison bx Rbtl-Staff-Jt-PC_Electric Rev Req Model (2009 GRC) Rebuttal 2 2" xfId="2732" xr:uid="{00000000-0005-0000-0000-0000A50A0000}"/>
    <cellStyle name="_DEM-WP (C) Power Cost 2006GRC Order_Power Costs - Comparison bx Rbtl-Staff-Jt-PC_Electric Rev Req Model (2009 GRC) Rebuttal 3" xfId="2733" xr:uid="{00000000-0005-0000-0000-0000A60A0000}"/>
    <cellStyle name="_DEM-WP (C) Power Cost 2006GRC Order_Power Costs - Comparison bx Rbtl-Staff-Jt-PC_Electric Rev Req Model (2009 GRC) Rebuttal REmoval of New  WH Solar AdjustMI" xfId="2734" xr:uid="{00000000-0005-0000-0000-0000A70A0000}"/>
    <cellStyle name="_DEM-WP (C) Power Cost 2006GRC Order_Power Costs - Comparison bx Rbtl-Staff-Jt-PC_Electric Rev Req Model (2009 GRC) Rebuttal REmoval of New  WH Solar AdjustMI 2" xfId="2735" xr:uid="{00000000-0005-0000-0000-0000A80A0000}"/>
    <cellStyle name="_DEM-WP (C) Power Cost 2006GRC Order_Power Costs - Comparison bx Rbtl-Staff-Jt-PC_Electric Rev Req Model (2009 GRC) Rebuttal REmoval of New  WH Solar AdjustMI 2 2" xfId="2736" xr:uid="{00000000-0005-0000-0000-0000A90A0000}"/>
    <cellStyle name="_DEM-WP (C) Power Cost 2006GRC Order_Power Costs - Comparison bx Rbtl-Staff-Jt-PC_Electric Rev Req Model (2009 GRC) Rebuttal REmoval of New  WH Solar AdjustMI 3" xfId="2737" xr:uid="{00000000-0005-0000-0000-0000AA0A0000}"/>
    <cellStyle name="_DEM-WP (C) Power Cost 2006GRC Order_Power Costs - Comparison bx Rbtl-Staff-Jt-PC_Electric Rev Req Model (2009 GRC) Revised 01-18-2010" xfId="2738" xr:uid="{00000000-0005-0000-0000-0000AB0A0000}"/>
    <cellStyle name="_DEM-WP (C) Power Cost 2006GRC Order_Power Costs - Comparison bx Rbtl-Staff-Jt-PC_Electric Rev Req Model (2009 GRC) Revised 01-18-2010 2" xfId="2739" xr:uid="{00000000-0005-0000-0000-0000AC0A0000}"/>
    <cellStyle name="_DEM-WP (C) Power Cost 2006GRC Order_Power Costs - Comparison bx Rbtl-Staff-Jt-PC_Electric Rev Req Model (2009 GRC) Revised 01-18-2010 2 2" xfId="2740" xr:uid="{00000000-0005-0000-0000-0000AD0A0000}"/>
    <cellStyle name="_DEM-WP (C) Power Cost 2006GRC Order_Power Costs - Comparison bx Rbtl-Staff-Jt-PC_Electric Rev Req Model (2009 GRC) Revised 01-18-2010 3" xfId="2741" xr:uid="{00000000-0005-0000-0000-0000AE0A0000}"/>
    <cellStyle name="_DEM-WP (C) Power Cost 2006GRC Order_Power Costs - Comparison bx Rbtl-Staff-Jt-PC_Final Order Electric EXHIBIT A-1" xfId="2742" xr:uid="{00000000-0005-0000-0000-0000AF0A0000}"/>
    <cellStyle name="_DEM-WP (C) Power Cost 2006GRC Order_Power Costs - Comparison bx Rbtl-Staff-Jt-PC_Final Order Electric EXHIBIT A-1 2" xfId="2743" xr:uid="{00000000-0005-0000-0000-0000B00A0000}"/>
    <cellStyle name="_DEM-WP (C) Power Cost 2006GRC Order_Power Costs - Comparison bx Rbtl-Staff-Jt-PC_Final Order Electric EXHIBIT A-1 2 2" xfId="2744" xr:uid="{00000000-0005-0000-0000-0000B10A0000}"/>
    <cellStyle name="_DEM-WP (C) Power Cost 2006GRC Order_Power Costs - Comparison bx Rbtl-Staff-Jt-PC_Final Order Electric EXHIBIT A-1 3" xfId="2745" xr:uid="{00000000-0005-0000-0000-0000B20A0000}"/>
    <cellStyle name="_DEM-WP (C) Power Cost 2006GRC Order_Production Adj 4.37" xfId="2746" xr:uid="{00000000-0005-0000-0000-0000B30A0000}"/>
    <cellStyle name="_DEM-WP (C) Power Cost 2006GRC Order_Production Adj 4.37 2" xfId="2747" xr:uid="{00000000-0005-0000-0000-0000B40A0000}"/>
    <cellStyle name="_DEM-WP (C) Power Cost 2006GRC Order_Production Adj 4.37 2 2" xfId="2748" xr:uid="{00000000-0005-0000-0000-0000B50A0000}"/>
    <cellStyle name="_DEM-WP (C) Power Cost 2006GRC Order_Production Adj 4.37 3" xfId="2749" xr:uid="{00000000-0005-0000-0000-0000B60A0000}"/>
    <cellStyle name="_DEM-WP (C) Power Cost 2006GRC Order_Purchased Power Adj 4.03" xfId="2750" xr:uid="{00000000-0005-0000-0000-0000B70A0000}"/>
    <cellStyle name="_DEM-WP (C) Power Cost 2006GRC Order_Purchased Power Adj 4.03 2" xfId="2751" xr:uid="{00000000-0005-0000-0000-0000B80A0000}"/>
    <cellStyle name="_DEM-WP (C) Power Cost 2006GRC Order_Purchased Power Adj 4.03 2 2" xfId="2752" xr:uid="{00000000-0005-0000-0000-0000B90A0000}"/>
    <cellStyle name="_DEM-WP (C) Power Cost 2006GRC Order_Purchased Power Adj 4.03 3" xfId="2753" xr:uid="{00000000-0005-0000-0000-0000BA0A0000}"/>
    <cellStyle name="_DEM-WP (C) Power Cost 2006GRC Order_Rebuttal Power Costs" xfId="2754" xr:uid="{00000000-0005-0000-0000-0000BB0A0000}"/>
    <cellStyle name="_DEM-WP (C) Power Cost 2006GRC Order_Rebuttal Power Costs 2" xfId="2755" xr:uid="{00000000-0005-0000-0000-0000BC0A0000}"/>
    <cellStyle name="_DEM-WP (C) Power Cost 2006GRC Order_Rebuttal Power Costs 2 2" xfId="2756" xr:uid="{00000000-0005-0000-0000-0000BD0A0000}"/>
    <cellStyle name="_DEM-WP (C) Power Cost 2006GRC Order_Rebuttal Power Costs 3" xfId="2757" xr:uid="{00000000-0005-0000-0000-0000BE0A0000}"/>
    <cellStyle name="_DEM-WP (C) Power Cost 2006GRC Order_Rebuttal Power Costs_Adj Bench DR 3 for Initial Briefs (Electric)" xfId="2758" xr:uid="{00000000-0005-0000-0000-0000BF0A0000}"/>
    <cellStyle name="_DEM-WP (C) Power Cost 2006GRC Order_Rebuttal Power Costs_Adj Bench DR 3 for Initial Briefs (Electric) 2" xfId="2759" xr:uid="{00000000-0005-0000-0000-0000C00A0000}"/>
    <cellStyle name="_DEM-WP (C) Power Cost 2006GRC Order_Rebuttal Power Costs_Adj Bench DR 3 for Initial Briefs (Electric) 2 2" xfId="2760" xr:uid="{00000000-0005-0000-0000-0000C10A0000}"/>
    <cellStyle name="_DEM-WP (C) Power Cost 2006GRC Order_Rebuttal Power Costs_Adj Bench DR 3 for Initial Briefs (Electric) 3" xfId="2761" xr:uid="{00000000-0005-0000-0000-0000C20A0000}"/>
    <cellStyle name="_DEM-WP (C) Power Cost 2006GRC Order_Rebuttal Power Costs_Electric Rev Req Model (2009 GRC) Rebuttal" xfId="2762" xr:uid="{00000000-0005-0000-0000-0000C30A0000}"/>
    <cellStyle name="_DEM-WP (C) Power Cost 2006GRC Order_Rebuttal Power Costs_Electric Rev Req Model (2009 GRC) Rebuttal 2" xfId="2763" xr:uid="{00000000-0005-0000-0000-0000C40A0000}"/>
    <cellStyle name="_DEM-WP (C) Power Cost 2006GRC Order_Rebuttal Power Costs_Electric Rev Req Model (2009 GRC) Rebuttal 2 2" xfId="2764" xr:uid="{00000000-0005-0000-0000-0000C50A0000}"/>
    <cellStyle name="_DEM-WP (C) Power Cost 2006GRC Order_Rebuttal Power Costs_Electric Rev Req Model (2009 GRC) Rebuttal 3" xfId="2765" xr:uid="{00000000-0005-0000-0000-0000C60A0000}"/>
    <cellStyle name="_DEM-WP (C) Power Cost 2006GRC Order_Rebuttal Power Costs_Electric Rev Req Model (2009 GRC) Rebuttal REmoval of New  WH Solar AdjustMI" xfId="2766" xr:uid="{00000000-0005-0000-0000-0000C70A0000}"/>
    <cellStyle name="_DEM-WP (C) Power Cost 2006GRC Order_Rebuttal Power Costs_Electric Rev Req Model (2009 GRC) Rebuttal REmoval of New  WH Solar AdjustMI 2" xfId="2767" xr:uid="{00000000-0005-0000-0000-0000C80A0000}"/>
    <cellStyle name="_DEM-WP (C) Power Cost 2006GRC Order_Rebuttal Power Costs_Electric Rev Req Model (2009 GRC) Rebuttal REmoval of New  WH Solar AdjustMI 2 2" xfId="2768" xr:uid="{00000000-0005-0000-0000-0000C90A0000}"/>
    <cellStyle name="_DEM-WP (C) Power Cost 2006GRC Order_Rebuttal Power Costs_Electric Rev Req Model (2009 GRC) Rebuttal REmoval of New  WH Solar AdjustMI 3" xfId="2769" xr:uid="{00000000-0005-0000-0000-0000CA0A0000}"/>
    <cellStyle name="_DEM-WP (C) Power Cost 2006GRC Order_Rebuttal Power Costs_Electric Rev Req Model (2009 GRC) Revised 01-18-2010" xfId="2770" xr:uid="{00000000-0005-0000-0000-0000CB0A0000}"/>
    <cellStyle name="_DEM-WP (C) Power Cost 2006GRC Order_Rebuttal Power Costs_Electric Rev Req Model (2009 GRC) Revised 01-18-2010 2" xfId="2771" xr:uid="{00000000-0005-0000-0000-0000CC0A0000}"/>
    <cellStyle name="_DEM-WP (C) Power Cost 2006GRC Order_Rebuttal Power Costs_Electric Rev Req Model (2009 GRC) Revised 01-18-2010 2 2" xfId="2772" xr:uid="{00000000-0005-0000-0000-0000CD0A0000}"/>
    <cellStyle name="_DEM-WP (C) Power Cost 2006GRC Order_Rebuttal Power Costs_Electric Rev Req Model (2009 GRC) Revised 01-18-2010 3" xfId="2773" xr:uid="{00000000-0005-0000-0000-0000CE0A0000}"/>
    <cellStyle name="_DEM-WP (C) Power Cost 2006GRC Order_Rebuttal Power Costs_Final Order Electric EXHIBIT A-1" xfId="2774" xr:uid="{00000000-0005-0000-0000-0000CF0A0000}"/>
    <cellStyle name="_DEM-WP (C) Power Cost 2006GRC Order_Rebuttal Power Costs_Final Order Electric EXHIBIT A-1 2" xfId="2775" xr:uid="{00000000-0005-0000-0000-0000D00A0000}"/>
    <cellStyle name="_DEM-WP (C) Power Cost 2006GRC Order_Rebuttal Power Costs_Final Order Electric EXHIBIT A-1 2 2" xfId="2776" xr:uid="{00000000-0005-0000-0000-0000D10A0000}"/>
    <cellStyle name="_DEM-WP (C) Power Cost 2006GRC Order_Rebuttal Power Costs_Final Order Electric EXHIBIT A-1 3" xfId="2777" xr:uid="{00000000-0005-0000-0000-0000D20A0000}"/>
    <cellStyle name="_DEM-WP (C) Power Cost 2006GRC Order_ROR 5.02" xfId="2778" xr:uid="{00000000-0005-0000-0000-0000D30A0000}"/>
    <cellStyle name="_DEM-WP (C) Power Cost 2006GRC Order_ROR 5.02 2" xfId="2779" xr:uid="{00000000-0005-0000-0000-0000D40A0000}"/>
    <cellStyle name="_DEM-WP (C) Power Cost 2006GRC Order_ROR 5.02 2 2" xfId="2780" xr:uid="{00000000-0005-0000-0000-0000D50A0000}"/>
    <cellStyle name="_DEM-WP (C) Power Cost 2006GRC Order_ROR 5.02 3" xfId="2781" xr:uid="{00000000-0005-0000-0000-0000D60A0000}"/>
    <cellStyle name="_DEM-WP (C) Power Cost 2006GRC Order_Scenario 1 REC vs PTC Offset" xfId="2782" xr:uid="{00000000-0005-0000-0000-0000D70A0000}"/>
    <cellStyle name="_DEM-WP (C) Power Cost 2006GRC Order_Scenario 3" xfId="2783" xr:uid="{00000000-0005-0000-0000-0000D80A0000}"/>
    <cellStyle name="_DEM-WP (C) Power Cost 2006GRC Order_Wind Integration 10GRC" xfId="2784" xr:uid="{00000000-0005-0000-0000-0000D90A0000}"/>
    <cellStyle name="_DEM-WP (C) Power Cost 2006GRC Order_Wind Integration 10GRC 2" xfId="2785" xr:uid="{00000000-0005-0000-0000-0000DA0A0000}"/>
    <cellStyle name="_DEM-WP Revised (HC) Wild Horse 2006GRC" xfId="2786" xr:uid="{00000000-0005-0000-0000-0000DB0A0000}"/>
    <cellStyle name="_DEM-WP Revised (HC) Wild Horse 2006GRC 2" xfId="2787" xr:uid="{00000000-0005-0000-0000-0000DC0A0000}"/>
    <cellStyle name="_DEM-WP Revised (HC) Wild Horse 2006GRC 2 2" xfId="2788" xr:uid="{00000000-0005-0000-0000-0000DD0A0000}"/>
    <cellStyle name="_DEM-WP Revised (HC) Wild Horse 2006GRC 3" xfId="2789" xr:uid="{00000000-0005-0000-0000-0000DE0A0000}"/>
    <cellStyle name="_DEM-WP Revised (HC) Wild Horse 2006GRC_16.37E Wild Horse Expansion DeferralRevwrkingfile SF" xfId="2790" xr:uid="{00000000-0005-0000-0000-0000DF0A0000}"/>
    <cellStyle name="_DEM-WP Revised (HC) Wild Horse 2006GRC_16.37E Wild Horse Expansion DeferralRevwrkingfile SF 2" xfId="2791" xr:uid="{00000000-0005-0000-0000-0000E00A0000}"/>
    <cellStyle name="_DEM-WP Revised (HC) Wild Horse 2006GRC_16.37E Wild Horse Expansion DeferralRevwrkingfile SF 2 2" xfId="2792" xr:uid="{00000000-0005-0000-0000-0000E10A0000}"/>
    <cellStyle name="_DEM-WP Revised (HC) Wild Horse 2006GRC_16.37E Wild Horse Expansion DeferralRevwrkingfile SF 3" xfId="2793" xr:uid="{00000000-0005-0000-0000-0000E20A0000}"/>
    <cellStyle name="_DEM-WP Revised (HC) Wild Horse 2006GRC_2009 GRC Compl Filing - Exhibit D" xfId="2794" xr:uid="{00000000-0005-0000-0000-0000E30A0000}"/>
    <cellStyle name="_DEM-WP Revised (HC) Wild Horse 2006GRC_2009 GRC Compl Filing - Exhibit D 2" xfId="2795" xr:uid="{00000000-0005-0000-0000-0000E40A0000}"/>
    <cellStyle name="_DEM-WP Revised (HC) Wild Horse 2006GRC_Adj Bench DR 3 for Initial Briefs (Electric)" xfId="2796" xr:uid="{00000000-0005-0000-0000-0000E50A0000}"/>
    <cellStyle name="_DEM-WP Revised (HC) Wild Horse 2006GRC_Adj Bench DR 3 for Initial Briefs (Electric) 2" xfId="2797" xr:uid="{00000000-0005-0000-0000-0000E60A0000}"/>
    <cellStyle name="_DEM-WP Revised (HC) Wild Horse 2006GRC_Adj Bench DR 3 for Initial Briefs (Electric) 2 2" xfId="2798" xr:uid="{00000000-0005-0000-0000-0000E70A0000}"/>
    <cellStyle name="_DEM-WP Revised (HC) Wild Horse 2006GRC_Adj Bench DR 3 for Initial Briefs (Electric) 3" xfId="2799" xr:uid="{00000000-0005-0000-0000-0000E80A0000}"/>
    <cellStyle name="_DEM-WP Revised (HC) Wild Horse 2006GRC_Book1" xfId="2800" xr:uid="{00000000-0005-0000-0000-0000E90A0000}"/>
    <cellStyle name="_DEM-WP Revised (HC) Wild Horse 2006GRC_Book2" xfId="2801" xr:uid="{00000000-0005-0000-0000-0000EA0A0000}"/>
    <cellStyle name="_DEM-WP Revised (HC) Wild Horse 2006GRC_Book2 2" xfId="2802" xr:uid="{00000000-0005-0000-0000-0000EB0A0000}"/>
    <cellStyle name="_DEM-WP Revised (HC) Wild Horse 2006GRC_Book2 2 2" xfId="2803" xr:uid="{00000000-0005-0000-0000-0000EC0A0000}"/>
    <cellStyle name="_DEM-WP Revised (HC) Wild Horse 2006GRC_Book2 3" xfId="2804" xr:uid="{00000000-0005-0000-0000-0000ED0A0000}"/>
    <cellStyle name="_DEM-WP Revised (HC) Wild Horse 2006GRC_Book4" xfId="2805" xr:uid="{00000000-0005-0000-0000-0000EE0A0000}"/>
    <cellStyle name="_DEM-WP Revised (HC) Wild Horse 2006GRC_Book4 2" xfId="2806" xr:uid="{00000000-0005-0000-0000-0000EF0A0000}"/>
    <cellStyle name="_DEM-WP Revised (HC) Wild Horse 2006GRC_Book4 2 2" xfId="2807" xr:uid="{00000000-0005-0000-0000-0000F00A0000}"/>
    <cellStyle name="_DEM-WP Revised (HC) Wild Horse 2006GRC_Book4 3" xfId="2808" xr:uid="{00000000-0005-0000-0000-0000F10A0000}"/>
    <cellStyle name="_DEM-WP Revised (HC) Wild Horse 2006GRC_Electric Rev Req Model (2009 GRC) " xfId="2809" xr:uid="{00000000-0005-0000-0000-0000F20A0000}"/>
    <cellStyle name="_DEM-WP Revised (HC) Wild Horse 2006GRC_Electric Rev Req Model (2009 GRC)  2" xfId="2810" xr:uid="{00000000-0005-0000-0000-0000F30A0000}"/>
    <cellStyle name="_DEM-WP Revised (HC) Wild Horse 2006GRC_Electric Rev Req Model (2009 GRC)  2 2" xfId="2811" xr:uid="{00000000-0005-0000-0000-0000F40A0000}"/>
    <cellStyle name="_DEM-WP Revised (HC) Wild Horse 2006GRC_Electric Rev Req Model (2009 GRC)  3" xfId="2812" xr:uid="{00000000-0005-0000-0000-0000F50A0000}"/>
    <cellStyle name="_DEM-WP Revised (HC) Wild Horse 2006GRC_Electric Rev Req Model (2009 GRC) Rebuttal" xfId="2813" xr:uid="{00000000-0005-0000-0000-0000F60A0000}"/>
    <cellStyle name="_DEM-WP Revised (HC) Wild Horse 2006GRC_Electric Rev Req Model (2009 GRC) Rebuttal 2" xfId="2814" xr:uid="{00000000-0005-0000-0000-0000F70A0000}"/>
    <cellStyle name="_DEM-WP Revised (HC) Wild Horse 2006GRC_Electric Rev Req Model (2009 GRC) Rebuttal 2 2" xfId="2815" xr:uid="{00000000-0005-0000-0000-0000F80A0000}"/>
    <cellStyle name="_DEM-WP Revised (HC) Wild Horse 2006GRC_Electric Rev Req Model (2009 GRC) Rebuttal 3" xfId="2816" xr:uid="{00000000-0005-0000-0000-0000F90A0000}"/>
    <cellStyle name="_DEM-WP Revised (HC) Wild Horse 2006GRC_Electric Rev Req Model (2009 GRC) Rebuttal REmoval of New  WH Solar AdjustMI" xfId="2817" xr:uid="{00000000-0005-0000-0000-0000FA0A0000}"/>
    <cellStyle name="_DEM-WP Revised (HC) Wild Horse 2006GRC_Electric Rev Req Model (2009 GRC) Rebuttal REmoval of New  WH Solar AdjustMI 2" xfId="2818" xr:uid="{00000000-0005-0000-0000-0000FB0A0000}"/>
    <cellStyle name="_DEM-WP Revised (HC) Wild Horse 2006GRC_Electric Rev Req Model (2009 GRC) Rebuttal REmoval of New  WH Solar AdjustMI 2 2" xfId="2819" xr:uid="{00000000-0005-0000-0000-0000FC0A0000}"/>
    <cellStyle name="_DEM-WP Revised (HC) Wild Horse 2006GRC_Electric Rev Req Model (2009 GRC) Rebuttal REmoval of New  WH Solar AdjustMI 3" xfId="2820" xr:uid="{00000000-0005-0000-0000-0000FD0A0000}"/>
    <cellStyle name="_DEM-WP Revised (HC) Wild Horse 2006GRC_Electric Rev Req Model (2009 GRC) Revised 01-18-2010" xfId="2821" xr:uid="{00000000-0005-0000-0000-0000FE0A0000}"/>
    <cellStyle name="_DEM-WP Revised (HC) Wild Horse 2006GRC_Electric Rev Req Model (2009 GRC) Revised 01-18-2010 2" xfId="2822" xr:uid="{00000000-0005-0000-0000-0000FF0A0000}"/>
    <cellStyle name="_DEM-WP Revised (HC) Wild Horse 2006GRC_Electric Rev Req Model (2009 GRC) Revised 01-18-2010 2 2" xfId="2823" xr:uid="{00000000-0005-0000-0000-0000000B0000}"/>
    <cellStyle name="_DEM-WP Revised (HC) Wild Horse 2006GRC_Electric Rev Req Model (2009 GRC) Revised 01-18-2010 3" xfId="2824" xr:uid="{00000000-0005-0000-0000-0000010B0000}"/>
    <cellStyle name="_DEM-WP Revised (HC) Wild Horse 2006GRC_Electric Rev Req Model (2010 GRC)" xfId="2825" xr:uid="{00000000-0005-0000-0000-0000020B0000}"/>
    <cellStyle name="_DEM-WP Revised (HC) Wild Horse 2006GRC_Electric Rev Req Model (2010 GRC) SF" xfId="2826" xr:uid="{00000000-0005-0000-0000-0000030B0000}"/>
    <cellStyle name="_DEM-WP Revised (HC) Wild Horse 2006GRC_Final Order Electric" xfId="2827" xr:uid="{00000000-0005-0000-0000-0000040B0000}"/>
    <cellStyle name="_DEM-WP Revised (HC) Wild Horse 2006GRC_Final Order Electric EXHIBIT A-1" xfId="2828" xr:uid="{00000000-0005-0000-0000-0000050B0000}"/>
    <cellStyle name="_DEM-WP Revised (HC) Wild Horse 2006GRC_Final Order Electric EXHIBIT A-1 2" xfId="2829" xr:uid="{00000000-0005-0000-0000-0000060B0000}"/>
    <cellStyle name="_DEM-WP Revised (HC) Wild Horse 2006GRC_Final Order Electric EXHIBIT A-1 2 2" xfId="2830" xr:uid="{00000000-0005-0000-0000-0000070B0000}"/>
    <cellStyle name="_DEM-WP Revised (HC) Wild Horse 2006GRC_Final Order Electric EXHIBIT A-1 3" xfId="2831" xr:uid="{00000000-0005-0000-0000-0000080B0000}"/>
    <cellStyle name="_DEM-WP Revised (HC) Wild Horse 2006GRC_NIM Summary" xfId="2832" xr:uid="{00000000-0005-0000-0000-0000090B0000}"/>
    <cellStyle name="_DEM-WP Revised (HC) Wild Horse 2006GRC_NIM Summary 2" xfId="2833" xr:uid="{00000000-0005-0000-0000-00000A0B0000}"/>
    <cellStyle name="_DEM-WP Revised (HC) Wild Horse 2006GRC_Power Costs - Comparison bx Rbtl-Staff-Jt-PC" xfId="2834" xr:uid="{00000000-0005-0000-0000-00000B0B0000}"/>
    <cellStyle name="_DEM-WP Revised (HC) Wild Horse 2006GRC_Power Costs - Comparison bx Rbtl-Staff-Jt-PC 2" xfId="2835" xr:uid="{00000000-0005-0000-0000-00000C0B0000}"/>
    <cellStyle name="_DEM-WP Revised (HC) Wild Horse 2006GRC_Power Costs - Comparison bx Rbtl-Staff-Jt-PC 2 2" xfId="2836" xr:uid="{00000000-0005-0000-0000-00000D0B0000}"/>
    <cellStyle name="_DEM-WP Revised (HC) Wild Horse 2006GRC_Power Costs - Comparison bx Rbtl-Staff-Jt-PC 3" xfId="2837" xr:uid="{00000000-0005-0000-0000-00000E0B0000}"/>
    <cellStyle name="_DEM-WP Revised (HC) Wild Horse 2006GRC_Rebuttal Power Costs" xfId="2838" xr:uid="{00000000-0005-0000-0000-00000F0B0000}"/>
    <cellStyle name="_DEM-WP Revised (HC) Wild Horse 2006GRC_Rebuttal Power Costs 2" xfId="2839" xr:uid="{00000000-0005-0000-0000-0000100B0000}"/>
    <cellStyle name="_DEM-WP Revised (HC) Wild Horse 2006GRC_Rebuttal Power Costs 2 2" xfId="2840" xr:uid="{00000000-0005-0000-0000-0000110B0000}"/>
    <cellStyle name="_DEM-WP Revised (HC) Wild Horse 2006GRC_Rebuttal Power Costs 3" xfId="2841" xr:uid="{00000000-0005-0000-0000-0000120B0000}"/>
    <cellStyle name="_DEM-WP Revised (HC) Wild Horse 2006GRC_TENASKA REGULATORY ASSET" xfId="2842" xr:uid="{00000000-0005-0000-0000-0000130B0000}"/>
    <cellStyle name="_DEM-WP Revised (HC) Wild Horse 2006GRC_TENASKA REGULATORY ASSET 2" xfId="2843" xr:uid="{00000000-0005-0000-0000-0000140B0000}"/>
    <cellStyle name="_DEM-WP Revised (HC) Wild Horse 2006GRC_TENASKA REGULATORY ASSET 2 2" xfId="2844" xr:uid="{00000000-0005-0000-0000-0000150B0000}"/>
    <cellStyle name="_DEM-WP Revised (HC) Wild Horse 2006GRC_TENASKA REGULATORY ASSET 3" xfId="2845" xr:uid="{00000000-0005-0000-0000-0000160B0000}"/>
    <cellStyle name="_x0013__DEM-WP(C) Colstrip 12 Coal Cost Forecast 2010GRC" xfId="2846" xr:uid="{00000000-0005-0000-0000-0000170B0000}"/>
    <cellStyle name="_DEM-WP(C) Colstrip FOR" xfId="2847" xr:uid="{00000000-0005-0000-0000-0000180B0000}"/>
    <cellStyle name="_DEM-WP(C) Colstrip FOR 2" xfId="2848" xr:uid="{00000000-0005-0000-0000-0000190B0000}"/>
    <cellStyle name="_DEM-WP(C) Colstrip FOR 2 2" xfId="2849" xr:uid="{00000000-0005-0000-0000-00001A0B0000}"/>
    <cellStyle name="_DEM-WP(C) Colstrip FOR 3" xfId="2850" xr:uid="{00000000-0005-0000-0000-00001B0B0000}"/>
    <cellStyle name="_DEM-WP(C) Colstrip FOR Apr08 update" xfId="2851" xr:uid="{00000000-0005-0000-0000-00001C0B0000}"/>
    <cellStyle name="_DEM-WP(C) Colstrip FOR_(C) WHE Proforma with ITC cash grant 10 Yr Amort_for rebuttal_120709" xfId="2852" xr:uid="{00000000-0005-0000-0000-00001D0B0000}"/>
    <cellStyle name="_DEM-WP(C) Colstrip FOR_(C) WHE Proforma with ITC cash grant 10 Yr Amort_for rebuttal_120709 2" xfId="2853" xr:uid="{00000000-0005-0000-0000-00001E0B0000}"/>
    <cellStyle name="_DEM-WP(C) Colstrip FOR_(C) WHE Proforma with ITC cash grant 10 Yr Amort_for rebuttal_120709 2 2" xfId="2854" xr:uid="{00000000-0005-0000-0000-00001F0B0000}"/>
    <cellStyle name="_DEM-WP(C) Colstrip FOR_(C) WHE Proforma with ITC cash grant 10 Yr Amort_for rebuttal_120709 3" xfId="2855" xr:uid="{00000000-0005-0000-0000-0000200B0000}"/>
    <cellStyle name="_DEM-WP(C) Colstrip FOR_16.07E Wild Horse Wind Expansionwrkingfile" xfId="2856" xr:uid="{00000000-0005-0000-0000-0000210B0000}"/>
    <cellStyle name="_DEM-WP(C) Colstrip FOR_16.07E Wild Horse Wind Expansionwrkingfile 2" xfId="2857" xr:uid="{00000000-0005-0000-0000-0000220B0000}"/>
    <cellStyle name="_DEM-WP(C) Colstrip FOR_16.07E Wild Horse Wind Expansionwrkingfile 2 2" xfId="2858" xr:uid="{00000000-0005-0000-0000-0000230B0000}"/>
    <cellStyle name="_DEM-WP(C) Colstrip FOR_16.07E Wild Horse Wind Expansionwrkingfile 3" xfId="2859" xr:uid="{00000000-0005-0000-0000-0000240B0000}"/>
    <cellStyle name="_DEM-WP(C) Colstrip FOR_16.07E Wild Horse Wind Expansionwrkingfile SF" xfId="2860" xr:uid="{00000000-0005-0000-0000-0000250B0000}"/>
    <cellStyle name="_DEM-WP(C) Colstrip FOR_16.07E Wild Horse Wind Expansionwrkingfile SF 2" xfId="2861" xr:uid="{00000000-0005-0000-0000-0000260B0000}"/>
    <cellStyle name="_DEM-WP(C) Colstrip FOR_16.07E Wild Horse Wind Expansionwrkingfile SF 2 2" xfId="2862" xr:uid="{00000000-0005-0000-0000-0000270B0000}"/>
    <cellStyle name="_DEM-WP(C) Colstrip FOR_16.07E Wild Horse Wind Expansionwrkingfile SF 3" xfId="2863" xr:uid="{00000000-0005-0000-0000-0000280B0000}"/>
    <cellStyle name="_DEM-WP(C) Colstrip FOR_16.37E Wild Horse Expansion DeferralRevwrkingfile SF" xfId="2864" xr:uid="{00000000-0005-0000-0000-0000290B0000}"/>
    <cellStyle name="_DEM-WP(C) Colstrip FOR_16.37E Wild Horse Expansion DeferralRevwrkingfile SF 2" xfId="2865" xr:uid="{00000000-0005-0000-0000-00002A0B0000}"/>
    <cellStyle name="_DEM-WP(C) Colstrip FOR_16.37E Wild Horse Expansion DeferralRevwrkingfile SF 2 2" xfId="2866" xr:uid="{00000000-0005-0000-0000-00002B0B0000}"/>
    <cellStyle name="_DEM-WP(C) Colstrip FOR_16.37E Wild Horse Expansion DeferralRevwrkingfile SF 3" xfId="2867" xr:uid="{00000000-0005-0000-0000-00002C0B0000}"/>
    <cellStyle name="_DEM-WP(C) Colstrip FOR_Adj Bench DR 3 for Initial Briefs (Electric)" xfId="2868" xr:uid="{00000000-0005-0000-0000-00002D0B0000}"/>
    <cellStyle name="_DEM-WP(C) Colstrip FOR_Adj Bench DR 3 for Initial Briefs (Electric) 2" xfId="2869" xr:uid="{00000000-0005-0000-0000-00002E0B0000}"/>
    <cellStyle name="_DEM-WP(C) Colstrip FOR_Adj Bench DR 3 for Initial Briefs (Electric) 2 2" xfId="2870" xr:uid="{00000000-0005-0000-0000-00002F0B0000}"/>
    <cellStyle name="_DEM-WP(C) Colstrip FOR_Adj Bench DR 3 for Initial Briefs (Electric) 3" xfId="2871" xr:uid="{00000000-0005-0000-0000-0000300B0000}"/>
    <cellStyle name="_DEM-WP(C) Colstrip FOR_Book2" xfId="2872" xr:uid="{00000000-0005-0000-0000-0000310B0000}"/>
    <cellStyle name="_DEM-WP(C) Colstrip FOR_Book2 2" xfId="2873" xr:uid="{00000000-0005-0000-0000-0000320B0000}"/>
    <cellStyle name="_DEM-WP(C) Colstrip FOR_Book2 2 2" xfId="2874" xr:uid="{00000000-0005-0000-0000-0000330B0000}"/>
    <cellStyle name="_DEM-WP(C) Colstrip FOR_Book2 3" xfId="2875" xr:uid="{00000000-0005-0000-0000-0000340B0000}"/>
    <cellStyle name="_DEM-WP(C) Colstrip FOR_Book2_Adj Bench DR 3 for Initial Briefs (Electric)" xfId="2876" xr:uid="{00000000-0005-0000-0000-0000350B0000}"/>
    <cellStyle name="_DEM-WP(C) Colstrip FOR_Book2_Adj Bench DR 3 for Initial Briefs (Electric) 2" xfId="2877" xr:uid="{00000000-0005-0000-0000-0000360B0000}"/>
    <cellStyle name="_DEM-WP(C) Colstrip FOR_Book2_Adj Bench DR 3 for Initial Briefs (Electric) 2 2" xfId="2878" xr:uid="{00000000-0005-0000-0000-0000370B0000}"/>
    <cellStyle name="_DEM-WP(C) Colstrip FOR_Book2_Adj Bench DR 3 for Initial Briefs (Electric) 3" xfId="2879" xr:uid="{00000000-0005-0000-0000-0000380B0000}"/>
    <cellStyle name="_DEM-WP(C) Colstrip FOR_Book2_Electric Rev Req Model (2009 GRC) Rebuttal" xfId="2880" xr:uid="{00000000-0005-0000-0000-0000390B0000}"/>
    <cellStyle name="_DEM-WP(C) Colstrip FOR_Book2_Electric Rev Req Model (2009 GRC) Rebuttal 2" xfId="2881" xr:uid="{00000000-0005-0000-0000-00003A0B0000}"/>
    <cellStyle name="_DEM-WP(C) Colstrip FOR_Book2_Electric Rev Req Model (2009 GRC) Rebuttal 2 2" xfId="2882" xr:uid="{00000000-0005-0000-0000-00003B0B0000}"/>
    <cellStyle name="_DEM-WP(C) Colstrip FOR_Book2_Electric Rev Req Model (2009 GRC) Rebuttal 3" xfId="2883" xr:uid="{00000000-0005-0000-0000-00003C0B0000}"/>
    <cellStyle name="_DEM-WP(C) Colstrip FOR_Book2_Electric Rev Req Model (2009 GRC) Rebuttal REmoval of New  WH Solar AdjustMI" xfId="2884" xr:uid="{00000000-0005-0000-0000-00003D0B0000}"/>
    <cellStyle name="_DEM-WP(C) Colstrip FOR_Book2_Electric Rev Req Model (2009 GRC) Rebuttal REmoval of New  WH Solar AdjustMI 2" xfId="2885" xr:uid="{00000000-0005-0000-0000-00003E0B0000}"/>
    <cellStyle name="_DEM-WP(C) Colstrip FOR_Book2_Electric Rev Req Model (2009 GRC) Rebuttal REmoval of New  WH Solar AdjustMI 2 2" xfId="2886" xr:uid="{00000000-0005-0000-0000-00003F0B0000}"/>
    <cellStyle name="_DEM-WP(C) Colstrip FOR_Book2_Electric Rev Req Model (2009 GRC) Rebuttal REmoval of New  WH Solar AdjustMI 3" xfId="2887" xr:uid="{00000000-0005-0000-0000-0000400B0000}"/>
    <cellStyle name="_DEM-WP(C) Colstrip FOR_Book2_Electric Rev Req Model (2009 GRC) Revised 01-18-2010" xfId="2888" xr:uid="{00000000-0005-0000-0000-0000410B0000}"/>
    <cellStyle name="_DEM-WP(C) Colstrip FOR_Book2_Electric Rev Req Model (2009 GRC) Revised 01-18-2010 2" xfId="2889" xr:uid="{00000000-0005-0000-0000-0000420B0000}"/>
    <cellStyle name="_DEM-WP(C) Colstrip FOR_Book2_Electric Rev Req Model (2009 GRC) Revised 01-18-2010 2 2" xfId="2890" xr:uid="{00000000-0005-0000-0000-0000430B0000}"/>
    <cellStyle name="_DEM-WP(C) Colstrip FOR_Book2_Electric Rev Req Model (2009 GRC) Revised 01-18-2010 3" xfId="2891" xr:uid="{00000000-0005-0000-0000-0000440B0000}"/>
    <cellStyle name="_DEM-WP(C) Colstrip FOR_Book2_Final Order Electric EXHIBIT A-1" xfId="2892" xr:uid="{00000000-0005-0000-0000-0000450B0000}"/>
    <cellStyle name="_DEM-WP(C) Colstrip FOR_Book2_Final Order Electric EXHIBIT A-1 2" xfId="2893" xr:uid="{00000000-0005-0000-0000-0000460B0000}"/>
    <cellStyle name="_DEM-WP(C) Colstrip FOR_Book2_Final Order Electric EXHIBIT A-1 2 2" xfId="2894" xr:uid="{00000000-0005-0000-0000-0000470B0000}"/>
    <cellStyle name="_DEM-WP(C) Colstrip FOR_Book2_Final Order Electric EXHIBIT A-1 3" xfId="2895" xr:uid="{00000000-0005-0000-0000-0000480B0000}"/>
    <cellStyle name="_DEM-WP(C) Colstrip FOR_Confidential Material" xfId="2896" xr:uid="{00000000-0005-0000-0000-0000490B0000}"/>
    <cellStyle name="_DEM-WP(C) Colstrip FOR_DEM-WP(C) Colstrip 12 Coal Cost Forecast 2010GRC" xfId="2897" xr:uid="{00000000-0005-0000-0000-00004A0B0000}"/>
    <cellStyle name="_DEM-WP(C) Colstrip FOR_DEM-WP(C) Production O&amp;M 2010GRC As-Filed" xfId="2898" xr:uid="{00000000-0005-0000-0000-00004B0B0000}"/>
    <cellStyle name="_DEM-WP(C) Colstrip FOR_DEM-WP(C) Production O&amp;M 2010GRC As-Filed 2" xfId="2899" xr:uid="{00000000-0005-0000-0000-00004C0B0000}"/>
    <cellStyle name="_DEM-WP(C) Colstrip FOR_Electric Rev Req Model (2009 GRC) Rebuttal" xfId="2900" xr:uid="{00000000-0005-0000-0000-00004D0B0000}"/>
    <cellStyle name="_DEM-WP(C) Colstrip FOR_Electric Rev Req Model (2009 GRC) Rebuttal 2" xfId="2901" xr:uid="{00000000-0005-0000-0000-00004E0B0000}"/>
    <cellStyle name="_DEM-WP(C) Colstrip FOR_Electric Rev Req Model (2009 GRC) Rebuttal 2 2" xfId="2902" xr:uid="{00000000-0005-0000-0000-00004F0B0000}"/>
    <cellStyle name="_DEM-WP(C) Colstrip FOR_Electric Rev Req Model (2009 GRC) Rebuttal 3" xfId="2903" xr:uid="{00000000-0005-0000-0000-0000500B0000}"/>
    <cellStyle name="_DEM-WP(C) Colstrip FOR_Electric Rev Req Model (2009 GRC) Rebuttal REmoval of New  WH Solar AdjustMI" xfId="2904" xr:uid="{00000000-0005-0000-0000-0000510B0000}"/>
    <cellStyle name="_DEM-WP(C) Colstrip FOR_Electric Rev Req Model (2009 GRC) Rebuttal REmoval of New  WH Solar AdjustMI 2" xfId="2905" xr:uid="{00000000-0005-0000-0000-0000520B0000}"/>
    <cellStyle name="_DEM-WP(C) Colstrip FOR_Electric Rev Req Model (2009 GRC) Rebuttal REmoval of New  WH Solar AdjustMI 2 2" xfId="2906" xr:uid="{00000000-0005-0000-0000-0000530B0000}"/>
    <cellStyle name="_DEM-WP(C) Colstrip FOR_Electric Rev Req Model (2009 GRC) Rebuttal REmoval of New  WH Solar AdjustMI 3" xfId="2907" xr:uid="{00000000-0005-0000-0000-0000540B0000}"/>
    <cellStyle name="_DEM-WP(C) Colstrip FOR_Electric Rev Req Model (2009 GRC) Revised 01-18-2010" xfId="2908" xr:uid="{00000000-0005-0000-0000-0000550B0000}"/>
    <cellStyle name="_DEM-WP(C) Colstrip FOR_Electric Rev Req Model (2009 GRC) Revised 01-18-2010 2" xfId="2909" xr:uid="{00000000-0005-0000-0000-0000560B0000}"/>
    <cellStyle name="_DEM-WP(C) Colstrip FOR_Electric Rev Req Model (2009 GRC) Revised 01-18-2010 2 2" xfId="2910" xr:uid="{00000000-0005-0000-0000-0000570B0000}"/>
    <cellStyle name="_DEM-WP(C) Colstrip FOR_Electric Rev Req Model (2009 GRC) Revised 01-18-2010 3" xfId="2911" xr:uid="{00000000-0005-0000-0000-0000580B0000}"/>
    <cellStyle name="_DEM-WP(C) Colstrip FOR_Final Order Electric EXHIBIT A-1" xfId="2912" xr:uid="{00000000-0005-0000-0000-0000590B0000}"/>
    <cellStyle name="_DEM-WP(C) Colstrip FOR_Final Order Electric EXHIBIT A-1 2" xfId="2913" xr:uid="{00000000-0005-0000-0000-00005A0B0000}"/>
    <cellStyle name="_DEM-WP(C) Colstrip FOR_Final Order Electric EXHIBIT A-1 2 2" xfId="2914" xr:uid="{00000000-0005-0000-0000-00005B0B0000}"/>
    <cellStyle name="_DEM-WP(C) Colstrip FOR_Final Order Electric EXHIBIT A-1 3" xfId="2915" xr:uid="{00000000-0005-0000-0000-00005C0B0000}"/>
    <cellStyle name="_DEM-WP(C) Colstrip FOR_Rebuttal Power Costs" xfId="2916" xr:uid="{00000000-0005-0000-0000-00005D0B0000}"/>
    <cellStyle name="_DEM-WP(C) Colstrip FOR_Rebuttal Power Costs 2" xfId="2917" xr:uid="{00000000-0005-0000-0000-00005E0B0000}"/>
    <cellStyle name="_DEM-WP(C) Colstrip FOR_Rebuttal Power Costs 2 2" xfId="2918" xr:uid="{00000000-0005-0000-0000-00005F0B0000}"/>
    <cellStyle name="_DEM-WP(C) Colstrip FOR_Rebuttal Power Costs 3" xfId="2919" xr:uid="{00000000-0005-0000-0000-0000600B0000}"/>
    <cellStyle name="_DEM-WP(C) Colstrip FOR_Rebuttal Power Costs_Adj Bench DR 3 for Initial Briefs (Electric)" xfId="2920" xr:uid="{00000000-0005-0000-0000-0000610B0000}"/>
    <cellStyle name="_DEM-WP(C) Colstrip FOR_Rebuttal Power Costs_Adj Bench DR 3 for Initial Briefs (Electric) 2" xfId="2921" xr:uid="{00000000-0005-0000-0000-0000620B0000}"/>
    <cellStyle name="_DEM-WP(C) Colstrip FOR_Rebuttal Power Costs_Adj Bench DR 3 for Initial Briefs (Electric) 2 2" xfId="2922" xr:uid="{00000000-0005-0000-0000-0000630B0000}"/>
    <cellStyle name="_DEM-WP(C) Colstrip FOR_Rebuttal Power Costs_Adj Bench DR 3 for Initial Briefs (Electric) 3" xfId="2923" xr:uid="{00000000-0005-0000-0000-0000640B0000}"/>
    <cellStyle name="_DEM-WP(C) Colstrip FOR_Rebuttal Power Costs_Electric Rev Req Model (2009 GRC) Rebuttal" xfId="2924" xr:uid="{00000000-0005-0000-0000-0000650B0000}"/>
    <cellStyle name="_DEM-WP(C) Colstrip FOR_Rebuttal Power Costs_Electric Rev Req Model (2009 GRC) Rebuttal 2" xfId="2925" xr:uid="{00000000-0005-0000-0000-0000660B0000}"/>
    <cellStyle name="_DEM-WP(C) Colstrip FOR_Rebuttal Power Costs_Electric Rev Req Model (2009 GRC) Rebuttal 2 2" xfId="2926" xr:uid="{00000000-0005-0000-0000-0000670B0000}"/>
    <cellStyle name="_DEM-WP(C) Colstrip FOR_Rebuttal Power Costs_Electric Rev Req Model (2009 GRC) Rebuttal 3" xfId="2927" xr:uid="{00000000-0005-0000-0000-0000680B0000}"/>
    <cellStyle name="_DEM-WP(C) Colstrip FOR_Rebuttal Power Costs_Electric Rev Req Model (2009 GRC) Rebuttal REmoval of New  WH Solar AdjustMI" xfId="2928" xr:uid="{00000000-0005-0000-0000-0000690B0000}"/>
    <cellStyle name="_DEM-WP(C) Colstrip FOR_Rebuttal Power Costs_Electric Rev Req Model (2009 GRC) Rebuttal REmoval of New  WH Solar AdjustMI 2" xfId="2929" xr:uid="{00000000-0005-0000-0000-00006A0B0000}"/>
    <cellStyle name="_DEM-WP(C) Colstrip FOR_Rebuttal Power Costs_Electric Rev Req Model (2009 GRC) Rebuttal REmoval of New  WH Solar AdjustMI 2 2" xfId="2930" xr:uid="{00000000-0005-0000-0000-00006B0B0000}"/>
    <cellStyle name="_DEM-WP(C) Colstrip FOR_Rebuttal Power Costs_Electric Rev Req Model (2009 GRC) Rebuttal REmoval of New  WH Solar AdjustMI 3" xfId="2931" xr:uid="{00000000-0005-0000-0000-00006C0B0000}"/>
    <cellStyle name="_DEM-WP(C) Colstrip FOR_Rebuttal Power Costs_Electric Rev Req Model (2009 GRC) Revised 01-18-2010" xfId="2932" xr:uid="{00000000-0005-0000-0000-00006D0B0000}"/>
    <cellStyle name="_DEM-WP(C) Colstrip FOR_Rebuttal Power Costs_Electric Rev Req Model (2009 GRC) Revised 01-18-2010 2" xfId="2933" xr:uid="{00000000-0005-0000-0000-00006E0B0000}"/>
    <cellStyle name="_DEM-WP(C) Colstrip FOR_Rebuttal Power Costs_Electric Rev Req Model (2009 GRC) Revised 01-18-2010 2 2" xfId="2934" xr:uid="{00000000-0005-0000-0000-00006F0B0000}"/>
    <cellStyle name="_DEM-WP(C) Colstrip FOR_Rebuttal Power Costs_Electric Rev Req Model (2009 GRC) Revised 01-18-2010 3" xfId="2935" xr:uid="{00000000-0005-0000-0000-0000700B0000}"/>
    <cellStyle name="_DEM-WP(C) Colstrip FOR_Rebuttal Power Costs_Final Order Electric EXHIBIT A-1" xfId="2936" xr:uid="{00000000-0005-0000-0000-0000710B0000}"/>
    <cellStyle name="_DEM-WP(C) Colstrip FOR_Rebuttal Power Costs_Final Order Electric EXHIBIT A-1 2" xfId="2937" xr:uid="{00000000-0005-0000-0000-0000720B0000}"/>
    <cellStyle name="_DEM-WP(C) Colstrip FOR_Rebuttal Power Costs_Final Order Electric EXHIBIT A-1 2 2" xfId="2938" xr:uid="{00000000-0005-0000-0000-0000730B0000}"/>
    <cellStyle name="_DEM-WP(C) Colstrip FOR_Rebuttal Power Costs_Final Order Electric EXHIBIT A-1 3" xfId="2939" xr:uid="{00000000-0005-0000-0000-0000740B0000}"/>
    <cellStyle name="_DEM-WP(C) Colstrip FOR_TENASKA REGULATORY ASSET" xfId="2940" xr:uid="{00000000-0005-0000-0000-0000750B0000}"/>
    <cellStyle name="_DEM-WP(C) Colstrip FOR_TENASKA REGULATORY ASSET 2" xfId="2941" xr:uid="{00000000-0005-0000-0000-0000760B0000}"/>
    <cellStyle name="_DEM-WP(C) Colstrip FOR_TENASKA REGULATORY ASSET 2 2" xfId="2942" xr:uid="{00000000-0005-0000-0000-0000770B0000}"/>
    <cellStyle name="_DEM-WP(C) Colstrip FOR_TENASKA REGULATORY ASSET 3" xfId="2943" xr:uid="{00000000-0005-0000-0000-0000780B0000}"/>
    <cellStyle name="_DEM-WP(C) Costs not in AURORA 2006GRC" xfId="2944" xr:uid="{00000000-0005-0000-0000-0000790B0000}"/>
    <cellStyle name="_DEM-WP(C) Costs not in AURORA 2006GRC 2" xfId="2945" xr:uid="{00000000-0005-0000-0000-00007A0B0000}"/>
    <cellStyle name="_DEM-WP(C) Costs not in AURORA 2006GRC 2 2" xfId="2946" xr:uid="{00000000-0005-0000-0000-00007B0B0000}"/>
    <cellStyle name="_DEM-WP(C) Costs not in AURORA 2006GRC 2 2 2" xfId="2947" xr:uid="{00000000-0005-0000-0000-00007C0B0000}"/>
    <cellStyle name="_DEM-WP(C) Costs not in AURORA 2006GRC 2 3" xfId="2948" xr:uid="{00000000-0005-0000-0000-00007D0B0000}"/>
    <cellStyle name="_DEM-WP(C) Costs not in AURORA 2006GRC 3" xfId="2949" xr:uid="{00000000-0005-0000-0000-00007E0B0000}"/>
    <cellStyle name="_DEM-WP(C) Costs not in AURORA 2006GRC 3 2" xfId="2950" xr:uid="{00000000-0005-0000-0000-00007F0B0000}"/>
    <cellStyle name="_DEM-WP(C) Costs not in AURORA 2006GRC 4" xfId="2951" xr:uid="{00000000-0005-0000-0000-0000800B0000}"/>
    <cellStyle name="_DEM-WP(C) Costs not in AURORA 2006GRC 4 2" xfId="2952" xr:uid="{00000000-0005-0000-0000-0000810B0000}"/>
    <cellStyle name="_DEM-WP(C) Costs not in AURORA 2006GRC 5" xfId="2953" xr:uid="{00000000-0005-0000-0000-0000820B0000}"/>
    <cellStyle name="_DEM-WP(C) Costs not in AURORA 2006GRC_(C) WHE Proforma with ITC cash grant 10 Yr Amort_for deferral_102809" xfId="2954" xr:uid="{00000000-0005-0000-0000-0000830B0000}"/>
    <cellStyle name="_DEM-WP(C) Costs not in AURORA 2006GRC_(C) WHE Proforma with ITC cash grant 10 Yr Amort_for deferral_102809 2" xfId="2955" xr:uid="{00000000-0005-0000-0000-0000840B0000}"/>
    <cellStyle name="_DEM-WP(C) Costs not in AURORA 2006GRC_(C) WHE Proforma with ITC cash grant 10 Yr Amort_for deferral_102809 2 2" xfId="2956" xr:uid="{00000000-0005-0000-0000-0000850B0000}"/>
    <cellStyle name="_DEM-WP(C) Costs not in AURORA 2006GRC_(C) WHE Proforma with ITC cash grant 10 Yr Amort_for deferral_102809 3" xfId="2957" xr:uid="{00000000-0005-0000-0000-0000860B0000}"/>
    <cellStyle name="_DEM-WP(C) Costs not in AURORA 2006GRC_(C) WHE Proforma with ITC cash grant 10 Yr Amort_for deferral_102809_16.07E Wild Horse Wind Expansionwrkingfile" xfId="2958" xr:uid="{00000000-0005-0000-0000-0000870B0000}"/>
    <cellStyle name="_DEM-WP(C) Costs not in AURORA 2006GRC_(C) WHE Proforma with ITC cash grant 10 Yr Amort_for deferral_102809_16.07E Wild Horse Wind Expansionwrkingfile 2" xfId="2959" xr:uid="{00000000-0005-0000-0000-0000880B0000}"/>
    <cellStyle name="_DEM-WP(C) Costs not in AURORA 2006GRC_(C) WHE Proforma with ITC cash grant 10 Yr Amort_for deferral_102809_16.07E Wild Horse Wind Expansionwrkingfile 2 2" xfId="2960" xr:uid="{00000000-0005-0000-0000-0000890B0000}"/>
    <cellStyle name="_DEM-WP(C) Costs not in AURORA 2006GRC_(C) WHE Proforma with ITC cash grant 10 Yr Amort_for deferral_102809_16.07E Wild Horse Wind Expansionwrkingfile 3" xfId="2961" xr:uid="{00000000-0005-0000-0000-00008A0B0000}"/>
    <cellStyle name="_DEM-WP(C) Costs not in AURORA 2006GRC_(C) WHE Proforma with ITC cash grant 10 Yr Amort_for deferral_102809_16.07E Wild Horse Wind Expansionwrkingfile SF" xfId="2962" xr:uid="{00000000-0005-0000-0000-00008B0B0000}"/>
    <cellStyle name="_DEM-WP(C) Costs not in AURORA 2006GRC_(C) WHE Proforma with ITC cash grant 10 Yr Amort_for deferral_102809_16.07E Wild Horse Wind Expansionwrkingfile SF 2" xfId="2963" xr:uid="{00000000-0005-0000-0000-00008C0B0000}"/>
    <cellStyle name="_DEM-WP(C) Costs not in AURORA 2006GRC_(C) WHE Proforma with ITC cash grant 10 Yr Amort_for deferral_102809_16.07E Wild Horse Wind Expansionwrkingfile SF 2 2" xfId="2964" xr:uid="{00000000-0005-0000-0000-00008D0B0000}"/>
    <cellStyle name="_DEM-WP(C) Costs not in AURORA 2006GRC_(C) WHE Proforma with ITC cash grant 10 Yr Amort_for deferral_102809_16.07E Wild Horse Wind Expansionwrkingfile SF 3" xfId="2965" xr:uid="{00000000-0005-0000-0000-00008E0B0000}"/>
    <cellStyle name="_DEM-WP(C) Costs not in AURORA 2006GRC_(C) WHE Proforma with ITC cash grant 10 Yr Amort_for deferral_102809_16.37E Wild Horse Expansion DeferralRevwrkingfile SF" xfId="2966" xr:uid="{00000000-0005-0000-0000-00008F0B0000}"/>
    <cellStyle name="_DEM-WP(C) Costs not in AURORA 2006GRC_(C) WHE Proforma with ITC cash grant 10 Yr Amort_for deferral_102809_16.37E Wild Horse Expansion DeferralRevwrkingfile SF 2" xfId="2967" xr:uid="{00000000-0005-0000-0000-0000900B0000}"/>
    <cellStyle name="_DEM-WP(C) Costs not in AURORA 2006GRC_(C) WHE Proforma with ITC cash grant 10 Yr Amort_for deferral_102809_16.37E Wild Horse Expansion DeferralRevwrkingfile SF 2 2" xfId="2968" xr:uid="{00000000-0005-0000-0000-0000910B0000}"/>
    <cellStyle name="_DEM-WP(C) Costs not in AURORA 2006GRC_(C) WHE Proforma with ITC cash grant 10 Yr Amort_for deferral_102809_16.37E Wild Horse Expansion DeferralRevwrkingfile SF 3" xfId="2969" xr:uid="{00000000-0005-0000-0000-0000920B0000}"/>
    <cellStyle name="_DEM-WP(C) Costs not in AURORA 2006GRC_(C) WHE Proforma with ITC cash grant 10 Yr Amort_for rebuttal_120709" xfId="2970" xr:uid="{00000000-0005-0000-0000-0000930B0000}"/>
    <cellStyle name="_DEM-WP(C) Costs not in AURORA 2006GRC_(C) WHE Proforma with ITC cash grant 10 Yr Amort_for rebuttal_120709 2" xfId="2971" xr:uid="{00000000-0005-0000-0000-0000940B0000}"/>
    <cellStyle name="_DEM-WP(C) Costs not in AURORA 2006GRC_(C) WHE Proforma with ITC cash grant 10 Yr Amort_for rebuttal_120709 2 2" xfId="2972" xr:uid="{00000000-0005-0000-0000-0000950B0000}"/>
    <cellStyle name="_DEM-WP(C) Costs not in AURORA 2006GRC_(C) WHE Proforma with ITC cash grant 10 Yr Amort_for rebuttal_120709 3" xfId="2973" xr:uid="{00000000-0005-0000-0000-0000960B0000}"/>
    <cellStyle name="_DEM-WP(C) Costs not in AURORA 2006GRC_04.07E Wild Horse Wind Expansion" xfId="2974" xr:uid="{00000000-0005-0000-0000-0000970B0000}"/>
    <cellStyle name="_DEM-WP(C) Costs not in AURORA 2006GRC_04.07E Wild Horse Wind Expansion 2" xfId="2975" xr:uid="{00000000-0005-0000-0000-0000980B0000}"/>
    <cellStyle name="_DEM-WP(C) Costs not in AURORA 2006GRC_04.07E Wild Horse Wind Expansion 2 2" xfId="2976" xr:uid="{00000000-0005-0000-0000-0000990B0000}"/>
    <cellStyle name="_DEM-WP(C) Costs not in AURORA 2006GRC_04.07E Wild Horse Wind Expansion 3" xfId="2977" xr:uid="{00000000-0005-0000-0000-00009A0B0000}"/>
    <cellStyle name="_DEM-WP(C) Costs not in AURORA 2006GRC_04.07E Wild Horse Wind Expansion_16.07E Wild Horse Wind Expansionwrkingfile" xfId="2978" xr:uid="{00000000-0005-0000-0000-00009B0B0000}"/>
    <cellStyle name="_DEM-WP(C) Costs not in AURORA 2006GRC_04.07E Wild Horse Wind Expansion_16.07E Wild Horse Wind Expansionwrkingfile 2" xfId="2979" xr:uid="{00000000-0005-0000-0000-00009C0B0000}"/>
    <cellStyle name="_DEM-WP(C) Costs not in AURORA 2006GRC_04.07E Wild Horse Wind Expansion_16.07E Wild Horse Wind Expansionwrkingfile 2 2" xfId="2980" xr:uid="{00000000-0005-0000-0000-00009D0B0000}"/>
    <cellStyle name="_DEM-WP(C) Costs not in AURORA 2006GRC_04.07E Wild Horse Wind Expansion_16.07E Wild Horse Wind Expansionwrkingfile 3" xfId="2981" xr:uid="{00000000-0005-0000-0000-00009E0B0000}"/>
    <cellStyle name="_DEM-WP(C) Costs not in AURORA 2006GRC_04.07E Wild Horse Wind Expansion_16.07E Wild Horse Wind Expansionwrkingfile SF" xfId="2982" xr:uid="{00000000-0005-0000-0000-00009F0B0000}"/>
    <cellStyle name="_DEM-WP(C) Costs not in AURORA 2006GRC_04.07E Wild Horse Wind Expansion_16.07E Wild Horse Wind Expansionwrkingfile SF 2" xfId="2983" xr:uid="{00000000-0005-0000-0000-0000A00B0000}"/>
    <cellStyle name="_DEM-WP(C) Costs not in AURORA 2006GRC_04.07E Wild Horse Wind Expansion_16.07E Wild Horse Wind Expansionwrkingfile SF 2 2" xfId="2984" xr:uid="{00000000-0005-0000-0000-0000A10B0000}"/>
    <cellStyle name="_DEM-WP(C) Costs not in AURORA 2006GRC_04.07E Wild Horse Wind Expansion_16.07E Wild Horse Wind Expansionwrkingfile SF 3" xfId="2985" xr:uid="{00000000-0005-0000-0000-0000A20B0000}"/>
    <cellStyle name="_DEM-WP(C) Costs not in AURORA 2006GRC_04.07E Wild Horse Wind Expansion_16.37E Wild Horse Expansion DeferralRevwrkingfile SF" xfId="2986" xr:uid="{00000000-0005-0000-0000-0000A30B0000}"/>
    <cellStyle name="_DEM-WP(C) Costs not in AURORA 2006GRC_04.07E Wild Horse Wind Expansion_16.37E Wild Horse Expansion DeferralRevwrkingfile SF 2" xfId="2987" xr:uid="{00000000-0005-0000-0000-0000A40B0000}"/>
    <cellStyle name="_DEM-WP(C) Costs not in AURORA 2006GRC_04.07E Wild Horse Wind Expansion_16.37E Wild Horse Expansion DeferralRevwrkingfile SF 2 2" xfId="2988" xr:uid="{00000000-0005-0000-0000-0000A50B0000}"/>
    <cellStyle name="_DEM-WP(C) Costs not in AURORA 2006GRC_04.07E Wild Horse Wind Expansion_16.37E Wild Horse Expansion DeferralRevwrkingfile SF 3" xfId="2989" xr:uid="{00000000-0005-0000-0000-0000A60B0000}"/>
    <cellStyle name="_DEM-WP(C) Costs not in AURORA 2006GRC_16.07E Wild Horse Wind Expansionwrkingfile" xfId="2990" xr:uid="{00000000-0005-0000-0000-0000A70B0000}"/>
    <cellStyle name="_DEM-WP(C) Costs not in AURORA 2006GRC_16.07E Wild Horse Wind Expansionwrkingfile 2" xfId="2991" xr:uid="{00000000-0005-0000-0000-0000A80B0000}"/>
    <cellStyle name="_DEM-WP(C) Costs not in AURORA 2006GRC_16.07E Wild Horse Wind Expansionwrkingfile 2 2" xfId="2992" xr:uid="{00000000-0005-0000-0000-0000A90B0000}"/>
    <cellStyle name="_DEM-WP(C) Costs not in AURORA 2006GRC_16.07E Wild Horse Wind Expansionwrkingfile 3" xfId="2993" xr:uid="{00000000-0005-0000-0000-0000AA0B0000}"/>
    <cellStyle name="_DEM-WP(C) Costs not in AURORA 2006GRC_16.07E Wild Horse Wind Expansionwrkingfile SF" xfId="2994" xr:uid="{00000000-0005-0000-0000-0000AB0B0000}"/>
    <cellStyle name="_DEM-WP(C) Costs not in AURORA 2006GRC_16.07E Wild Horse Wind Expansionwrkingfile SF 2" xfId="2995" xr:uid="{00000000-0005-0000-0000-0000AC0B0000}"/>
    <cellStyle name="_DEM-WP(C) Costs not in AURORA 2006GRC_16.07E Wild Horse Wind Expansionwrkingfile SF 2 2" xfId="2996" xr:uid="{00000000-0005-0000-0000-0000AD0B0000}"/>
    <cellStyle name="_DEM-WP(C) Costs not in AURORA 2006GRC_16.07E Wild Horse Wind Expansionwrkingfile SF 3" xfId="2997" xr:uid="{00000000-0005-0000-0000-0000AE0B0000}"/>
    <cellStyle name="_DEM-WP(C) Costs not in AURORA 2006GRC_16.37E Wild Horse Expansion DeferralRevwrkingfile SF" xfId="2998" xr:uid="{00000000-0005-0000-0000-0000AF0B0000}"/>
    <cellStyle name="_DEM-WP(C) Costs not in AURORA 2006GRC_16.37E Wild Horse Expansion DeferralRevwrkingfile SF 2" xfId="2999" xr:uid="{00000000-0005-0000-0000-0000B00B0000}"/>
    <cellStyle name="_DEM-WP(C) Costs not in AURORA 2006GRC_16.37E Wild Horse Expansion DeferralRevwrkingfile SF 2 2" xfId="3000" xr:uid="{00000000-0005-0000-0000-0000B10B0000}"/>
    <cellStyle name="_DEM-WP(C) Costs not in AURORA 2006GRC_16.37E Wild Horse Expansion DeferralRevwrkingfile SF 3" xfId="3001" xr:uid="{00000000-0005-0000-0000-0000B20B0000}"/>
    <cellStyle name="_DEM-WP(C) Costs not in AURORA 2006GRC_2009 Compliance Filing PCA Exhibits for GRC" xfId="3002" xr:uid="{00000000-0005-0000-0000-0000B30B0000}"/>
    <cellStyle name="_DEM-WP(C) Costs not in AURORA 2006GRC_2009 GRC Compl Filing - Exhibit D" xfId="3003" xr:uid="{00000000-0005-0000-0000-0000B40B0000}"/>
    <cellStyle name="_DEM-WP(C) Costs not in AURORA 2006GRC_2009 GRC Compl Filing - Exhibit D 2" xfId="3004" xr:uid="{00000000-0005-0000-0000-0000B50B0000}"/>
    <cellStyle name="_DEM-WP(C) Costs not in AURORA 2006GRC_3.01 Income Statement" xfId="3005" xr:uid="{00000000-0005-0000-0000-0000B60B0000}"/>
    <cellStyle name="_DEM-WP(C) Costs not in AURORA 2006GRC_4 31 Regulatory Assets and Liabilities  7 06- Exhibit D" xfId="3006" xr:uid="{00000000-0005-0000-0000-0000B70B0000}"/>
    <cellStyle name="_DEM-WP(C) Costs not in AURORA 2006GRC_4 31 Regulatory Assets and Liabilities  7 06- Exhibit D 2" xfId="3007" xr:uid="{00000000-0005-0000-0000-0000B80B0000}"/>
    <cellStyle name="_DEM-WP(C) Costs not in AURORA 2006GRC_4 31 Regulatory Assets and Liabilities  7 06- Exhibit D 2 2" xfId="3008" xr:uid="{00000000-0005-0000-0000-0000B90B0000}"/>
    <cellStyle name="_DEM-WP(C) Costs not in AURORA 2006GRC_4 31 Regulatory Assets and Liabilities  7 06- Exhibit D 3" xfId="3009" xr:uid="{00000000-0005-0000-0000-0000BA0B0000}"/>
    <cellStyle name="_DEM-WP(C) Costs not in AURORA 2006GRC_4 31 Regulatory Assets and Liabilities  7 06- Exhibit D_NIM Summary" xfId="3010" xr:uid="{00000000-0005-0000-0000-0000BB0B0000}"/>
    <cellStyle name="_DEM-WP(C) Costs not in AURORA 2006GRC_4 31 Regulatory Assets and Liabilities  7 06- Exhibit D_NIM Summary 2" xfId="3011" xr:uid="{00000000-0005-0000-0000-0000BC0B0000}"/>
    <cellStyle name="_DEM-WP(C) Costs not in AURORA 2006GRC_4 32 Regulatory Assets and Liabilities  7 06- Exhibit D" xfId="3012" xr:uid="{00000000-0005-0000-0000-0000BD0B0000}"/>
    <cellStyle name="_DEM-WP(C) Costs not in AURORA 2006GRC_4 32 Regulatory Assets and Liabilities  7 06- Exhibit D 2" xfId="3013" xr:uid="{00000000-0005-0000-0000-0000BE0B0000}"/>
    <cellStyle name="_DEM-WP(C) Costs not in AURORA 2006GRC_4 32 Regulatory Assets and Liabilities  7 06- Exhibit D 2 2" xfId="3014" xr:uid="{00000000-0005-0000-0000-0000BF0B0000}"/>
    <cellStyle name="_DEM-WP(C) Costs not in AURORA 2006GRC_4 32 Regulatory Assets and Liabilities  7 06- Exhibit D 3" xfId="3015" xr:uid="{00000000-0005-0000-0000-0000C00B0000}"/>
    <cellStyle name="_DEM-WP(C) Costs not in AURORA 2006GRC_4 32 Regulatory Assets and Liabilities  7 06- Exhibit D_NIM Summary" xfId="3016" xr:uid="{00000000-0005-0000-0000-0000C10B0000}"/>
    <cellStyle name="_DEM-WP(C) Costs not in AURORA 2006GRC_4 32 Regulatory Assets and Liabilities  7 06- Exhibit D_NIM Summary 2" xfId="3017" xr:uid="{00000000-0005-0000-0000-0000C20B0000}"/>
    <cellStyle name="_DEM-WP(C) Costs not in AURORA 2006GRC_AURORA Total New" xfId="3018" xr:uid="{00000000-0005-0000-0000-0000C30B0000}"/>
    <cellStyle name="_DEM-WP(C) Costs not in AURORA 2006GRC_AURORA Total New 2" xfId="3019" xr:uid="{00000000-0005-0000-0000-0000C40B0000}"/>
    <cellStyle name="_DEM-WP(C) Costs not in AURORA 2006GRC_Book2" xfId="3020" xr:uid="{00000000-0005-0000-0000-0000C50B0000}"/>
    <cellStyle name="_DEM-WP(C) Costs not in AURORA 2006GRC_Book2 2" xfId="3021" xr:uid="{00000000-0005-0000-0000-0000C60B0000}"/>
    <cellStyle name="_DEM-WP(C) Costs not in AURORA 2006GRC_Book2 2 2" xfId="3022" xr:uid="{00000000-0005-0000-0000-0000C70B0000}"/>
    <cellStyle name="_DEM-WP(C) Costs not in AURORA 2006GRC_Book2 3" xfId="3023" xr:uid="{00000000-0005-0000-0000-0000C80B0000}"/>
    <cellStyle name="_DEM-WP(C) Costs not in AURORA 2006GRC_Book2_Adj Bench DR 3 for Initial Briefs (Electric)" xfId="3024" xr:uid="{00000000-0005-0000-0000-0000C90B0000}"/>
    <cellStyle name="_DEM-WP(C) Costs not in AURORA 2006GRC_Book2_Adj Bench DR 3 for Initial Briefs (Electric) 2" xfId="3025" xr:uid="{00000000-0005-0000-0000-0000CA0B0000}"/>
    <cellStyle name="_DEM-WP(C) Costs not in AURORA 2006GRC_Book2_Adj Bench DR 3 for Initial Briefs (Electric) 2 2" xfId="3026" xr:uid="{00000000-0005-0000-0000-0000CB0B0000}"/>
    <cellStyle name="_DEM-WP(C) Costs not in AURORA 2006GRC_Book2_Adj Bench DR 3 for Initial Briefs (Electric) 3" xfId="3027" xr:uid="{00000000-0005-0000-0000-0000CC0B0000}"/>
    <cellStyle name="_DEM-WP(C) Costs not in AURORA 2006GRC_Book2_Electric Rev Req Model (2009 GRC) Rebuttal" xfId="3028" xr:uid="{00000000-0005-0000-0000-0000CD0B0000}"/>
    <cellStyle name="_DEM-WP(C) Costs not in AURORA 2006GRC_Book2_Electric Rev Req Model (2009 GRC) Rebuttal 2" xfId="3029" xr:uid="{00000000-0005-0000-0000-0000CE0B0000}"/>
    <cellStyle name="_DEM-WP(C) Costs not in AURORA 2006GRC_Book2_Electric Rev Req Model (2009 GRC) Rebuttal 2 2" xfId="3030" xr:uid="{00000000-0005-0000-0000-0000CF0B0000}"/>
    <cellStyle name="_DEM-WP(C) Costs not in AURORA 2006GRC_Book2_Electric Rev Req Model (2009 GRC) Rebuttal 3" xfId="3031" xr:uid="{00000000-0005-0000-0000-0000D00B0000}"/>
    <cellStyle name="_DEM-WP(C) Costs not in AURORA 2006GRC_Book2_Electric Rev Req Model (2009 GRC) Rebuttal REmoval of New  WH Solar AdjustMI" xfId="3032" xr:uid="{00000000-0005-0000-0000-0000D10B0000}"/>
    <cellStyle name="_DEM-WP(C) Costs not in AURORA 2006GRC_Book2_Electric Rev Req Model (2009 GRC) Rebuttal REmoval of New  WH Solar AdjustMI 2" xfId="3033" xr:uid="{00000000-0005-0000-0000-0000D20B0000}"/>
    <cellStyle name="_DEM-WP(C) Costs not in AURORA 2006GRC_Book2_Electric Rev Req Model (2009 GRC) Rebuttal REmoval of New  WH Solar AdjustMI 2 2" xfId="3034" xr:uid="{00000000-0005-0000-0000-0000D30B0000}"/>
    <cellStyle name="_DEM-WP(C) Costs not in AURORA 2006GRC_Book2_Electric Rev Req Model (2009 GRC) Rebuttal REmoval of New  WH Solar AdjustMI 3" xfId="3035" xr:uid="{00000000-0005-0000-0000-0000D40B0000}"/>
    <cellStyle name="_DEM-WP(C) Costs not in AURORA 2006GRC_Book2_Electric Rev Req Model (2009 GRC) Revised 01-18-2010" xfId="3036" xr:uid="{00000000-0005-0000-0000-0000D50B0000}"/>
    <cellStyle name="_DEM-WP(C) Costs not in AURORA 2006GRC_Book2_Electric Rev Req Model (2009 GRC) Revised 01-18-2010 2" xfId="3037" xr:uid="{00000000-0005-0000-0000-0000D60B0000}"/>
    <cellStyle name="_DEM-WP(C) Costs not in AURORA 2006GRC_Book2_Electric Rev Req Model (2009 GRC) Revised 01-18-2010 2 2" xfId="3038" xr:uid="{00000000-0005-0000-0000-0000D70B0000}"/>
    <cellStyle name="_DEM-WP(C) Costs not in AURORA 2006GRC_Book2_Electric Rev Req Model (2009 GRC) Revised 01-18-2010 3" xfId="3039" xr:uid="{00000000-0005-0000-0000-0000D80B0000}"/>
    <cellStyle name="_DEM-WP(C) Costs not in AURORA 2006GRC_Book2_Final Order Electric EXHIBIT A-1" xfId="3040" xr:uid="{00000000-0005-0000-0000-0000D90B0000}"/>
    <cellStyle name="_DEM-WP(C) Costs not in AURORA 2006GRC_Book2_Final Order Electric EXHIBIT A-1 2" xfId="3041" xr:uid="{00000000-0005-0000-0000-0000DA0B0000}"/>
    <cellStyle name="_DEM-WP(C) Costs not in AURORA 2006GRC_Book2_Final Order Electric EXHIBIT A-1 2 2" xfId="3042" xr:uid="{00000000-0005-0000-0000-0000DB0B0000}"/>
    <cellStyle name="_DEM-WP(C) Costs not in AURORA 2006GRC_Book2_Final Order Electric EXHIBIT A-1 3" xfId="3043" xr:uid="{00000000-0005-0000-0000-0000DC0B0000}"/>
    <cellStyle name="_DEM-WP(C) Costs not in AURORA 2006GRC_Book4" xfId="3044" xr:uid="{00000000-0005-0000-0000-0000DD0B0000}"/>
    <cellStyle name="_DEM-WP(C) Costs not in AURORA 2006GRC_Book4 2" xfId="3045" xr:uid="{00000000-0005-0000-0000-0000DE0B0000}"/>
    <cellStyle name="_DEM-WP(C) Costs not in AURORA 2006GRC_Book4 2 2" xfId="3046" xr:uid="{00000000-0005-0000-0000-0000DF0B0000}"/>
    <cellStyle name="_DEM-WP(C) Costs not in AURORA 2006GRC_Book4 3" xfId="3047" xr:uid="{00000000-0005-0000-0000-0000E00B0000}"/>
    <cellStyle name="_DEM-WP(C) Costs not in AURORA 2006GRC_Book9" xfId="3048" xr:uid="{00000000-0005-0000-0000-0000E10B0000}"/>
    <cellStyle name="_DEM-WP(C) Costs not in AURORA 2006GRC_Book9 2" xfId="3049" xr:uid="{00000000-0005-0000-0000-0000E20B0000}"/>
    <cellStyle name="_DEM-WP(C) Costs not in AURORA 2006GRC_Book9 2 2" xfId="3050" xr:uid="{00000000-0005-0000-0000-0000E30B0000}"/>
    <cellStyle name="_DEM-WP(C) Costs not in AURORA 2006GRC_Book9 3" xfId="3051" xr:uid="{00000000-0005-0000-0000-0000E40B0000}"/>
    <cellStyle name="_DEM-WP(C) Costs not in AURORA 2006GRC_Chelan PUD Power Costs (8-10)" xfId="3052" xr:uid="{00000000-0005-0000-0000-0000E50B0000}"/>
    <cellStyle name="_DEM-WP(C) Costs not in AURORA 2006GRC_Electric COS Inputs" xfId="3053" xr:uid="{00000000-0005-0000-0000-0000E60B0000}"/>
    <cellStyle name="_DEM-WP(C) Costs not in AURORA 2006GRC_Electric COS Inputs 2" xfId="3054" xr:uid="{00000000-0005-0000-0000-0000E70B0000}"/>
    <cellStyle name="_DEM-WP(C) Costs not in AURORA 2006GRC_Electric COS Inputs 2 2" xfId="3055" xr:uid="{00000000-0005-0000-0000-0000E80B0000}"/>
    <cellStyle name="_DEM-WP(C) Costs not in AURORA 2006GRC_Electric COS Inputs 2 2 2" xfId="3056" xr:uid="{00000000-0005-0000-0000-0000E90B0000}"/>
    <cellStyle name="_DEM-WP(C) Costs not in AURORA 2006GRC_Electric COS Inputs 2 3" xfId="3057" xr:uid="{00000000-0005-0000-0000-0000EA0B0000}"/>
    <cellStyle name="_DEM-WP(C) Costs not in AURORA 2006GRC_Electric COS Inputs 2 3 2" xfId="3058" xr:uid="{00000000-0005-0000-0000-0000EB0B0000}"/>
    <cellStyle name="_DEM-WP(C) Costs not in AURORA 2006GRC_Electric COS Inputs 2 4" xfId="3059" xr:uid="{00000000-0005-0000-0000-0000EC0B0000}"/>
    <cellStyle name="_DEM-WP(C) Costs not in AURORA 2006GRC_Electric COS Inputs 2 4 2" xfId="3060" xr:uid="{00000000-0005-0000-0000-0000ED0B0000}"/>
    <cellStyle name="_DEM-WP(C) Costs not in AURORA 2006GRC_Electric COS Inputs 3" xfId="3061" xr:uid="{00000000-0005-0000-0000-0000EE0B0000}"/>
    <cellStyle name="_DEM-WP(C) Costs not in AURORA 2006GRC_Electric COS Inputs 3 2" xfId="3062" xr:uid="{00000000-0005-0000-0000-0000EF0B0000}"/>
    <cellStyle name="_DEM-WP(C) Costs not in AURORA 2006GRC_Electric COS Inputs 4" xfId="3063" xr:uid="{00000000-0005-0000-0000-0000F00B0000}"/>
    <cellStyle name="_DEM-WP(C) Costs not in AURORA 2006GRC_Electric COS Inputs 4 2" xfId="3064" xr:uid="{00000000-0005-0000-0000-0000F10B0000}"/>
    <cellStyle name="_DEM-WP(C) Costs not in AURORA 2006GRC_Electric COS Inputs 5" xfId="3065" xr:uid="{00000000-0005-0000-0000-0000F20B0000}"/>
    <cellStyle name="_DEM-WP(C) Costs not in AURORA 2006GRC_Electric COS Inputs 6" xfId="3066" xr:uid="{00000000-0005-0000-0000-0000F30B0000}"/>
    <cellStyle name="_DEM-WP(C) Costs not in AURORA 2006GRC_NIM Summary" xfId="3067" xr:uid="{00000000-0005-0000-0000-0000F40B0000}"/>
    <cellStyle name="_DEM-WP(C) Costs not in AURORA 2006GRC_NIM Summary 09GRC" xfId="3068" xr:uid="{00000000-0005-0000-0000-0000F50B0000}"/>
    <cellStyle name="_DEM-WP(C) Costs not in AURORA 2006GRC_NIM Summary 09GRC 2" xfId="3069" xr:uid="{00000000-0005-0000-0000-0000F60B0000}"/>
    <cellStyle name="_DEM-WP(C) Costs not in AURORA 2006GRC_NIM Summary 2" xfId="3070" xr:uid="{00000000-0005-0000-0000-0000F70B0000}"/>
    <cellStyle name="_DEM-WP(C) Costs not in AURORA 2006GRC_NIM Summary 3" xfId="3071" xr:uid="{00000000-0005-0000-0000-0000F80B0000}"/>
    <cellStyle name="_DEM-WP(C) Costs not in AURORA 2006GRC_NIM Summary 4" xfId="3072" xr:uid="{00000000-0005-0000-0000-0000F90B0000}"/>
    <cellStyle name="_DEM-WP(C) Costs not in AURORA 2006GRC_NIM Summary 5" xfId="3073" xr:uid="{00000000-0005-0000-0000-0000FA0B0000}"/>
    <cellStyle name="_DEM-WP(C) Costs not in AURORA 2006GRC_NIM Summary 6" xfId="3074" xr:uid="{00000000-0005-0000-0000-0000FB0B0000}"/>
    <cellStyle name="_DEM-WP(C) Costs not in AURORA 2006GRC_NIM Summary 7" xfId="3075" xr:uid="{00000000-0005-0000-0000-0000FC0B0000}"/>
    <cellStyle name="_DEM-WP(C) Costs not in AURORA 2006GRC_NIM Summary 8" xfId="3076" xr:uid="{00000000-0005-0000-0000-0000FD0B0000}"/>
    <cellStyle name="_DEM-WP(C) Costs not in AURORA 2006GRC_NIM Summary 9" xfId="3077" xr:uid="{00000000-0005-0000-0000-0000FE0B0000}"/>
    <cellStyle name="_DEM-WP(C) Costs not in AURORA 2006GRC_PCA 10 -  Exhibit D from A Kellogg Jan 2011" xfId="3078" xr:uid="{00000000-0005-0000-0000-0000FF0B0000}"/>
    <cellStyle name="_DEM-WP(C) Costs not in AURORA 2006GRC_PCA 10 -  Exhibit D from A Kellogg July 2011" xfId="3079" xr:uid="{00000000-0005-0000-0000-0000000C0000}"/>
    <cellStyle name="_DEM-WP(C) Costs not in AURORA 2006GRC_PCA 10 -  Exhibit D from S Free Rcv'd 12-11" xfId="3080" xr:uid="{00000000-0005-0000-0000-0000010C0000}"/>
    <cellStyle name="_DEM-WP(C) Costs not in AURORA 2006GRC_PCA 9 -  Exhibit D April 2010" xfId="3081" xr:uid="{00000000-0005-0000-0000-0000020C0000}"/>
    <cellStyle name="_DEM-WP(C) Costs not in AURORA 2006GRC_PCA 9 -  Exhibit D April 2010 (3)" xfId="3082" xr:uid="{00000000-0005-0000-0000-0000030C0000}"/>
    <cellStyle name="_DEM-WP(C) Costs not in AURORA 2006GRC_PCA 9 -  Exhibit D April 2010 (3) 2" xfId="3083" xr:uid="{00000000-0005-0000-0000-0000040C0000}"/>
    <cellStyle name="_DEM-WP(C) Costs not in AURORA 2006GRC_PCA 9 -  Exhibit D Nov 2010" xfId="3084" xr:uid="{00000000-0005-0000-0000-0000050C0000}"/>
    <cellStyle name="_DEM-WP(C) Costs not in AURORA 2006GRC_PCA 9 - Exhibit D at August 2010" xfId="3085" xr:uid="{00000000-0005-0000-0000-0000060C0000}"/>
    <cellStyle name="_DEM-WP(C) Costs not in AURORA 2006GRC_PCA 9 - Exhibit D June 2010 GRC" xfId="3086" xr:uid="{00000000-0005-0000-0000-0000070C0000}"/>
    <cellStyle name="_DEM-WP(C) Costs not in AURORA 2006GRC_Power Costs - Comparison bx Rbtl-Staff-Jt-PC" xfId="3087" xr:uid="{00000000-0005-0000-0000-0000080C0000}"/>
    <cellStyle name="_DEM-WP(C) Costs not in AURORA 2006GRC_Power Costs - Comparison bx Rbtl-Staff-Jt-PC 2" xfId="3088" xr:uid="{00000000-0005-0000-0000-0000090C0000}"/>
    <cellStyle name="_DEM-WP(C) Costs not in AURORA 2006GRC_Power Costs - Comparison bx Rbtl-Staff-Jt-PC 2 2" xfId="3089" xr:uid="{00000000-0005-0000-0000-00000A0C0000}"/>
    <cellStyle name="_DEM-WP(C) Costs not in AURORA 2006GRC_Power Costs - Comparison bx Rbtl-Staff-Jt-PC 3" xfId="3090" xr:uid="{00000000-0005-0000-0000-00000B0C0000}"/>
    <cellStyle name="_DEM-WP(C) Costs not in AURORA 2006GRC_Power Costs - Comparison bx Rbtl-Staff-Jt-PC_Adj Bench DR 3 for Initial Briefs (Electric)" xfId="3091" xr:uid="{00000000-0005-0000-0000-00000C0C0000}"/>
    <cellStyle name="_DEM-WP(C) Costs not in AURORA 2006GRC_Power Costs - Comparison bx Rbtl-Staff-Jt-PC_Adj Bench DR 3 for Initial Briefs (Electric) 2" xfId="3092" xr:uid="{00000000-0005-0000-0000-00000D0C0000}"/>
    <cellStyle name="_DEM-WP(C) Costs not in AURORA 2006GRC_Power Costs - Comparison bx Rbtl-Staff-Jt-PC_Adj Bench DR 3 for Initial Briefs (Electric) 2 2" xfId="3093" xr:uid="{00000000-0005-0000-0000-00000E0C0000}"/>
    <cellStyle name="_DEM-WP(C) Costs not in AURORA 2006GRC_Power Costs - Comparison bx Rbtl-Staff-Jt-PC_Adj Bench DR 3 for Initial Briefs (Electric) 3" xfId="3094" xr:uid="{00000000-0005-0000-0000-00000F0C0000}"/>
    <cellStyle name="_DEM-WP(C) Costs not in AURORA 2006GRC_Power Costs - Comparison bx Rbtl-Staff-Jt-PC_Electric Rev Req Model (2009 GRC) Rebuttal" xfId="3095" xr:uid="{00000000-0005-0000-0000-0000100C0000}"/>
    <cellStyle name="_DEM-WP(C) Costs not in AURORA 2006GRC_Power Costs - Comparison bx Rbtl-Staff-Jt-PC_Electric Rev Req Model (2009 GRC) Rebuttal 2" xfId="3096" xr:uid="{00000000-0005-0000-0000-0000110C0000}"/>
    <cellStyle name="_DEM-WP(C) Costs not in AURORA 2006GRC_Power Costs - Comparison bx Rbtl-Staff-Jt-PC_Electric Rev Req Model (2009 GRC) Rebuttal 2 2" xfId="3097" xr:uid="{00000000-0005-0000-0000-0000120C0000}"/>
    <cellStyle name="_DEM-WP(C) Costs not in AURORA 2006GRC_Power Costs - Comparison bx Rbtl-Staff-Jt-PC_Electric Rev Req Model (2009 GRC) Rebuttal 3" xfId="3098" xr:uid="{00000000-0005-0000-0000-0000130C0000}"/>
    <cellStyle name="_DEM-WP(C) Costs not in AURORA 2006GRC_Power Costs - Comparison bx Rbtl-Staff-Jt-PC_Electric Rev Req Model (2009 GRC) Rebuttal REmoval of New  WH Solar AdjustMI" xfId="3099" xr:uid="{00000000-0005-0000-0000-0000140C0000}"/>
    <cellStyle name="_DEM-WP(C) Costs not in AURORA 2006GRC_Power Costs - Comparison bx Rbtl-Staff-Jt-PC_Electric Rev Req Model (2009 GRC) Rebuttal REmoval of New  WH Solar AdjustMI 2" xfId="3100" xr:uid="{00000000-0005-0000-0000-0000150C0000}"/>
    <cellStyle name="_DEM-WP(C) Costs not in AURORA 2006GRC_Power Costs - Comparison bx Rbtl-Staff-Jt-PC_Electric Rev Req Model (2009 GRC) Rebuttal REmoval of New  WH Solar AdjustMI 2 2" xfId="3101" xr:uid="{00000000-0005-0000-0000-0000160C0000}"/>
    <cellStyle name="_DEM-WP(C) Costs not in AURORA 2006GRC_Power Costs - Comparison bx Rbtl-Staff-Jt-PC_Electric Rev Req Model (2009 GRC) Rebuttal REmoval of New  WH Solar AdjustMI 3" xfId="3102" xr:uid="{00000000-0005-0000-0000-0000170C0000}"/>
    <cellStyle name="_DEM-WP(C) Costs not in AURORA 2006GRC_Power Costs - Comparison bx Rbtl-Staff-Jt-PC_Electric Rev Req Model (2009 GRC) Revised 01-18-2010" xfId="3103" xr:uid="{00000000-0005-0000-0000-0000180C0000}"/>
    <cellStyle name="_DEM-WP(C) Costs not in AURORA 2006GRC_Power Costs - Comparison bx Rbtl-Staff-Jt-PC_Electric Rev Req Model (2009 GRC) Revised 01-18-2010 2" xfId="3104" xr:uid="{00000000-0005-0000-0000-0000190C0000}"/>
    <cellStyle name="_DEM-WP(C) Costs not in AURORA 2006GRC_Power Costs - Comparison bx Rbtl-Staff-Jt-PC_Electric Rev Req Model (2009 GRC) Revised 01-18-2010 2 2" xfId="3105" xr:uid="{00000000-0005-0000-0000-00001A0C0000}"/>
    <cellStyle name="_DEM-WP(C) Costs not in AURORA 2006GRC_Power Costs - Comparison bx Rbtl-Staff-Jt-PC_Electric Rev Req Model (2009 GRC) Revised 01-18-2010 3" xfId="3106" xr:uid="{00000000-0005-0000-0000-00001B0C0000}"/>
    <cellStyle name="_DEM-WP(C) Costs not in AURORA 2006GRC_Power Costs - Comparison bx Rbtl-Staff-Jt-PC_Final Order Electric EXHIBIT A-1" xfId="3107" xr:uid="{00000000-0005-0000-0000-00001C0C0000}"/>
    <cellStyle name="_DEM-WP(C) Costs not in AURORA 2006GRC_Power Costs - Comparison bx Rbtl-Staff-Jt-PC_Final Order Electric EXHIBIT A-1 2" xfId="3108" xr:uid="{00000000-0005-0000-0000-00001D0C0000}"/>
    <cellStyle name="_DEM-WP(C) Costs not in AURORA 2006GRC_Power Costs - Comparison bx Rbtl-Staff-Jt-PC_Final Order Electric EXHIBIT A-1 2 2" xfId="3109" xr:uid="{00000000-0005-0000-0000-00001E0C0000}"/>
    <cellStyle name="_DEM-WP(C) Costs not in AURORA 2006GRC_Power Costs - Comparison bx Rbtl-Staff-Jt-PC_Final Order Electric EXHIBIT A-1 3" xfId="3110" xr:uid="{00000000-0005-0000-0000-00001F0C0000}"/>
    <cellStyle name="_DEM-WP(C) Costs not in AURORA 2006GRC_Production Adj 4.37" xfId="3111" xr:uid="{00000000-0005-0000-0000-0000200C0000}"/>
    <cellStyle name="_DEM-WP(C) Costs not in AURORA 2006GRC_Production Adj 4.37 2" xfId="3112" xr:uid="{00000000-0005-0000-0000-0000210C0000}"/>
    <cellStyle name="_DEM-WP(C) Costs not in AURORA 2006GRC_Production Adj 4.37 2 2" xfId="3113" xr:uid="{00000000-0005-0000-0000-0000220C0000}"/>
    <cellStyle name="_DEM-WP(C) Costs not in AURORA 2006GRC_Production Adj 4.37 3" xfId="3114" xr:uid="{00000000-0005-0000-0000-0000230C0000}"/>
    <cellStyle name="_DEM-WP(C) Costs not in AURORA 2006GRC_Purchased Power Adj 4.03" xfId="3115" xr:uid="{00000000-0005-0000-0000-0000240C0000}"/>
    <cellStyle name="_DEM-WP(C) Costs not in AURORA 2006GRC_Purchased Power Adj 4.03 2" xfId="3116" xr:uid="{00000000-0005-0000-0000-0000250C0000}"/>
    <cellStyle name="_DEM-WP(C) Costs not in AURORA 2006GRC_Purchased Power Adj 4.03 2 2" xfId="3117" xr:uid="{00000000-0005-0000-0000-0000260C0000}"/>
    <cellStyle name="_DEM-WP(C) Costs not in AURORA 2006GRC_Purchased Power Adj 4.03 3" xfId="3118" xr:uid="{00000000-0005-0000-0000-0000270C0000}"/>
    <cellStyle name="_DEM-WP(C) Costs not in AURORA 2006GRC_Rebuttal Power Costs" xfId="3119" xr:uid="{00000000-0005-0000-0000-0000280C0000}"/>
    <cellStyle name="_DEM-WP(C) Costs not in AURORA 2006GRC_Rebuttal Power Costs 2" xfId="3120" xr:uid="{00000000-0005-0000-0000-0000290C0000}"/>
    <cellStyle name="_DEM-WP(C) Costs not in AURORA 2006GRC_Rebuttal Power Costs 2 2" xfId="3121" xr:uid="{00000000-0005-0000-0000-00002A0C0000}"/>
    <cellStyle name="_DEM-WP(C) Costs not in AURORA 2006GRC_Rebuttal Power Costs 3" xfId="3122" xr:uid="{00000000-0005-0000-0000-00002B0C0000}"/>
    <cellStyle name="_DEM-WP(C) Costs not in AURORA 2006GRC_Rebuttal Power Costs_Adj Bench DR 3 for Initial Briefs (Electric)" xfId="3123" xr:uid="{00000000-0005-0000-0000-00002C0C0000}"/>
    <cellStyle name="_DEM-WP(C) Costs not in AURORA 2006GRC_Rebuttal Power Costs_Adj Bench DR 3 for Initial Briefs (Electric) 2" xfId="3124" xr:uid="{00000000-0005-0000-0000-00002D0C0000}"/>
    <cellStyle name="_DEM-WP(C) Costs not in AURORA 2006GRC_Rebuttal Power Costs_Adj Bench DR 3 for Initial Briefs (Electric) 2 2" xfId="3125" xr:uid="{00000000-0005-0000-0000-00002E0C0000}"/>
    <cellStyle name="_DEM-WP(C) Costs not in AURORA 2006GRC_Rebuttal Power Costs_Adj Bench DR 3 for Initial Briefs (Electric) 3" xfId="3126" xr:uid="{00000000-0005-0000-0000-00002F0C0000}"/>
    <cellStyle name="_DEM-WP(C) Costs not in AURORA 2006GRC_Rebuttal Power Costs_Electric Rev Req Model (2009 GRC) Rebuttal" xfId="3127" xr:uid="{00000000-0005-0000-0000-0000300C0000}"/>
    <cellStyle name="_DEM-WP(C) Costs not in AURORA 2006GRC_Rebuttal Power Costs_Electric Rev Req Model (2009 GRC) Rebuttal 2" xfId="3128" xr:uid="{00000000-0005-0000-0000-0000310C0000}"/>
    <cellStyle name="_DEM-WP(C) Costs not in AURORA 2006GRC_Rebuttal Power Costs_Electric Rev Req Model (2009 GRC) Rebuttal 2 2" xfId="3129" xr:uid="{00000000-0005-0000-0000-0000320C0000}"/>
    <cellStyle name="_DEM-WP(C) Costs not in AURORA 2006GRC_Rebuttal Power Costs_Electric Rev Req Model (2009 GRC) Rebuttal 3" xfId="3130" xr:uid="{00000000-0005-0000-0000-0000330C0000}"/>
    <cellStyle name="_DEM-WP(C) Costs not in AURORA 2006GRC_Rebuttal Power Costs_Electric Rev Req Model (2009 GRC) Rebuttal REmoval of New  WH Solar AdjustMI" xfId="3131" xr:uid="{00000000-0005-0000-0000-0000340C0000}"/>
    <cellStyle name="_DEM-WP(C) Costs not in AURORA 2006GRC_Rebuttal Power Costs_Electric Rev Req Model (2009 GRC) Rebuttal REmoval of New  WH Solar AdjustMI 2" xfId="3132" xr:uid="{00000000-0005-0000-0000-0000350C0000}"/>
    <cellStyle name="_DEM-WP(C) Costs not in AURORA 2006GRC_Rebuttal Power Costs_Electric Rev Req Model (2009 GRC) Rebuttal REmoval of New  WH Solar AdjustMI 2 2" xfId="3133" xr:uid="{00000000-0005-0000-0000-0000360C0000}"/>
    <cellStyle name="_DEM-WP(C) Costs not in AURORA 2006GRC_Rebuttal Power Costs_Electric Rev Req Model (2009 GRC) Rebuttal REmoval of New  WH Solar AdjustMI 3" xfId="3134" xr:uid="{00000000-0005-0000-0000-0000370C0000}"/>
    <cellStyle name="_DEM-WP(C) Costs not in AURORA 2006GRC_Rebuttal Power Costs_Electric Rev Req Model (2009 GRC) Revised 01-18-2010" xfId="3135" xr:uid="{00000000-0005-0000-0000-0000380C0000}"/>
    <cellStyle name="_DEM-WP(C) Costs not in AURORA 2006GRC_Rebuttal Power Costs_Electric Rev Req Model (2009 GRC) Revised 01-18-2010 2" xfId="3136" xr:uid="{00000000-0005-0000-0000-0000390C0000}"/>
    <cellStyle name="_DEM-WP(C) Costs not in AURORA 2006GRC_Rebuttal Power Costs_Electric Rev Req Model (2009 GRC) Revised 01-18-2010 2 2" xfId="3137" xr:uid="{00000000-0005-0000-0000-00003A0C0000}"/>
    <cellStyle name="_DEM-WP(C) Costs not in AURORA 2006GRC_Rebuttal Power Costs_Electric Rev Req Model (2009 GRC) Revised 01-18-2010 3" xfId="3138" xr:uid="{00000000-0005-0000-0000-00003B0C0000}"/>
    <cellStyle name="_DEM-WP(C) Costs not in AURORA 2006GRC_Rebuttal Power Costs_Final Order Electric EXHIBIT A-1" xfId="3139" xr:uid="{00000000-0005-0000-0000-00003C0C0000}"/>
    <cellStyle name="_DEM-WP(C) Costs not in AURORA 2006GRC_Rebuttal Power Costs_Final Order Electric EXHIBIT A-1 2" xfId="3140" xr:uid="{00000000-0005-0000-0000-00003D0C0000}"/>
    <cellStyle name="_DEM-WP(C) Costs not in AURORA 2006GRC_Rebuttal Power Costs_Final Order Electric EXHIBIT A-1 2 2" xfId="3141" xr:uid="{00000000-0005-0000-0000-00003E0C0000}"/>
    <cellStyle name="_DEM-WP(C) Costs not in AURORA 2006GRC_Rebuttal Power Costs_Final Order Electric EXHIBIT A-1 3" xfId="3142" xr:uid="{00000000-0005-0000-0000-00003F0C0000}"/>
    <cellStyle name="_DEM-WP(C) Costs not in AURORA 2006GRC_ROR 5.02" xfId="3143" xr:uid="{00000000-0005-0000-0000-0000400C0000}"/>
    <cellStyle name="_DEM-WP(C) Costs not in AURORA 2006GRC_ROR 5.02 2" xfId="3144" xr:uid="{00000000-0005-0000-0000-0000410C0000}"/>
    <cellStyle name="_DEM-WP(C) Costs not in AURORA 2006GRC_ROR 5.02 2 2" xfId="3145" xr:uid="{00000000-0005-0000-0000-0000420C0000}"/>
    <cellStyle name="_DEM-WP(C) Costs not in AURORA 2006GRC_ROR 5.02 3" xfId="3146" xr:uid="{00000000-0005-0000-0000-0000430C0000}"/>
    <cellStyle name="_DEM-WP(C) Costs not in AURORA 2006GRC_Transmission Workbook for May BOD" xfId="3147" xr:uid="{00000000-0005-0000-0000-0000440C0000}"/>
    <cellStyle name="_DEM-WP(C) Costs not in AURORA 2006GRC_Transmission Workbook for May BOD 2" xfId="3148" xr:uid="{00000000-0005-0000-0000-0000450C0000}"/>
    <cellStyle name="_DEM-WP(C) Costs not in AURORA 2006GRC_Wind Integration 10GRC" xfId="3149" xr:uid="{00000000-0005-0000-0000-0000460C0000}"/>
    <cellStyle name="_DEM-WP(C) Costs not in AURORA 2006GRC_Wind Integration 10GRC 2" xfId="3150" xr:uid="{00000000-0005-0000-0000-0000470C0000}"/>
    <cellStyle name="_DEM-WP(C) Costs not in AURORA 2007GRC" xfId="3151" xr:uid="{00000000-0005-0000-0000-0000480C0000}"/>
    <cellStyle name="_DEM-WP(C) Costs not in AURORA 2007GRC 2" xfId="3152" xr:uid="{00000000-0005-0000-0000-0000490C0000}"/>
    <cellStyle name="_DEM-WP(C) Costs not in AURORA 2007GRC 2 2" xfId="3153" xr:uid="{00000000-0005-0000-0000-00004A0C0000}"/>
    <cellStyle name="_DEM-WP(C) Costs not in AURORA 2007GRC 3" xfId="3154" xr:uid="{00000000-0005-0000-0000-00004B0C0000}"/>
    <cellStyle name="_DEM-WP(C) Costs not in AURORA 2007GRC Update" xfId="3155" xr:uid="{00000000-0005-0000-0000-00004C0C0000}"/>
    <cellStyle name="_DEM-WP(C) Costs not in AURORA 2007GRC Update 2" xfId="3156" xr:uid="{00000000-0005-0000-0000-00004D0C0000}"/>
    <cellStyle name="_DEM-WP(C) Costs not in AURORA 2007GRC Update_NIM Summary" xfId="3157" xr:uid="{00000000-0005-0000-0000-00004E0C0000}"/>
    <cellStyle name="_DEM-WP(C) Costs not in AURORA 2007GRC Update_NIM Summary 2" xfId="3158" xr:uid="{00000000-0005-0000-0000-00004F0C0000}"/>
    <cellStyle name="_DEM-WP(C) Costs not in AURORA 2007GRC_16.37E Wild Horse Expansion DeferralRevwrkingfile SF" xfId="3159" xr:uid="{00000000-0005-0000-0000-0000500C0000}"/>
    <cellStyle name="_DEM-WP(C) Costs not in AURORA 2007GRC_16.37E Wild Horse Expansion DeferralRevwrkingfile SF 2" xfId="3160" xr:uid="{00000000-0005-0000-0000-0000510C0000}"/>
    <cellStyle name="_DEM-WP(C) Costs not in AURORA 2007GRC_16.37E Wild Horse Expansion DeferralRevwrkingfile SF 2 2" xfId="3161" xr:uid="{00000000-0005-0000-0000-0000520C0000}"/>
    <cellStyle name="_DEM-WP(C) Costs not in AURORA 2007GRC_16.37E Wild Horse Expansion DeferralRevwrkingfile SF 3" xfId="3162" xr:uid="{00000000-0005-0000-0000-0000530C0000}"/>
    <cellStyle name="_DEM-WP(C) Costs not in AURORA 2007GRC_2009 GRC Compl Filing - Exhibit D" xfId="3163" xr:uid="{00000000-0005-0000-0000-0000540C0000}"/>
    <cellStyle name="_DEM-WP(C) Costs not in AURORA 2007GRC_2009 GRC Compl Filing - Exhibit D 2" xfId="3164" xr:uid="{00000000-0005-0000-0000-0000550C0000}"/>
    <cellStyle name="_DEM-WP(C) Costs not in AURORA 2007GRC_Adj Bench DR 3 for Initial Briefs (Electric)" xfId="3165" xr:uid="{00000000-0005-0000-0000-0000560C0000}"/>
    <cellStyle name="_DEM-WP(C) Costs not in AURORA 2007GRC_Adj Bench DR 3 for Initial Briefs (Electric) 2" xfId="3166" xr:uid="{00000000-0005-0000-0000-0000570C0000}"/>
    <cellStyle name="_DEM-WP(C) Costs not in AURORA 2007GRC_Adj Bench DR 3 for Initial Briefs (Electric) 2 2" xfId="3167" xr:uid="{00000000-0005-0000-0000-0000580C0000}"/>
    <cellStyle name="_DEM-WP(C) Costs not in AURORA 2007GRC_Adj Bench DR 3 for Initial Briefs (Electric) 3" xfId="3168" xr:uid="{00000000-0005-0000-0000-0000590C0000}"/>
    <cellStyle name="_DEM-WP(C) Costs not in AURORA 2007GRC_Book1" xfId="3169" xr:uid="{00000000-0005-0000-0000-00005A0C0000}"/>
    <cellStyle name="_DEM-WP(C) Costs not in AURORA 2007GRC_Book2" xfId="3170" xr:uid="{00000000-0005-0000-0000-00005B0C0000}"/>
    <cellStyle name="_DEM-WP(C) Costs not in AURORA 2007GRC_Book2 2" xfId="3171" xr:uid="{00000000-0005-0000-0000-00005C0C0000}"/>
    <cellStyle name="_DEM-WP(C) Costs not in AURORA 2007GRC_Book2 2 2" xfId="3172" xr:uid="{00000000-0005-0000-0000-00005D0C0000}"/>
    <cellStyle name="_DEM-WP(C) Costs not in AURORA 2007GRC_Book2 3" xfId="3173" xr:uid="{00000000-0005-0000-0000-00005E0C0000}"/>
    <cellStyle name="_DEM-WP(C) Costs not in AURORA 2007GRC_Book4" xfId="3174" xr:uid="{00000000-0005-0000-0000-00005F0C0000}"/>
    <cellStyle name="_DEM-WP(C) Costs not in AURORA 2007GRC_Book4 2" xfId="3175" xr:uid="{00000000-0005-0000-0000-0000600C0000}"/>
    <cellStyle name="_DEM-WP(C) Costs not in AURORA 2007GRC_Book4 2 2" xfId="3176" xr:uid="{00000000-0005-0000-0000-0000610C0000}"/>
    <cellStyle name="_DEM-WP(C) Costs not in AURORA 2007GRC_Book4 3" xfId="3177" xr:uid="{00000000-0005-0000-0000-0000620C0000}"/>
    <cellStyle name="_DEM-WP(C) Costs not in AURORA 2007GRC_Electric Rev Req Model (2009 GRC) " xfId="3178" xr:uid="{00000000-0005-0000-0000-0000630C0000}"/>
    <cellStyle name="_DEM-WP(C) Costs not in AURORA 2007GRC_Electric Rev Req Model (2009 GRC)  2" xfId="3179" xr:uid="{00000000-0005-0000-0000-0000640C0000}"/>
    <cellStyle name="_DEM-WP(C) Costs not in AURORA 2007GRC_Electric Rev Req Model (2009 GRC)  2 2" xfId="3180" xr:uid="{00000000-0005-0000-0000-0000650C0000}"/>
    <cellStyle name="_DEM-WP(C) Costs not in AURORA 2007GRC_Electric Rev Req Model (2009 GRC)  3" xfId="3181" xr:uid="{00000000-0005-0000-0000-0000660C0000}"/>
    <cellStyle name="_DEM-WP(C) Costs not in AURORA 2007GRC_Electric Rev Req Model (2009 GRC) Rebuttal" xfId="3182" xr:uid="{00000000-0005-0000-0000-0000670C0000}"/>
    <cellStyle name="_DEM-WP(C) Costs not in AURORA 2007GRC_Electric Rev Req Model (2009 GRC) Rebuttal 2" xfId="3183" xr:uid="{00000000-0005-0000-0000-0000680C0000}"/>
    <cellStyle name="_DEM-WP(C) Costs not in AURORA 2007GRC_Electric Rev Req Model (2009 GRC) Rebuttal 2 2" xfId="3184" xr:uid="{00000000-0005-0000-0000-0000690C0000}"/>
    <cellStyle name="_DEM-WP(C) Costs not in AURORA 2007GRC_Electric Rev Req Model (2009 GRC) Rebuttal 3" xfId="3185" xr:uid="{00000000-0005-0000-0000-00006A0C0000}"/>
    <cellStyle name="_DEM-WP(C) Costs not in AURORA 2007GRC_Electric Rev Req Model (2009 GRC) Rebuttal REmoval of New  WH Solar AdjustMI" xfId="3186" xr:uid="{00000000-0005-0000-0000-00006B0C0000}"/>
    <cellStyle name="_DEM-WP(C) Costs not in AURORA 2007GRC_Electric Rev Req Model (2009 GRC) Rebuttal REmoval of New  WH Solar AdjustMI 2" xfId="3187" xr:uid="{00000000-0005-0000-0000-00006C0C0000}"/>
    <cellStyle name="_DEM-WP(C) Costs not in AURORA 2007GRC_Electric Rev Req Model (2009 GRC) Rebuttal REmoval of New  WH Solar AdjustMI 2 2" xfId="3188" xr:uid="{00000000-0005-0000-0000-00006D0C0000}"/>
    <cellStyle name="_DEM-WP(C) Costs not in AURORA 2007GRC_Electric Rev Req Model (2009 GRC) Rebuttal REmoval of New  WH Solar AdjustMI 3" xfId="3189" xr:uid="{00000000-0005-0000-0000-00006E0C0000}"/>
    <cellStyle name="_DEM-WP(C) Costs not in AURORA 2007GRC_Electric Rev Req Model (2009 GRC) Revised 01-18-2010" xfId="3190" xr:uid="{00000000-0005-0000-0000-00006F0C0000}"/>
    <cellStyle name="_DEM-WP(C) Costs not in AURORA 2007GRC_Electric Rev Req Model (2009 GRC) Revised 01-18-2010 2" xfId="3191" xr:uid="{00000000-0005-0000-0000-0000700C0000}"/>
    <cellStyle name="_DEM-WP(C) Costs not in AURORA 2007GRC_Electric Rev Req Model (2009 GRC) Revised 01-18-2010 2 2" xfId="3192" xr:uid="{00000000-0005-0000-0000-0000710C0000}"/>
    <cellStyle name="_DEM-WP(C) Costs not in AURORA 2007GRC_Electric Rev Req Model (2009 GRC) Revised 01-18-2010 3" xfId="3193" xr:uid="{00000000-0005-0000-0000-0000720C0000}"/>
    <cellStyle name="_DEM-WP(C) Costs not in AURORA 2007GRC_Electric Rev Req Model (2010 GRC)" xfId="3194" xr:uid="{00000000-0005-0000-0000-0000730C0000}"/>
    <cellStyle name="_DEM-WP(C) Costs not in AURORA 2007GRC_Electric Rev Req Model (2010 GRC) SF" xfId="3195" xr:uid="{00000000-0005-0000-0000-0000740C0000}"/>
    <cellStyle name="_DEM-WP(C) Costs not in AURORA 2007GRC_Final Order Electric" xfId="3196" xr:uid="{00000000-0005-0000-0000-0000750C0000}"/>
    <cellStyle name="_DEM-WP(C) Costs not in AURORA 2007GRC_Final Order Electric EXHIBIT A-1" xfId="3197" xr:uid="{00000000-0005-0000-0000-0000760C0000}"/>
    <cellStyle name="_DEM-WP(C) Costs not in AURORA 2007GRC_Final Order Electric EXHIBIT A-1 2" xfId="3198" xr:uid="{00000000-0005-0000-0000-0000770C0000}"/>
    <cellStyle name="_DEM-WP(C) Costs not in AURORA 2007GRC_Final Order Electric EXHIBIT A-1 2 2" xfId="3199" xr:uid="{00000000-0005-0000-0000-0000780C0000}"/>
    <cellStyle name="_DEM-WP(C) Costs not in AURORA 2007GRC_Final Order Electric EXHIBIT A-1 3" xfId="3200" xr:uid="{00000000-0005-0000-0000-0000790C0000}"/>
    <cellStyle name="_DEM-WP(C) Costs not in AURORA 2007GRC_NIM Summary" xfId="3201" xr:uid="{00000000-0005-0000-0000-00007A0C0000}"/>
    <cellStyle name="_DEM-WP(C) Costs not in AURORA 2007GRC_NIM Summary 2" xfId="3202" xr:uid="{00000000-0005-0000-0000-00007B0C0000}"/>
    <cellStyle name="_DEM-WP(C) Costs not in AURORA 2007GRC_Power Costs - Comparison bx Rbtl-Staff-Jt-PC" xfId="3203" xr:uid="{00000000-0005-0000-0000-00007C0C0000}"/>
    <cellStyle name="_DEM-WP(C) Costs not in AURORA 2007GRC_Power Costs - Comparison bx Rbtl-Staff-Jt-PC 2" xfId="3204" xr:uid="{00000000-0005-0000-0000-00007D0C0000}"/>
    <cellStyle name="_DEM-WP(C) Costs not in AURORA 2007GRC_Power Costs - Comparison bx Rbtl-Staff-Jt-PC 2 2" xfId="3205" xr:uid="{00000000-0005-0000-0000-00007E0C0000}"/>
    <cellStyle name="_DEM-WP(C) Costs not in AURORA 2007GRC_Power Costs - Comparison bx Rbtl-Staff-Jt-PC 3" xfId="3206" xr:uid="{00000000-0005-0000-0000-00007F0C0000}"/>
    <cellStyle name="_DEM-WP(C) Costs not in AURORA 2007GRC_Rebuttal Power Costs" xfId="3207" xr:uid="{00000000-0005-0000-0000-0000800C0000}"/>
    <cellStyle name="_DEM-WP(C) Costs not in AURORA 2007GRC_Rebuttal Power Costs 2" xfId="3208" xr:uid="{00000000-0005-0000-0000-0000810C0000}"/>
    <cellStyle name="_DEM-WP(C) Costs not in AURORA 2007GRC_Rebuttal Power Costs 2 2" xfId="3209" xr:uid="{00000000-0005-0000-0000-0000820C0000}"/>
    <cellStyle name="_DEM-WP(C) Costs not in AURORA 2007GRC_Rebuttal Power Costs 3" xfId="3210" xr:uid="{00000000-0005-0000-0000-0000830C0000}"/>
    <cellStyle name="_DEM-WP(C) Costs not in AURORA 2007GRC_TENASKA REGULATORY ASSET" xfId="3211" xr:uid="{00000000-0005-0000-0000-0000840C0000}"/>
    <cellStyle name="_DEM-WP(C) Costs not in AURORA 2007GRC_TENASKA REGULATORY ASSET 2" xfId="3212" xr:uid="{00000000-0005-0000-0000-0000850C0000}"/>
    <cellStyle name="_DEM-WP(C) Costs not in AURORA 2007GRC_TENASKA REGULATORY ASSET 2 2" xfId="3213" xr:uid="{00000000-0005-0000-0000-0000860C0000}"/>
    <cellStyle name="_DEM-WP(C) Costs not in AURORA 2007GRC_TENASKA REGULATORY ASSET 3" xfId="3214" xr:uid="{00000000-0005-0000-0000-0000870C0000}"/>
    <cellStyle name="_DEM-WP(C) Costs not in AURORA 2007PCORC" xfId="3215" xr:uid="{00000000-0005-0000-0000-0000880C0000}"/>
    <cellStyle name="_DEM-WP(C) Costs not in AURORA 2007PCORC 2" xfId="3216" xr:uid="{00000000-0005-0000-0000-0000890C0000}"/>
    <cellStyle name="_DEM-WP(C) Costs not in AURORA 2007PCORC_Chelan PUD Power Costs (8-10)" xfId="3217" xr:uid="{00000000-0005-0000-0000-00008A0C0000}"/>
    <cellStyle name="_DEM-WP(C) Costs not in AURORA 2007PCORC_NIM Summary" xfId="3218" xr:uid="{00000000-0005-0000-0000-00008B0C0000}"/>
    <cellStyle name="_DEM-WP(C) Costs not in AURORA 2007PCORC_NIM Summary 2" xfId="3219" xr:uid="{00000000-0005-0000-0000-00008C0C0000}"/>
    <cellStyle name="_DEM-WP(C) Costs not in AURORA 2007PCORC-5.07Update" xfId="3220" xr:uid="{00000000-0005-0000-0000-00008D0C0000}"/>
    <cellStyle name="_DEM-WP(C) Costs not in AURORA 2007PCORC-5.07Update 2" xfId="3221" xr:uid="{00000000-0005-0000-0000-00008E0C0000}"/>
    <cellStyle name="_DEM-WP(C) Costs not in AURORA 2007PCORC-5.07Update 2 2" xfId="3222" xr:uid="{00000000-0005-0000-0000-00008F0C0000}"/>
    <cellStyle name="_DEM-WP(C) Costs not in AURORA 2007PCORC-5.07Update 3" xfId="3223" xr:uid="{00000000-0005-0000-0000-0000900C0000}"/>
    <cellStyle name="_DEM-WP(C) Costs not in AURORA 2007PCORC-5.07Update_16.37E Wild Horse Expansion DeferralRevwrkingfile SF" xfId="3224" xr:uid="{00000000-0005-0000-0000-0000910C0000}"/>
    <cellStyle name="_DEM-WP(C) Costs not in AURORA 2007PCORC-5.07Update_16.37E Wild Horse Expansion DeferralRevwrkingfile SF 2" xfId="3225" xr:uid="{00000000-0005-0000-0000-0000920C0000}"/>
    <cellStyle name="_DEM-WP(C) Costs not in AURORA 2007PCORC-5.07Update_16.37E Wild Horse Expansion DeferralRevwrkingfile SF 2 2" xfId="3226" xr:uid="{00000000-0005-0000-0000-0000930C0000}"/>
    <cellStyle name="_DEM-WP(C) Costs not in AURORA 2007PCORC-5.07Update_16.37E Wild Horse Expansion DeferralRevwrkingfile SF 3" xfId="3227" xr:uid="{00000000-0005-0000-0000-0000940C0000}"/>
    <cellStyle name="_DEM-WP(C) Costs not in AURORA 2007PCORC-5.07Update_2009 GRC Compl Filing - Exhibit D" xfId="3228" xr:uid="{00000000-0005-0000-0000-0000950C0000}"/>
    <cellStyle name="_DEM-WP(C) Costs not in AURORA 2007PCORC-5.07Update_2009 GRC Compl Filing - Exhibit D 2" xfId="3229" xr:uid="{00000000-0005-0000-0000-0000960C0000}"/>
    <cellStyle name="_DEM-WP(C) Costs not in AURORA 2007PCORC-5.07Update_Adj Bench DR 3 for Initial Briefs (Electric)" xfId="3230" xr:uid="{00000000-0005-0000-0000-0000970C0000}"/>
    <cellStyle name="_DEM-WP(C) Costs not in AURORA 2007PCORC-5.07Update_Adj Bench DR 3 for Initial Briefs (Electric) 2" xfId="3231" xr:uid="{00000000-0005-0000-0000-0000980C0000}"/>
    <cellStyle name="_DEM-WP(C) Costs not in AURORA 2007PCORC-5.07Update_Adj Bench DR 3 for Initial Briefs (Electric) 2 2" xfId="3232" xr:uid="{00000000-0005-0000-0000-0000990C0000}"/>
    <cellStyle name="_DEM-WP(C) Costs not in AURORA 2007PCORC-5.07Update_Adj Bench DR 3 for Initial Briefs (Electric) 3" xfId="3233" xr:uid="{00000000-0005-0000-0000-00009A0C0000}"/>
    <cellStyle name="_DEM-WP(C) Costs not in AURORA 2007PCORC-5.07Update_Book1" xfId="3234" xr:uid="{00000000-0005-0000-0000-00009B0C0000}"/>
    <cellStyle name="_DEM-WP(C) Costs not in AURORA 2007PCORC-5.07Update_Book2" xfId="3235" xr:uid="{00000000-0005-0000-0000-00009C0C0000}"/>
    <cellStyle name="_DEM-WP(C) Costs not in AURORA 2007PCORC-5.07Update_Book2 2" xfId="3236" xr:uid="{00000000-0005-0000-0000-00009D0C0000}"/>
    <cellStyle name="_DEM-WP(C) Costs not in AURORA 2007PCORC-5.07Update_Book2 2 2" xfId="3237" xr:uid="{00000000-0005-0000-0000-00009E0C0000}"/>
    <cellStyle name="_DEM-WP(C) Costs not in AURORA 2007PCORC-5.07Update_Book2 3" xfId="3238" xr:uid="{00000000-0005-0000-0000-00009F0C0000}"/>
    <cellStyle name="_DEM-WP(C) Costs not in AURORA 2007PCORC-5.07Update_Book4" xfId="3239" xr:uid="{00000000-0005-0000-0000-0000A00C0000}"/>
    <cellStyle name="_DEM-WP(C) Costs not in AURORA 2007PCORC-5.07Update_Book4 2" xfId="3240" xr:uid="{00000000-0005-0000-0000-0000A10C0000}"/>
    <cellStyle name="_DEM-WP(C) Costs not in AURORA 2007PCORC-5.07Update_Book4 2 2" xfId="3241" xr:uid="{00000000-0005-0000-0000-0000A20C0000}"/>
    <cellStyle name="_DEM-WP(C) Costs not in AURORA 2007PCORC-5.07Update_Book4 3" xfId="3242" xr:uid="{00000000-0005-0000-0000-0000A30C0000}"/>
    <cellStyle name="_DEM-WP(C) Costs not in AURORA 2007PCORC-5.07Update_Chelan PUD Power Costs (8-10)" xfId="3243" xr:uid="{00000000-0005-0000-0000-0000A40C0000}"/>
    <cellStyle name="_DEM-WP(C) Costs not in AURORA 2007PCORC-5.07Update_Confidential Material" xfId="3244" xr:uid="{00000000-0005-0000-0000-0000A50C0000}"/>
    <cellStyle name="_DEM-WP(C) Costs not in AURORA 2007PCORC-5.07Update_DEM-WP(C) Colstrip 12 Coal Cost Forecast 2010GRC" xfId="3245" xr:uid="{00000000-0005-0000-0000-0000A60C0000}"/>
    <cellStyle name="_DEM-WP(C) Costs not in AURORA 2007PCORC-5.07Update_DEM-WP(C) Production O&amp;M 2009GRC Rebuttal" xfId="3246" xr:uid="{00000000-0005-0000-0000-0000A70C0000}"/>
    <cellStyle name="_DEM-WP(C) Costs not in AURORA 2007PCORC-5.07Update_DEM-WP(C) Production O&amp;M 2009GRC Rebuttal 2" xfId="3247" xr:uid="{00000000-0005-0000-0000-0000A80C0000}"/>
    <cellStyle name="_DEM-WP(C) Costs not in AURORA 2007PCORC-5.07Update_DEM-WP(C) Production O&amp;M 2009GRC Rebuttal 2 2" xfId="3248" xr:uid="{00000000-0005-0000-0000-0000A90C0000}"/>
    <cellStyle name="_DEM-WP(C) Costs not in AURORA 2007PCORC-5.07Update_DEM-WP(C) Production O&amp;M 2009GRC Rebuttal 3" xfId="3249" xr:uid="{00000000-0005-0000-0000-0000AA0C0000}"/>
    <cellStyle name="_DEM-WP(C) Costs not in AURORA 2007PCORC-5.07Update_DEM-WP(C) Production O&amp;M 2009GRC Rebuttal_Adj Bench DR 3 for Initial Briefs (Electric)" xfId="3250" xr:uid="{00000000-0005-0000-0000-0000AB0C0000}"/>
    <cellStyle name="_DEM-WP(C) Costs not in AURORA 2007PCORC-5.07Update_DEM-WP(C) Production O&amp;M 2009GRC Rebuttal_Adj Bench DR 3 for Initial Briefs (Electric) 2" xfId="3251" xr:uid="{00000000-0005-0000-0000-0000AC0C0000}"/>
    <cellStyle name="_DEM-WP(C) Costs not in AURORA 2007PCORC-5.07Update_DEM-WP(C) Production O&amp;M 2009GRC Rebuttal_Adj Bench DR 3 for Initial Briefs (Electric) 2 2" xfId="3252" xr:uid="{00000000-0005-0000-0000-0000AD0C0000}"/>
    <cellStyle name="_DEM-WP(C) Costs not in AURORA 2007PCORC-5.07Update_DEM-WP(C) Production O&amp;M 2009GRC Rebuttal_Adj Bench DR 3 for Initial Briefs (Electric) 3" xfId="3253" xr:uid="{00000000-0005-0000-0000-0000AE0C0000}"/>
    <cellStyle name="_DEM-WP(C) Costs not in AURORA 2007PCORC-5.07Update_DEM-WP(C) Production O&amp;M 2009GRC Rebuttal_Book2" xfId="3254" xr:uid="{00000000-0005-0000-0000-0000AF0C0000}"/>
    <cellStyle name="_DEM-WP(C) Costs not in AURORA 2007PCORC-5.07Update_DEM-WP(C) Production O&amp;M 2009GRC Rebuttal_Book2 2" xfId="3255" xr:uid="{00000000-0005-0000-0000-0000B00C0000}"/>
    <cellStyle name="_DEM-WP(C) Costs not in AURORA 2007PCORC-5.07Update_DEM-WP(C) Production O&amp;M 2009GRC Rebuttal_Book2 2 2" xfId="3256" xr:uid="{00000000-0005-0000-0000-0000B10C0000}"/>
    <cellStyle name="_DEM-WP(C) Costs not in AURORA 2007PCORC-5.07Update_DEM-WP(C) Production O&amp;M 2009GRC Rebuttal_Book2 3" xfId="3257" xr:uid="{00000000-0005-0000-0000-0000B20C0000}"/>
    <cellStyle name="_DEM-WP(C) Costs not in AURORA 2007PCORC-5.07Update_DEM-WP(C) Production O&amp;M 2009GRC Rebuttal_Book2_Adj Bench DR 3 for Initial Briefs (Electric)" xfId="3258" xr:uid="{00000000-0005-0000-0000-0000B30C0000}"/>
    <cellStyle name="_DEM-WP(C) Costs not in AURORA 2007PCORC-5.07Update_DEM-WP(C) Production O&amp;M 2009GRC Rebuttal_Book2_Adj Bench DR 3 for Initial Briefs (Electric) 2" xfId="3259" xr:uid="{00000000-0005-0000-0000-0000B40C0000}"/>
    <cellStyle name="_DEM-WP(C) Costs not in AURORA 2007PCORC-5.07Update_DEM-WP(C) Production O&amp;M 2009GRC Rebuttal_Book2_Adj Bench DR 3 for Initial Briefs (Electric) 2 2" xfId="3260" xr:uid="{00000000-0005-0000-0000-0000B50C0000}"/>
    <cellStyle name="_DEM-WP(C) Costs not in AURORA 2007PCORC-5.07Update_DEM-WP(C) Production O&amp;M 2009GRC Rebuttal_Book2_Adj Bench DR 3 for Initial Briefs (Electric) 3" xfId="3261" xr:uid="{00000000-0005-0000-0000-0000B60C0000}"/>
    <cellStyle name="_DEM-WP(C) Costs not in AURORA 2007PCORC-5.07Update_DEM-WP(C) Production O&amp;M 2009GRC Rebuttal_Book2_Electric Rev Req Model (2009 GRC) Rebuttal" xfId="3262" xr:uid="{00000000-0005-0000-0000-0000B70C0000}"/>
    <cellStyle name="_DEM-WP(C) Costs not in AURORA 2007PCORC-5.07Update_DEM-WP(C) Production O&amp;M 2009GRC Rebuttal_Book2_Electric Rev Req Model (2009 GRC) Rebuttal 2" xfId="3263" xr:uid="{00000000-0005-0000-0000-0000B80C0000}"/>
    <cellStyle name="_DEM-WP(C) Costs not in AURORA 2007PCORC-5.07Update_DEM-WP(C) Production O&amp;M 2009GRC Rebuttal_Book2_Electric Rev Req Model (2009 GRC) Rebuttal 2 2" xfId="3264" xr:uid="{00000000-0005-0000-0000-0000B90C0000}"/>
    <cellStyle name="_DEM-WP(C) Costs not in AURORA 2007PCORC-5.07Update_DEM-WP(C) Production O&amp;M 2009GRC Rebuttal_Book2_Electric Rev Req Model (2009 GRC) Rebuttal 3" xfId="3265" xr:uid="{00000000-0005-0000-0000-0000BA0C0000}"/>
    <cellStyle name="_DEM-WP(C) Costs not in AURORA 2007PCORC-5.07Update_DEM-WP(C) Production O&amp;M 2009GRC Rebuttal_Book2_Electric Rev Req Model (2009 GRC) Rebuttal REmoval of New  WH Solar AdjustMI" xfId="3266" xr:uid="{00000000-0005-0000-0000-0000BB0C0000}"/>
    <cellStyle name="_DEM-WP(C) Costs not in AURORA 2007PCORC-5.07Update_DEM-WP(C) Production O&amp;M 2009GRC Rebuttal_Book2_Electric Rev Req Model (2009 GRC) Rebuttal REmoval of New  WH Solar AdjustMI 2" xfId="3267" xr:uid="{00000000-0005-0000-0000-0000BC0C0000}"/>
    <cellStyle name="_DEM-WP(C) Costs not in AURORA 2007PCORC-5.07Update_DEM-WP(C) Production O&amp;M 2009GRC Rebuttal_Book2_Electric Rev Req Model (2009 GRC) Rebuttal REmoval of New  WH Solar AdjustMI 2 2" xfId="3268" xr:uid="{00000000-0005-0000-0000-0000BD0C0000}"/>
    <cellStyle name="_DEM-WP(C) Costs not in AURORA 2007PCORC-5.07Update_DEM-WP(C) Production O&amp;M 2009GRC Rebuttal_Book2_Electric Rev Req Model (2009 GRC) Rebuttal REmoval of New  WH Solar AdjustMI 3" xfId="3269" xr:uid="{00000000-0005-0000-0000-0000BE0C0000}"/>
    <cellStyle name="_DEM-WP(C) Costs not in AURORA 2007PCORC-5.07Update_DEM-WP(C) Production O&amp;M 2009GRC Rebuttal_Book2_Electric Rev Req Model (2009 GRC) Revised 01-18-2010" xfId="3270" xr:uid="{00000000-0005-0000-0000-0000BF0C0000}"/>
    <cellStyle name="_DEM-WP(C) Costs not in AURORA 2007PCORC-5.07Update_DEM-WP(C) Production O&amp;M 2009GRC Rebuttal_Book2_Electric Rev Req Model (2009 GRC) Revised 01-18-2010 2" xfId="3271" xr:uid="{00000000-0005-0000-0000-0000C00C0000}"/>
    <cellStyle name="_DEM-WP(C) Costs not in AURORA 2007PCORC-5.07Update_DEM-WP(C) Production O&amp;M 2009GRC Rebuttal_Book2_Electric Rev Req Model (2009 GRC) Revised 01-18-2010 2 2" xfId="3272" xr:uid="{00000000-0005-0000-0000-0000C10C0000}"/>
    <cellStyle name="_DEM-WP(C) Costs not in AURORA 2007PCORC-5.07Update_DEM-WP(C) Production O&amp;M 2009GRC Rebuttal_Book2_Electric Rev Req Model (2009 GRC) Revised 01-18-2010 3" xfId="3273" xr:uid="{00000000-0005-0000-0000-0000C20C0000}"/>
    <cellStyle name="_DEM-WP(C) Costs not in AURORA 2007PCORC-5.07Update_DEM-WP(C) Production O&amp;M 2009GRC Rebuttal_Book2_Final Order Electric EXHIBIT A-1" xfId="3274" xr:uid="{00000000-0005-0000-0000-0000C30C0000}"/>
    <cellStyle name="_DEM-WP(C) Costs not in AURORA 2007PCORC-5.07Update_DEM-WP(C) Production O&amp;M 2009GRC Rebuttal_Book2_Final Order Electric EXHIBIT A-1 2" xfId="3275" xr:uid="{00000000-0005-0000-0000-0000C40C0000}"/>
    <cellStyle name="_DEM-WP(C) Costs not in AURORA 2007PCORC-5.07Update_DEM-WP(C) Production O&amp;M 2009GRC Rebuttal_Book2_Final Order Electric EXHIBIT A-1 2 2" xfId="3276" xr:uid="{00000000-0005-0000-0000-0000C50C0000}"/>
    <cellStyle name="_DEM-WP(C) Costs not in AURORA 2007PCORC-5.07Update_DEM-WP(C) Production O&amp;M 2009GRC Rebuttal_Book2_Final Order Electric EXHIBIT A-1 3" xfId="3277" xr:uid="{00000000-0005-0000-0000-0000C60C0000}"/>
    <cellStyle name="_DEM-WP(C) Costs not in AURORA 2007PCORC-5.07Update_DEM-WP(C) Production O&amp;M 2009GRC Rebuttal_Electric Rev Req Model (2009 GRC) Rebuttal" xfId="3278" xr:uid="{00000000-0005-0000-0000-0000C70C0000}"/>
    <cellStyle name="_DEM-WP(C) Costs not in AURORA 2007PCORC-5.07Update_DEM-WP(C) Production O&amp;M 2009GRC Rebuttal_Electric Rev Req Model (2009 GRC) Rebuttal 2" xfId="3279" xr:uid="{00000000-0005-0000-0000-0000C80C0000}"/>
    <cellStyle name="_DEM-WP(C) Costs not in AURORA 2007PCORC-5.07Update_DEM-WP(C) Production O&amp;M 2009GRC Rebuttal_Electric Rev Req Model (2009 GRC) Rebuttal 2 2" xfId="3280" xr:uid="{00000000-0005-0000-0000-0000C90C0000}"/>
    <cellStyle name="_DEM-WP(C) Costs not in AURORA 2007PCORC-5.07Update_DEM-WP(C) Production O&amp;M 2009GRC Rebuttal_Electric Rev Req Model (2009 GRC) Rebuttal 3" xfId="3281" xr:uid="{00000000-0005-0000-0000-0000CA0C0000}"/>
    <cellStyle name="_DEM-WP(C) Costs not in AURORA 2007PCORC-5.07Update_DEM-WP(C) Production O&amp;M 2009GRC Rebuttal_Electric Rev Req Model (2009 GRC) Rebuttal REmoval of New  WH Solar AdjustMI" xfId="3282" xr:uid="{00000000-0005-0000-0000-0000CB0C0000}"/>
    <cellStyle name="_DEM-WP(C) Costs not in AURORA 2007PCORC-5.07Update_DEM-WP(C) Production O&amp;M 2009GRC Rebuttal_Electric Rev Req Model (2009 GRC) Rebuttal REmoval of New  WH Solar AdjustMI 2" xfId="3283" xr:uid="{00000000-0005-0000-0000-0000CC0C0000}"/>
    <cellStyle name="_DEM-WP(C) Costs not in AURORA 2007PCORC-5.07Update_DEM-WP(C) Production O&amp;M 2009GRC Rebuttal_Electric Rev Req Model (2009 GRC) Rebuttal REmoval of New  WH Solar AdjustMI 2 2" xfId="3284" xr:uid="{00000000-0005-0000-0000-0000CD0C0000}"/>
    <cellStyle name="_DEM-WP(C) Costs not in AURORA 2007PCORC-5.07Update_DEM-WP(C) Production O&amp;M 2009GRC Rebuttal_Electric Rev Req Model (2009 GRC) Rebuttal REmoval of New  WH Solar AdjustMI 3" xfId="3285" xr:uid="{00000000-0005-0000-0000-0000CE0C0000}"/>
    <cellStyle name="_DEM-WP(C) Costs not in AURORA 2007PCORC-5.07Update_DEM-WP(C) Production O&amp;M 2009GRC Rebuttal_Electric Rev Req Model (2009 GRC) Revised 01-18-2010" xfId="3286" xr:uid="{00000000-0005-0000-0000-0000CF0C0000}"/>
    <cellStyle name="_DEM-WP(C) Costs not in AURORA 2007PCORC-5.07Update_DEM-WP(C) Production O&amp;M 2009GRC Rebuttal_Electric Rev Req Model (2009 GRC) Revised 01-18-2010 2" xfId="3287" xr:uid="{00000000-0005-0000-0000-0000D00C0000}"/>
    <cellStyle name="_DEM-WP(C) Costs not in AURORA 2007PCORC-5.07Update_DEM-WP(C) Production O&amp;M 2009GRC Rebuttal_Electric Rev Req Model (2009 GRC) Revised 01-18-2010 2 2" xfId="3288" xr:uid="{00000000-0005-0000-0000-0000D10C0000}"/>
    <cellStyle name="_DEM-WP(C) Costs not in AURORA 2007PCORC-5.07Update_DEM-WP(C) Production O&amp;M 2009GRC Rebuttal_Electric Rev Req Model (2009 GRC) Revised 01-18-2010 3" xfId="3289" xr:uid="{00000000-0005-0000-0000-0000D20C0000}"/>
    <cellStyle name="_DEM-WP(C) Costs not in AURORA 2007PCORC-5.07Update_DEM-WP(C) Production O&amp;M 2009GRC Rebuttal_Final Order Electric EXHIBIT A-1" xfId="3290" xr:uid="{00000000-0005-0000-0000-0000D30C0000}"/>
    <cellStyle name="_DEM-WP(C) Costs not in AURORA 2007PCORC-5.07Update_DEM-WP(C) Production O&amp;M 2009GRC Rebuttal_Final Order Electric EXHIBIT A-1 2" xfId="3291" xr:uid="{00000000-0005-0000-0000-0000D40C0000}"/>
    <cellStyle name="_DEM-WP(C) Costs not in AURORA 2007PCORC-5.07Update_DEM-WP(C) Production O&amp;M 2009GRC Rebuttal_Final Order Electric EXHIBIT A-1 2 2" xfId="3292" xr:uid="{00000000-0005-0000-0000-0000D50C0000}"/>
    <cellStyle name="_DEM-WP(C) Costs not in AURORA 2007PCORC-5.07Update_DEM-WP(C) Production O&amp;M 2009GRC Rebuttal_Final Order Electric EXHIBIT A-1 3" xfId="3293" xr:uid="{00000000-0005-0000-0000-0000D60C0000}"/>
    <cellStyle name="_DEM-WP(C) Costs not in AURORA 2007PCORC-5.07Update_DEM-WP(C) Production O&amp;M 2009GRC Rebuttal_Rebuttal Power Costs" xfId="3294" xr:uid="{00000000-0005-0000-0000-0000D70C0000}"/>
    <cellStyle name="_DEM-WP(C) Costs not in AURORA 2007PCORC-5.07Update_DEM-WP(C) Production O&amp;M 2009GRC Rebuttal_Rebuttal Power Costs 2" xfId="3295" xr:uid="{00000000-0005-0000-0000-0000D80C0000}"/>
    <cellStyle name="_DEM-WP(C) Costs not in AURORA 2007PCORC-5.07Update_DEM-WP(C) Production O&amp;M 2009GRC Rebuttal_Rebuttal Power Costs 2 2" xfId="3296" xr:uid="{00000000-0005-0000-0000-0000D90C0000}"/>
    <cellStyle name="_DEM-WP(C) Costs not in AURORA 2007PCORC-5.07Update_DEM-WP(C) Production O&amp;M 2009GRC Rebuttal_Rebuttal Power Costs 3" xfId="3297" xr:uid="{00000000-0005-0000-0000-0000DA0C0000}"/>
    <cellStyle name="_DEM-WP(C) Costs not in AURORA 2007PCORC-5.07Update_DEM-WP(C) Production O&amp;M 2009GRC Rebuttal_Rebuttal Power Costs_Adj Bench DR 3 for Initial Briefs (Electric)" xfId="3298" xr:uid="{00000000-0005-0000-0000-0000DB0C0000}"/>
    <cellStyle name="_DEM-WP(C) Costs not in AURORA 2007PCORC-5.07Update_DEM-WP(C) Production O&amp;M 2009GRC Rebuttal_Rebuttal Power Costs_Adj Bench DR 3 for Initial Briefs (Electric) 2" xfId="3299" xr:uid="{00000000-0005-0000-0000-0000DC0C0000}"/>
    <cellStyle name="_DEM-WP(C) Costs not in AURORA 2007PCORC-5.07Update_DEM-WP(C) Production O&amp;M 2009GRC Rebuttal_Rebuttal Power Costs_Adj Bench DR 3 for Initial Briefs (Electric) 2 2" xfId="3300" xr:uid="{00000000-0005-0000-0000-0000DD0C0000}"/>
    <cellStyle name="_DEM-WP(C) Costs not in AURORA 2007PCORC-5.07Update_DEM-WP(C) Production O&amp;M 2009GRC Rebuttal_Rebuttal Power Costs_Adj Bench DR 3 for Initial Briefs (Electric) 3" xfId="3301" xr:uid="{00000000-0005-0000-0000-0000DE0C0000}"/>
    <cellStyle name="_DEM-WP(C) Costs not in AURORA 2007PCORC-5.07Update_DEM-WP(C) Production O&amp;M 2009GRC Rebuttal_Rebuttal Power Costs_Electric Rev Req Model (2009 GRC) Rebuttal" xfId="3302" xr:uid="{00000000-0005-0000-0000-0000DF0C0000}"/>
    <cellStyle name="_DEM-WP(C) Costs not in AURORA 2007PCORC-5.07Update_DEM-WP(C) Production O&amp;M 2009GRC Rebuttal_Rebuttal Power Costs_Electric Rev Req Model (2009 GRC) Rebuttal 2" xfId="3303" xr:uid="{00000000-0005-0000-0000-0000E00C0000}"/>
    <cellStyle name="_DEM-WP(C) Costs not in AURORA 2007PCORC-5.07Update_DEM-WP(C) Production O&amp;M 2009GRC Rebuttal_Rebuttal Power Costs_Electric Rev Req Model (2009 GRC) Rebuttal 2 2" xfId="3304" xr:uid="{00000000-0005-0000-0000-0000E10C0000}"/>
    <cellStyle name="_DEM-WP(C) Costs not in AURORA 2007PCORC-5.07Update_DEM-WP(C) Production O&amp;M 2009GRC Rebuttal_Rebuttal Power Costs_Electric Rev Req Model (2009 GRC) Rebuttal 3" xfId="3305" xr:uid="{00000000-0005-0000-0000-0000E20C0000}"/>
    <cellStyle name="_DEM-WP(C) Costs not in AURORA 2007PCORC-5.07Update_DEM-WP(C) Production O&amp;M 2009GRC Rebuttal_Rebuttal Power Costs_Electric Rev Req Model (2009 GRC) Rebuttal REmoval of New  WH Solar AdjustMI" xfId="3306" xr:uid="{00000000-0005-0000-0000-0000E30C0000}"/>
    <cellStyle name="_DEM-WP(C) Costs not in AURORA 2007PCORC-5.07Update_DEM-WP(C) Production O&amp;M 2009GRC Rebuttal_Rebuttal Power Costs_Electric Rev Req Model (2009 GRC) Rebuttal REmoval of New  WH Solar AdjustMI 2" xfId="3307" xr:uid="{00000000-0005-0000-0000-0000E40C0000}"/>
    <cellStyle name="_DEM-WP(C) Costs not in AURORA 2007PCORC-5.07Update_DEM-WP(C) Production O&amp;M 2009GRC Rebuttal_Rebuttal Power Costs_Electric Rev Req Model (2009 GRC) Rebuttal REmoval of New  WH Solar AdjustMI 2 2" xfId="3308" xr:uid="{00000000-0005-0000-0000-0000E50C0000}"/>
    <cellStyle name="_DEM-WP(C) Costs not in AURORA 2007PCORC-5.07Update_DEM-WP(C) Production O&amp;M 2009GRC Rebuttal_Rebuttal Power Costs_Electric Rev Req Model (2009 GRC) Rebuttal REmoval of New  WH Solar AdjustMI 3" xfId="3309" xr:uid="{00000000-0005-0000-0000-0000E60C0000}"/>
    <cellStyle name="_DEM-WP(C) Costs not in AURORA 2007PCORC-5.07Update_DEM-WP(C) Production O&amp;M 2009GRC Rebuttal_Rebuttal Power Costs_Electric Rev Req Model (2009 GRC) Revised 01-18-2010" xfId="3310" xr:uid="{00000000-0005-0000-0000-0000E70C0000}"/>
    <cellStyle name="_DEM-WP(C) Costs not in AURORA 2007PCORC-5.07Update_DEM-WP(C) Production O&amp;M 2009GRC Rebuttal_Rebuttal Power Costs_Electric Rev Req Model (2009 GRC) Revised 01-18-2010 2" xfId="3311" xr:uid="{00000000-0005-0000-0000-0000E80C0000}"/>
    <cellStyle name="_DEM-WP(C) Costs not in AURORA 2007PCORC-5.07Update_DEM-WP(C) Production O&amp;M 2009GRC Rebuttal_Rebuttal Power Costs_Electric Rev Req Model (2009 GRC) Revised 01-18-2010 2 2" xfId="3312" xr:uid="{00000000-0005-0000-0000-0000E90C0000}"/>
    <cellStyle name="_DEM-WP(C) Costs not in AURORA 2007PCORC-5.07Update_DEM-WP(C) Production O&amp;M 2009GRC Rebuttal_Rebuttal Power Costs_Electric Rev Req Model (2009 GRC) Revised 01-18-2010 3" xfId="3313" xr:uid="{00000000-0005-0000-0000-0000EA0C0000}"/>
    <cellStyle name="_DEM-WP(C) Costs not in AURORA 2007PCORC-5.07Update_DEM-WP(C) Production O&amp;M 2009GRC Rebuttal_Rebuttal Power Costs_Final Order Electric EXHIBIT A-1" xfId="3314" xr:uid="{00000000-0005-0000-0000-0000EB0C0000}"/>
    <cellStyle name="_DEM-WP(C) Costs not in AURORA 2007PCORC-5.07Update_DEM-WP(C) Production O&amp;M 2009GRC Rebuttal_Rebuttal Power Costs_Final Order Electric EXHIBIT A-1 2" xfId="3315" xr:uid="{00000000-0005-0000-0000-0000EC0C0000}"/>
    <cellStyle name="_DEM-WP(C) Costs not in AURORA 2007PCORC-5.07Update_DEM-WP(C) Production O&amp;M 2009GRC Rebuttal_Rebuttal Power Costs_Final Order Electric EXHIBIT A-1 2 2" xfId="3316" xr:uid="{00000000-0005-0000-0000-0000ED0C0000}"/>
    <cellStyle name="_DEM-WP(C) Costs not in AURORA 2007PCORC-5.07Update_DEM-WP(C) Production O&amp;M 2009GRC Rebuttal_Rebuttal Power Costs_Final Order Electric EXHIBIT A-1 3" xfId="3317" xr:uid="{00000000-0005-0000-0000-0000EE0C0000}"/>
    <cellStyle name="_DEM-WP(C) Costs not in AURORA 2007PCORC-5.07Update_DEM-WP(C) Production O&amp;M 2010GRC As-Filed" xfId="3318" xr:uid="{00000000-0005-0000-0000-0000EF0C0000}"/>
    <cellStyle name="_DEM-WP(C) Costs not in AURORA 2007PCORC-5.07Update_DEM-WP(C) Production O&amp;M 2010GRC As-Filed 2" xfId="3319" xr:uid="{00000000-0005-0000-0000-0000F00C0000}"/>
    <cellStyle name="_DEM-WP(C) Costs not in AURORA 2007PCORC-5.07Update_Electric Rev Req Model (2009 GRC) " xfId="3320" xr:uid="{00000000-0005-0000-0000-0000F10C0000}"/>
    <cellStyle name="_DEM-WP(C) Costs not in AURORA 2007PCORC-5.07Update_Electric Rev Req Model (2009 GRC)  2" xfId="3321" xr:uid="{00000000-0005-0000-0000-0000F20C0000}"/>
    <cellStyle name="_DEM-WP(C) Costs not in AURORA 2007PCORC-5.07Update_Electric Rev Req Model (2009 GRC)  2 2" xfId="3322" xr:uid="{00000000-0005-0000-0000-0000F30C0000}"/>
    <cellStyle name="_DEM-WP(C) Costs not in AURORA 2007PCORC-5.07Update_Electric Rev Req Model (2009 GRC)  3" xfId="3323" xr:uid="{00000000-0005-0000-0000-0000F40C0000}"/>
    <cellStyle name="_DEM-WP(C) Costs not in AURORA 2007PCORC-5.07Update_Electric Rev Req Model (2009 GRC) Rebuttal" xfId="3324" xr:uid="{00000000-0005-0000-0000-0000F50C0000}"/>
    <cellStyle name="_DEM-WP(C) Costs not in AURORA 2007PCORC-5.07Update_Electric Rev Req Model (2009 GRC) Rebuttal 2" xfId="3325" xr:uid="{00000000-0005-0000-0000-0000F60C0000}"/>
    <cellStyle name="_DEM-WP(C) Costs not in AURORA 2007PCORC-5.07Update_Electric Rev Req Model (2009 GRC) Rebuttal 2 2" xfId="3326" xr:uid="{00000000-0005-0000-0000-0000F70C0000}"/>
    <cellStyle name="_DEM-WP(C) Costs not in AURORA 2007PCORC-5.07Update_Electric Rev Req Model (2009 GRC) Rebuttal 3" xfId="3327" xr:uid="{00000000-0005-0000-0000-0000F80C0000}"/>
    <cellStyle name="_DEM-WP(C) Costs not in AURORA 2007PCORC-5.07Update_Electric Rev Req Model (2009 GRC) Rebuttal REmoval of New  WH Solar AdjustMI" xfId="3328" xr:uid="{00000000-0005-0000-0000-0000F90C0000}"/>
    <cellStyle name="_DEM-WP(C) Costs not in AURORA 2007PCORC-5.07Update_Electric Rev Req Model (2009 GRC) Rebuttal REmoval of New  WH Solar AdjustMI 2" xfId="3329" xr:uid="{00000000-0005-0000-0000-0000FA0C0000}"/>
    <cellStyle name="_DEM-WP(C) Costs not in AURORA 2007PCORC-5.07Update_Electric Rev Req Model (2009 GRC) Rebuttal REmoval of New  WH Solar AdjustMI 2 2" xfId="3330" xr:uid="{00000000-0005-0000-0000-0000FB0C0000}"/>
    <cellStyle name="_DEM-WP(C) Costs not in AURORA 2007PCORC-5.07Update_Electric Rev Req Model (2009 GRC) Rebuttal REmoval of New  WH Solar AdjustMI 3" xfId="3331" xr:uid="{00000000-0005-0000-0000-0000FC0C0000}"/>
    <cellStyle name="_DEM-WP(C) Costs not in AURORA 2007PCORC-5.07Update_Electric Rev Req Model (2009 GRC) Revised 01-18-2010" xfId="3332" xr:uid="{00000000-0005-0000-0000-0000FD0C0000}"/>
    <cellStyle name="_DEM-WP(C) Costs not in AURORA 2007PCORC-5.07Update_Electric Rev Req Model (2009 GRC) Revised 01-18-2010 2" xfId="3333" xr:uid="{00000000-0005-0000-0000-0000FE0C0000}"/>
    <cellStyle name="_DEM-WP(C) Costs not in AURORA 2007PCORC-5.07Update_Electric Rev Req Model (2009 GRC) Revised 01-18-2010 2 2" xfId="3334" xr:uid="{00000000-0005-0000-0000-0000FF0C0000}"/>
    <cellStyle name="_DEM-WP(C) Costs not in AURORA 2007PCORC-5.07Update_Electric Rev Req Model (2009 GRC) Revised 01-18-2010 3" xfId="3335" xr:uid="{00000000-0005-0000-0000-0000000D0000}"/>
    <cellStyle name="_DEM-WP(C) Costs not in AURORA 2007PCORC-5.07Update_Electric Rev Req Model (2010 GRC)" xfId="3336" xr:uid="{00000000-0005-0000-0000-0000010D0000}"/>
    <cellStyle name="_DEM-WP(C) Costs not in AURORA 2007PCORC-5.07Update_Electric Rev Req Model (2010 GRC) SF" xfId="3337" xr:uid="{00000000-0005-0000-0000-0000020D0000}"/>
    <cellStyle name="_DEM-WP(C) Costs not in AURORA 2007PCORC-5.07Update_Final Order Electric" xfId="3338" xr:uid="{00000000-0005-0000-0000-0000030D0000}"/>
    <cellStyle name="_DEM-WP(C) Costs not in AURORA 2007PCORC-5.07Update_Final Order Electric EXHIBIT A-1" xfId="3339" xr:uid="{00000000-0005-0000-0000-0000040D0000}"/>
    <cellStyle name="_DEM-WP(C) Costs not in AURORA 2007PCORC-5.07Update_Final Order Electric EXHIBIT A-1 2" xfId="3340" xr:uid="{00000000-0005-0000-0000-0000050D0000}"/>
    <cellStyle name="_DEM-WP(C) Costs not in AURORA 2007PCORC-5.07Update_Final Order Electric EXHIBIT A-1 2 2" xfId="3341" xr:uid="{00000000-0005-0000-0000-0000060D0000}"/>
    <cellStyle name="_DEM-WP(C) Costs not in AURORA 2007PCORC-5.07Update_Final Order Electric EXHIBIT A-1 3" xfId="3342" xr:uid="{00000000-0005-0000-0000-0000070D0000}"/>
    <cellStyle name="_DEM-WP(C) Costs not in AURORA 2007PCORC-5.07Update_NIM Summary" xfId="3343" xr:uid="{00000000-0005-0000-0000-0000080D0000}"/>
    <cellStyle name="_DEM-WP(C) Costs not in AURORA 2007PCORC-5.07Update_NIM Summary 09GRC" xfId="3344" xr:uid="{00000000-0005-0000-0000-0000090D0000}"/>
    <cellStyle name="_DEM-WP(C) Costs not in AURORA 2007PCORC-5.07Update_NIM Summary 09GRC 2" xfId="3345" xr:uid="{00000000-0005-0000-0000-00000A0D0000}"/>
    <cellStyle name="_DEM-WP(C) Costs not in AURORA 2007PCORC-5.07Update_NIM Summary 09GRC_NIM Summary" xfId="3346" xr:uid="{00000000-0005-0000-0000-00000B0D0000}"/>
    <cellStyle name="_DEM-WP(C) Costs not in AURORA 2007PCORC-5.07Update_NIM Summary 09GRC_NIM Summary 2" xfId="3347" xr:uid="{00000000-0005-0000-0000-00000C0D0000}"/>
    <cellStyle name="_DEM-WP(C) Costs not in AURORA 2007PCORC-5.07Update_NIM Summary 2" xfId="3348" xr:uid="{00000000-0005-0000-0000-00000D0D0000}"/>
    <cellStyle name="_DEM-WP(C) Costs not in AURORA 2007PCORC-5.07Update_NIM Summary 3" xfId="3349" xr:uid="{00000000-0005-0000-0000-00000E0D0000}"/>
    <cellStyle name="_DEM-WP(C) Costs not in AURORA 2007PCORC-5.07Update_NIM Summary 4" xfId="3350" xr:uid="{00000000-0005-0000-0000-00000F0D0000}"/>
    <cellStyle name="_DEM-WP(C) Costs not in AURORA 2007PCORC-5.07Update_NIM Summary 5" xfId="3351" xr:uid="{00000000-0005-0000-0000-0000100D0000}"/>
    <cellStyle name="_DEM-WP(C) Costs not in AURORA 2007PCORC-5.07Update_NIM Summary 6" xfId="3352" xr:uid="{00000000-0005-0000-0000-0000110D0000}"/>
    <cellStyle name="_DEM-WP(C) Costs not in AURORA 2007PCORC-5.07Update_NIM Summary 7" xfId="3353" xr:uid="{00000000-0005-0000-0000-0000120D0000}"/>
    <cellStyle name="_DEM-WP(C) Costs not in AURORA 2007PCORC-5.07Update_NIM Summary 8" xfId="3354" xr:uid="{00000000-0005-0000-0000-0000130D0000}"/>
    <cellStyle name="_DEM-WP(C) Costs not in AURORA 2007PCORC-5.07Update_NIM Summary 9" xfId="3355" xr:uid="{00000000-0005-0000-0000-0000140D0000}"/>
    <cellStyle name="_DEM-WP(C) Costs not in AURORA 2007PCORC-5.07Update_Power Costs - Comparison bx Rbtl-Staff-Jt-PC" xfId="3356" xr:uid="{00000000-0005-0000-0000-0000150D0000}"/>
    <cellStyle name="_DEM-WP(C) Costs not in AURORA 2007PCORC-5.07Update_Power Costs - Comparison bx Rbtl-Staff-Jt-PC 2" xfId="3357" xr:uid="{00000000-0005-0000-0000-0000160D0000}"/>
    <cellStyle name="_DEM-WP(C) Costs not in AURORA 2007PCORC-5.07Update_Power Costs - Comparison bx Rbtl-Staff-Jt-PC 2 2" xfId="3358" xr:uid="{00000000-0005-0000-0000-0000170D0000}"/>
    <cellStyle name="_DEM-WP(C) Costs not in AURORA 2007PCORC-5.07Update_Power Costs - Comparison bx Rbtl-Staff-Jt-PC 3" xfId="3359" xr:uid="{00000000-0005-0000-0000-0000180D0000}"/>
    <cellStyle name="_DEM-WP(C) Costs not in AURORA 2007PCORC-5.07Update_Rebuttal Power Costs" xfId="3360" xr:uid="{00000000-0005-0000-0000-0000190D0000}"/>
    <cellStyle name="_DEM-WP(C) Costs not in AURORA 2007PCORC-5.07Update_Rebuttal Power Costs 2" xfId="3361" xr:uid="{00000000-0005-0000-0000-00001A0D0000}"/>
    <cellStyle name="_DEM-WP(C) Costs not in AURORA 2007PCORC-5.07Update_Rebuttal Power Costs 2 2" xfId="3362" xr:uid="{00000000-0005-0000-0000-00001B0D0000}"/>
    <cellStyle name="_DEM-WP(C) Costs not in AURORA 2007PCORC-5.07Update_Rebuttal Power Costs 3" xfId="3363" xr:uid="{00000000-0005-0000-0000-00001C0D0000}"/>
    <cellStyle name="_DEM-WP(C) Costs not in AURORA 2007PCORC-5.07Update_TENASKA REGULATORY ASSET" xfId="3364" xr:uid="{00000000-0005-0000-0000-00001D0D0000}"/>
    <cellStyle name="_DEM-WP(C) Costs not in AURORA 2007PCORC-5.07Update_TENASKA REGULATORY ASSET 2" xfId="3365" xr:uid="{00000000-0005-0000-0000-00001E0D0000}"/>
    <cellStyle name="_DEM-WP(C) Costs not in AURORA 2007PCORC-5.07Update_TENASKA REGULATORY ASSET 2 2" xfId="3366" xr:uid="{00000000-0005-0000-0000-00001F0D0000}"/>
    <cellStyle name="_DEM-WP(C) Costs not in AURORA 2007PCORC-5.07Update_TENASKA REGULATORY ASSET 3" xfId="3367" xr:uid="{00000000-0005-0000-0000-0000200D0000}"/>
    <cellStyle name="_DEM-WP(C) Costs Not In AURORA 2009GRC" xfId="3368" xr:uid="{00000000-0005-0000-0000-0000210D0000}"/>
    <cellStyle name="_DEM-WP(C) Prod O&amp;M 2007GRC" xfId="3369" xr:uid="{00000000-0005-0000-0000-0000220D0000}"/>
    <cellStyle name="_DEM-WP(C) Prod O&amp;M 2007GRC 2" xfId="3370" xr:uid="{00000000-0005-0000-0000-0000230D0000}"/>
    <cellStyle name="_DEM-WP(C) Prod O&amp;M 2007GRC 2 2" xfId="3371" xr:uid="{00000000-0005-0000-0000-0000240D0000}"/>
    <cellStyle name="_DEM-WP(C) Prod O&amp;M 2007GRC 3" xfId="3372" xr:uid="{00000000-0005-0000-0000-0000250D0000}"/>
    <cellStyle name="_DEM-WP(C) Prod O&amp;M 2007GRC_Adj Bench DR 3 for Initial Briefs (Electric)" xfId="3373" xr:uid="{00000000-0005-0000-0000-0000260D0000}"/>
    <cellStyle name="_DEM-WP(C) Prod O&amp;M 2007GRC_Adj Bench DR 3 for Initial Briefs (Electric) 2" xfId="3374" xr:uid="{00000000-0005-0000-0000-0000270D0000}"/>
    <cellStyle name="_DEM-WP(C) Prod O&amp;M 2007GRC_Adj Bench DR 3 for Initial Briefs (Electric) 2 2" xfId="3375" xr:uid="{00000000-0005-0000-0000-0000280D0000}"/>
    <cellStyle name="_DEM-WP(C) Prod O&amp;M 2007GRC_Adj Bench DR 3 for Initial Briefs (Electric) 3" xfId="3376" xr:uid="{00000000-0005-0000-0000-0000290D0000}"/>
    <cellStyle name="_DEM-WP(C) Prod O&amp;M 2007GRC_Book2" xfId="3377" xr:uid="{00000000-0005-0000-0000-00002A0D0000}"/>
    <cellStyle name="_DEM-WP(C) Prod O&amp;M 2007GRC_Book2 2" xfId="3378" xr:uid="{00000000-0005-0000-0000-00002B0D0000}"/>
    <cellStyle name="_DEM-WP(C) Prod O&amp;M 2007GRC_Book2 2 2" xfId="3379" xr:uid="{00000000-0005-0000-0000-00002C0D0000}"/>
    <cellStyle name="_DEM-WP(C) Prod O&amp;M 2007GRC_Book2 3" xfId="3380" xr:uid="{00000000-0005-0000-0000-00002D0D0000}"/>
    <cellStyle name="_DEM-WP(C) Prod O&amp;M 2007GRC_Book2_Adj Bench DR 3 for Initial Briefs (Electric)" xfId="3381" xr:uid="{00000000-0005-0000-0000-00002E0D0000}"/>
    <cellStyle name="_DEM-WP(C) Prod O&amp;M 2007GRC_Book2_Adj Bench DR 3 for Initial Briefs (Electric) 2" xfId="3382" xr:uid="{00000000-0005-0000-0000-00002F0D0000}"/>
    <cellStyle name="_DEM-WP(C) Prod O&amp;M 2007GRC_Book2_Adj Bench DR 3 for Initial Briefs (Electric) 2 2" xfId="3383" xr:uid="{00000000-0005-0000-0000-0000300D0000}"/>
    <cellStyle name="_DEM-WP(C) Prod O&amp;M 2007GRC_Book2_Adj Bench DR 3 for Initial Briefs (Electric) 3" xfId="3384" xr:uid="{00000000-0005-0000-0000-0000310D0000}"/>
    <cellStyle name="_DEM-WP(C) Prod O&amp;M 2007GRC_Book2_Electric Rev Req Model (2009 GRC) Rebuttal" xfId="3385" xr:uid="{00000000-0005-0000-0000-0000320D0000}"/>
    <cellStyle name="_DEM-WP(C) Prod O&amp;M 2007GRC_Book2_Electric Rev Req Model (2009 GRC) Rebuttal 2" xfId="3386" xr:uid="{00000000-0005-0000-0000-0000330D0000}"/>
    <cellStyle name="_DEM-WP(C) Prod O&amp;M 2007GRC_Book2_Electric Rev Req Model (2009 GRC) Rebuttal 2 2" xfId="3387" xr:uid="{00000000-0005-0000-0000-0000340D0000}"/>
    <cellStyle name="_DEM-WP(C) Prod O&amp;M 2007GRC_Book2_Electric Rev Req Model (2009 GRC) Rebuttal 3" xfId="3388" xr:uid="{00000000-0005-0000-0000-0000350D0000}"/>
    <cellStyle name="_DEM-WP(C) Prod O&amp;M 2007GRC_Book2_Electric Rev Req Model (2009 GRC) Rebuttal REmoval of New  WH Solar AdjustMI" xfId="3389" xr:uid="{00000000-0005-0000-0000-0000360D0000}"/>
    <cellStyle name="_DEM-WP(C) Prod O&amp;M 2007GRC_Book2_Electric Rev Req Model (2009 GRC) Rebuttal REmoval of New  WH Solar AdjustMI 2" xfId="3390" xr:uid="{00000000-0005-0000-0000-0000370D0000}"/>
    <cellStyle name="_DEM-WP(C) Prod O&amp;M 2007GRC_Book2_Electric Rev Req Model (2009 GRC) Rebuttal REmoval of New  WH Solar AdjustMI 2 2" xfId="3391" xr:uid="{00000000-0005-0000-0000-0000380D0000}"/>
    <cellStyle name="_DEM-WP(C) Prod O&amp;M 2007GRC_Book2_Electric Rev Req Model (2009 GRC) Rebuttal REmoval of New  WH Solar AdjustMI 3" xfId="3392" xr:uid="{00000000-0005-0000-0000-0000390D0000}"/>
    <cellStyle name="_DEM-WP(C) Prod O&amp;M 2007GRC_Book2_Electric Rev Req Model (2009 GRC) Revised 01-18-2010" xfId="3393" xr:uid="{00000000-0005-0000-0000-00003A0D0000}"/>
    <cellStyle name="_DEM-WP(C) Prod O&amp;M 2007GRC_Book2_Electric Rev Req Model (2009 GRC) Revised 01-18-2010 2" xfId="3394" xr:uid="{00000000-0005-0000-0000-00003B0D0000}"/>
    <cellStyle name="_DEM-WP(C) Prod O&amp;M 2007GRC_Book2_Electric Rev Req Model (2009 GRC) Revised 01-18-2010 2 2" xfId="3395" xr:uid="{00000000-0005-0000-0000-00003C0D0000}"/>
    <cellStyle name="_DEM-WP(C) Prod O&amp;M 2007GRC_Book2_Electric Rev Req Model (2009 GRC) Revised 01-18-2010 3" xfId="3396" xr:uid="{00000000-0005-0000-0000-00003D0D0000}"/>
    <cellStyle name="_DEM-WP(C) Prod O&amp;M 2007GRC_Book2_Final Order Electric EXHIBIT A-1" xfId="3397" xr:uid="{00000000-0005-0000-0000-00003E0D0000}"/>
    <cellStyle name="_DEM-WP(C) Prod O&amp;M 2007GRC_Book2_Final Order Electric EXHIBIT A-1 2" xfId="3398" xr:uid="{00000000-0005-0000-0000-00003F0D0000}"/>
    <cellStyle name="_DEM-WP(C) Prod O&amp;M 2007GRC_Book2_Final Order Electric EXHIBIT A-1 2 2" xfId="3399" xr:uid="{00000000-0005-0000-0000-0000400D0000}"/>
    <cellStyle name="_DEM-WP(C) Prod O&amp;M 2007GRC_Book2_Final Order Electric EXHIBIT A-1 3" xfId="3400" xr:uid="{00000000-0005-0000-0000-0000410D0000}"/>
    <cellStyle name="_DEM-WP(C) Prod O&amp;M 2007GRC_Confidential Material" xfId="3401" xr:uid="{00000000-0005-0000-0000-0000420D0000}"/>
    <cellStyle name="_DEM-WP(C) Prod O&amp;M 2007GRC_DEM-WP(C) Colstrip 12 Coal Cost Forecast 2010GRC" xfId="3402" xr:uid="{00000000-0005-0000-0000-0000430D0000}"/>
    <cellStyle name="_DEM-WP(C) Prod O&amp;M 2007GRC_DEM-WP(C) Production O&amp;M 2010GRC As-Filed" xfId="3403" xr:uid="{00000000-0005-0000-0000-0000440D0000}"/>
    <cellStyle name="_DEM-WP(C) Prod O&amp;M 2007GRC_DEM-WP(C) Production O&amp;M 2010GRC As-Filed 2" xfId="3404" xr:uid="{00000000-0005-0000-0000-0000450D0000}"/>
    <cellStyle name="_DEM-WP(C) Prod O&amp;M 2007GRC_Electric Rev Req Model (2009 GRC) Rebuttal" xfId="3405" xr:uid="{00000000-0005-0000-0000-0000460D0000}"/>
    <cellStyle name="_DEM-WP(C) Prod O&amp;M 2007GRC_Electric Rev Req Model (2009 GRC) Rebuttal 2" xfId="3406" xr:uid="{00000000-0005-0000-0000-0000470D0000}"/>
    <cellStyle name="_DEM-WP(C) Prod O&amp;M 2007GRC_Electric Rev Req Model (2009 GRC) Rebuttal 2 2" xfId="3407" xr:uid="{00000000-0005-0000-0000-0000480D0000}"/>
    <cellStyle name="_DEM-WP(C) Prod O&amp;M 2007GRC_Electric Rev Req Model (2009 GRC) Rebuttal 3" xfId="3408" xr:uid="{00000000-0005-0000-0000-0000490D0000}"/>
    <cellStyle name="_DEM-WP(C) Prod O&amp;M 2007GRC_Electric Rev Req Model (2009 GRC) Rebuttal REmoval of New  WH Solar AdjustMI" xfId="3409" xr:uid="{00000000-0005-0000-0000-00004A0D0000}"/>
    <cellStyle name="_DEM-WP(C) Prod O&amp;M 2007GRC_Electric Rev Req Model (2009 GRC) Rebuttal REmoval of New  WH Solar AdjustMI 2" xfId="3410" xr:uid="{00000000-0005-0000-0000-00004B0D0000}"/>
    <cellStyle name="_DEM-WP(C) Prod O&amp;M 2007GRC_Electric Rev Req Model (2009 GRC) Rebuttal REmoval of New  WH Solar AdjustMI 2 2" xfId="3411" xr:uid="{00000000-0005-0000-0000-00004C0D0000}"/>
    <cellStyle name="_DEM-WP(C) Prod O&amp;M 2007GRC_Electric Rev Req Model (2009 GRC) Rebuttal REmoval of New  WH Solar AdjustMI 3" xfId="3412" xr:uid="{00000000-0005-0000-0000-00004D0D0000}"/>
    <cellStyle name="_DEM-WP(C) Prod O&amp;M 2007GRC_Electric Rev Req Model (2009 GRC) Revised 01-18-2010" xfId="3413" xr:uid="{00000000-0005-0000-0000-00004E0D0000}"/>
    <cellStyle name="_DEM-WP(C) Prod O&amp;M 2007GRC_Electric Rev Req Model (2009 GRC) Revised 01-18-2010 2" xfId="3414" xr:uid="{00000000-0005-0000-0000-00004F0D0000}"/>
    <cellStyle name="_DEM-WP(C) Prod O&amp;M 2007GRC_Electric Rev Req Model (2009 GRC) Revised 01-18-2010 2 2" xfId="3415" xr:uid="{00000000-0005-0000-0000-0000500D0000}"/>
    <cellStyle name="_DEM-WP(C) Prod O&amp;M 2007GRC_Electric Rev Req Model (2009 GRC) Revised 01-18-2010 3" xfId="3416" xr:uid="{00000000-0005-0000-0000-0000510D0000}"/>
    <cellStyle name="_DEM-WP(C) Prod O&amp;M 2007GRC_Final Order Electric EXHIBIT A-1" xfId="3417" xr:uid="{00000000-0005-0000-0000-0000520D0000}"/>
    <cellStyle name="_DEM-WP(C) Prod O&amp;M 2007GRC_Final Order Electric EXHIBIT A-1 2" xfId="3418" xr:uid="{00000000-0005-0000-0000-0000530D0000}"/>
    <cellStyle name="_DEM-WP(C) Prod O&amp;M 2007GRC_Final Order Electric EXHIBIT A-1 2 2" xfId="3419" xr:uid="{00000000-0005-0000-0000-0000540D0000}"/>
    <cellStyle name="_DEM-WP(C) Prod O&amp;M 2007GRC_Final Order Electric EXHIBIT A-1 3" xfId="3420" xr:uid="{00000000-0005-0000-0000-0000550D0000}"/>
    <cellStyle name="_DEM-WP(C) Prod O&amp;M 2007GRC_Rebuttal Power Costs" xfId="3421" xr:uid="{00000000-0005-0000-0000-0000560D0000}"/>
    <cellStyle name="_DEM-WP(C) Prod O&amp;M 2007GRC_Rebuttal Power Costs 2" xfId="3422" xr:uid="{00000000-0005-0000-0000-0000570D0000}"/>
    <cellStyle name="_DEM-WP(C) Prod O&amp;M 2007GRC_Rebuttal Power Costs 2 2" xfId="3423" xr:uid="{00000000-0005-0000-0000-0000580D0000}"/>
    <cellStyle name="_DEM-WP(C) Prod O&amp;M 2007GRC_Rebuttal Power Costs 3" xfId="3424" xr:uid="{00000000-0005-0000-0000-0000590D0000}"/>
    <cellStyle name="_DEM-WP(C) Prod O&amp;M 2007GRC_Rebuttal Power Costs_Adj Bench DR 3 for Initial Briefs (Electric)" xfId="3425" xr:uid="{00000000-0005-0000-0000-00005A0D0000}"/>
    <cellStyle name="_DEM-WP(C) Prod O&amp;M 2007GRC_Rebuttal Power Costs_Adj Bench DR 3 for Initial Briefs (Electric) 2" xfId="3426" xr:uid="{00000000-0005-0000-0000-00005B0D0000}"/>
    <cellStyle name="_DEM-WP(C) Prod O&amp;M 2007GRC_Rebuttal Power Costs_Adj Bench DR 3 for Initial Briefs (Electric) 2 2" xfId="3427" xr:uid="{00000000-0005-0000-0000-00005C0D0000}"/>
    <cellStyle name="_DEM-WP(C) Prod O&amp;M 2007GRC_Rebuttal Power Costs_Adj Bench DR 3 for Initial Briefs (Electric) 3" xfId="3428" xr:uid="{00000000-0005-0000-0000-00005D0D0000}"/>
    <cellStyle name="_DEM-WP(C) Prod O&amp;M 2007GRC_Rebuttal Power Costs_Electric Rev Req Model (2009 GRC) Rebuttal" xfId="3429" xr:uid="{00000000-0005-0000-0000-00005E0D0000}"/>
    <cellStyle name="_DEM-WP(C) Prod O&amp;M 2007GRC_Rebuttal Power Costs_Electric Rev Req Model (2009 GRC) Rebuttal 2" xfId="3430" xr:uid="{00000000-0005-0000-0000-00005F0D0000}"/>
    <cellStyle name="_DEM-WP(C) Prod O&amp;M 2007GRC_Rebuttal Power Costs_Electric Rev Req Model (2009 GRC) Rebuttal 2 2" xfId="3431" xr:uid="{00000000-0005-0000-0000-0000600D0000}"/>
    <cellStyle name="_DEM-WP(C) Prod O&amp;M 2007GRC_Rebuttal Power Costs_Electric Rev Req Model (2009 GRC) Rebuttal 3" xfId="3432" xr:uid="{00000000-0005-0000-0000-0000610D0000}"/>
    <cellStyle name="_DEM-WP(C) Prod O&amp;M 2007GRC_Rebuttal Power Costs_Electric Rev Req Model (2009 GRC) Rebuttal REmoval of New  WH Solar AdjustMI" xfId="3433" xr:uid="{00000000-0005-0000-0000-0000620D0000}"/>
    <cellStyle name="_DEM-WP(C) Prod O&amp;M 2007GRC_Rebuttal Power Costs_Electric Rev Req Model (2009 GRC) Rebuttal REmoval of New  WH Solar AdjustMI 2" xfId="3434" xr:uid="{00000000-0005-0000-0000-0000630D0000}"/>
    <cellStyle name="_DEM-WP(C) Prod O&amp;M 2007GRC_Rebuttal Power Costs_Electric Rev Req Model (2009 GRC) Rebuttal REmoval of New  WH Solar AdjustMI 2 2" xfId="3435" xr:uid="{00000000-0005-0000-0000-0000640D0000}"/>
    <cellStyle name="_DEM-WP(C) Prod O&amp;M 2007GRC_Rebuttal Power Costs_Electric Rev Req Model (2009 GRC) Rebuttal REmoval of New  WH Solar AdjustMI 3" xfId="3436" xr:uid="{00000000-0005-0000-0000-0000650D0000}"/>
    <cellStyle name="_DEM-WP(C) Prod O&amp;M 2007GRC_Rebuttal Power Costs_Electric Rev Req Model (2009 GRC) Revised 01-18-2010" xfId="3437" xr:uid="{00000000-0005-0000-0000-0000660D0000}"/>
    <cellStyle name="_DEM-WP(C) Prod O&amp;M 2007GRC_Rebuttal Power Costs_Electric Rev Req Model (2009 GRC) Revised 01-18-2010 2" xfId="3438" xr:uid="{00000000-0005-0000-0000-0000670D0000}"/>
    <cellStyle name="_DEM-WP(C) Prod O&amp;M 2007GRC_Rebuttal Power Costs_Electric Rev Req Model (2009 GRC) Revised 01-18-2010 2 2" xfId="3439" xr:uid="{00000000-0005-0000-0000-0000680D0000}"/>
    <cellStyle name="_DEM-WP(C) Prod O&amp;M 2007GRC_Rebuttal Power Costs_Electric Rev Req Model (2009 GRC) Revised 01-18-2010 3" xfId="3440" xr:uid="{00000000-0005-0000-0000-0000690D0000}"/>
    <cellStyle name="_DEM-WP(C) Prod O&amp;M 2007GRC_Rebuttal Power Costs_Final Order Electric EXHIBIT A-1" xfId="3441" xr:uid="{00000000-0005-0000-0000-00006A0D0000}"/>
    <cellStyle name="_DEM-WP(C) Prod O&amp;M 2007GRC_Rebuttal Power Costs_Final Order Electric EXHIBIT A-1 2" xfId="3442" xr:uid="{00000000-0005-0000-0000-00006B0D0000}"/>
    <cellStyle name="_DEM-WP(C) Prod O&amp;M 2007GRC_Rebuttal Power Costs_Final Order Electric EXHIBIT A-1 2 2" xfId="3443" xr:uid="{00000000-0005-0000-0000-00006C0D0000}"/>
    <cellStyle name="_DEM-WP(C) Prod O&amp;M 2007GRC_Rebuttal Power Costs_Final Order Electric EXHIBIT A-1 3" xfId="3444" xr:uid="{00000000-0005-0000-0000-00006D0D0000}"/>
    <cellStyle name="_x0013__DEM-WP(C) Production O&amp;M 2010GRC As-Filed" xfId="3445" xr:uid="{00000000-0005-0000-0000-00006E0D0000}"/>
    <cellStyle name="_x0013__DEM-WP(C) Production O&amp;M 2010GRC As-Filed 2" xfId="3446" xr:uid="{00000000-0005-0000-0000-00006F0D0000}"/>
    <cellStyle name="_DEM-WP(C) Rate Year Sumas by Month Update Corrected" xfId="3447" xr:uid="{00000000-0005-0000-0000-0000700D0000}"/>
    <cellStyle name="_DEM-WP(C) Sumas Proforma 11.14.07" xfId="3448" xr:uid="{00000000-0005-0000-0000-0000710D0000}"/>
    <cellStyle name="_DEM-WP(C) Sumas Proforma 11.5.07" xfId="3449" xr:uid="{00000000-0005-0000-0000-0000720D0000}"/>
    <cellStyle name="_DEM-WP(C) Westside Hydro Data_051007" xfId="3450" xr:uid="{00000000-0005-0000-0000-0000730D0000}"/>
    <cellStyle name="_DEM-WP(C) Westside Hydro Data_051007 2" xfId="3451" xr:uid="{00000000-0005-0000-0000-0000740D0000}"/>
    <cellStyle name="_DEM-WP(C) Westside Hydro Data_051007 2 2" xfId="3452" xr:uid="{00000000-0005-0000-0000-0000750D0000}"/>
    <cellStyle name="_DEM-WP(C) Westside Hydro Data_051007 3" xfId="3453" xr:uid="{00000000-0005-0000-0000-0000760D0000}"/>
    <cellStyle name="_DEM-WP(C) Westside Hydro Data_051007_16.37E Wild Horse Expansion DeferralRevwrkingfile SF" xfId="3454" xr:uid="{00000000-0005-0000-0000-0000770D0000}"/>
    <cellStyle name="_DEM-WP(C) Westside Hydro Data_051007_16.37E Wild Horse Expansion DeferralRevwrkingfile SF 2" xfId="3455" xr:uid="{00000000-0005-0000-0000-0000780D0000}"/>
    <cellStyle name="_DEM-WP(C) Westside Hydro Data_051007_16.37E Wild Horse Expansion DeferralRevwrkingfile SF 2 2" xfId="3456" xr:uid="{00000000-0005-0000-0000-0000790D0000}"/>
    <cellStyle name="_DEM-WP(C) Westside Hydro Data_051007_16.37E Wild Horse Expansion DeferralRevwrkingfile SF 3" xfId="3457" xr:uid="{00000000-0005-0000-0000-00007A0D0000}"/>
    <cellStyle name="_DEM-WP(C) Westside Hydro Data_051007_2009 GRC Compl Filing - Exhibit D" xfId="3458" xr:uid="{00000000-0005-0000-0000-00007B0D0000}"/>
    <cellStyle name="_DEM-WP(C) Westside Hydro Data_051007_2009 GRC Compl Filing - Exhibit D 2" xfId="3459" xr:uid="{00000000-0005-0000-0000-00007C0D0000}"/>
    <cellStyle name="_DEM-WP(C) Westside Hydro Data_051007_Adj Bench DR 3 for Initial Briefs (Electric)" xfId="3460" xr:uid="{00000000-0005-0000-0000-00007D0D0000}"/>
    <cellStyle name="_DEM-WP(C) Westside Hydro Data_051007_Adj Bench DR 3 for Initial Briefs (Electric) 2" xfId="3461" xr:uid="{00000000-0005-0000-0000-00007E0D0000}"/>
    <cellStyle name="_DEM-WP(C) Westside Hydro Data_051007_Adj Bench DR 3 for Initial Briefs (Electric) 2 2" xfId="3462" xr:uid="{00000000-0005-0000-0000-00007F0D0000}"/>
    <cellStyle name="_DEM-WP(C) Westside Hydro Data_051007_Adj Bench DR 3 for Initial Briefs (Electric) 3" xfId="3463" xr:uid="{00000000-0005-0000-0000-0000800D0000}"/>
    <cellStyle name="_DEM-WP(C) Westside Hydro Data_051007_Book1" xfId="3464" xr:uid="{00000000-0005-0000-0000-0000810D0000}"/>
    <cellStyle name="_DEM-WP(C) Westside Hydro Data_051007_Book2" xfId="3465" xr:uid="{00000000-0005-0000-0000-0000820D0000}"/>
    <cellStyle name="_DEM-WP(C) Westside Hydro Data_051007_Book2 2" xfId="3466" xr:uid="{00000000-0005-0000-0000-0000830D0000}"/>
    <cellStyle name="_DEM-WP(C) Westside Hydro Data_051007_Book2 2 2" xfId="3467" xr:uid="{00000000-0005-0000-0000-0000840D0000}"/>
    <cellStyle name="_DEM-WP(C) Westside Hydro Data_051007_Book2 3" xfId="3468" xr:uid="{00000000-0005-0000-0000-0000850D0000}"/>
    <cellStyle name="_DEM-WP(C) Westside Hydro Data_051007_Book4" xfId="3469" xr:uid="{00000000-0005-0000-0000-0000860D0000}"/>
    <cellStyle name="_DEM-WP(C) Westside Hydro Data_051007_Book4 2" xfId="3470" xr:uid="{00000000-0005-0000-0000-0000870D0000}"/>
    <cellStyle name="_DEM-WP(C) Westside Hydro Data_051007_Book4 2 2" xfId="3471" xr:uid="{00000000-0005-0000-0000-0000880D0000}"/>
    <cellStyle name="_DEM-WP(C) Westside Hydro Data_051007_Book4 3" xfId="3472" xr:uid="{00000000-0005-0000-0000-0000890D0000}"/>
    <cellStyle name="_DEM-WP(C) Westside Hydro Data_051007_Electric Rev Req Model (2009 GRC) " xfId="3473" xr:uid="{00000000-0005-0000-0000-00008A0D0000}"/>
    <cellStyle name="_DEM-WP(C) Westside Hydro Data_051007_Electric Rev Req Model (2009 GRC)  2" xfId="3474" xr:uid="{00000000-0005-0000-0000-00008B0D0000}"/>
    <cellStyle name="_DEM-WP(C) Westside Hydro Data_051007_Electric Rev Req Model (2009 GRC)  2 2" xfId="3475" xr:uid="{00000000-0005-0000-0000-00008C0D0000}"/>
    <cellStyle name="_DEM-WP(C) Westside Hydro Data_051007_Electric Rev Req Model (2009 GRC)  3" xfId="3476" xr:uid="{00000000-0005-0000-0000-00008D0D0000}"/>
    <cellStyle name="_DEM-WP(C) Westside Hydro Data_051007_Electric Rev Req Model (2009 GRC) Rebuttal" xfId="3477" xr:uid="{00000000-0005-0000-0000-00008E0D0000}"/>
    <cellStyle name="_DEM-WP(C) Westside Hydro Data_051007_Electric Rev Req Model (2009 GRC) Rebuttal 2" xfId="3478" xr:uid="{00000000-0005-0000-0000-00008F0D0000}"/>
    <cellStyle name="_DEM-WP(C) Westside Hydro Data_051007_Electric Rev Req Model (2009 GRC) Rebuttal 2 2" xfId="3479" xr:uid="{00000000-0005-0000-0000-0000900D0000}"/>
    <cellStyle name="_DEM-WP(C) Westside Hydro Data_051007_Electric Rev Req Model (2009 GRC) Rebuttal 3" xfId="3480" xr:uid="{00000000-0005-0000-0000-0000910D0000}"/>
    <cellStyle name="_DEM-WP(C) Westside Hydro Data_051007_Electric Rev Req Model (2009 GRC) Rebuttal REmoval of New  WH Solar AdjustMI" xfId="3481" xr:uid="{00000000-0005-0000-0000-0000920D0000}"/>
    <cellStyle name="_DEM-WP(C) Westside Hydro Data_051007_Electric Rev Req Model (2009 GRC) Rebuttal REmoval of New  WH Solar AdjustMI 2" xfId="3482" xr:uid="{00000000-0005-0000-0000-0000930D0000}"/>
    <cellStyle name="_DEM-WP(C) Westside Hydro Data_051007_Electric Rev Req Model (2009 GRC) Rebuttal REmoval of New  WH Solar AdjustMI 2 2" xfId="3483" xr:uid="{00000000-0005-0000-0000-0000940D0000}"/>
    <cellStyle name="_DEM-WP(C) Westside Hydro Data_051007_Electric Rev Req Model (2009 GRC) Rebuttal REmoval of New  WH Solar AdjustMI 3" xfId="3484" xr:uid="{00000000-0005-0000-0000-0000950D0000}"/>
    <cellStyle name="_DEM-WP(C) Westside Hydro Data_051007_Electric Rev Req Model (2009 GRC) Revised 01-18-2010" xfId="3485" xr:uid="{00000000-0005-0000-0000-0000960D0000}"/>
    <cellStyle name="_DEM-WP(C) Westside Hydro Data_051007_Electric Rev Req Model (2009 GRC) Revised 01-18-2010 2" xfId="3486" xr:uid="{00000000-0005-0000-0000-0000970D0000}"/>
    <cellStyle name="_DEM-WP(C) Westside Hydro Data_051007_Electric Rev Req Model (2009 GRC) Revised 01-18-2010 2 2" xfId="3487" xr:uid="{00000000-0005-0000-0000-0000980D0000}"/>
    <cellStyle name="_DEM-WP(C) Westside Hydro Data_051007_Electric Rev Req Model (2009 GRC) Revised 01-18-2010 3" xfId="3488" xr:uid="{00000000-0005-0000-0000-0000990D0000}"/>
    <cellStyle name="_DEM-WP(C) Westside Hydro Data_051007_Electric Rev Req Model (2010 GRC)" xfId="3489" xr:uid="{00000000-0005-0000-0000-00009A0D0000}"/>
    <cellStyle name="_DEM-WP(C) Westside Hydro Data_051007_Electric Rev Req Model (2010 GRC) SF" xfId="3490" xr:uid="{00000000-0005-0000-0000-00009B0D0000}"/>
    <cellStyle name="_DEM-WP(C) Westside Hydro Data_051007_Final Order Electric" xfId="3491" xr:uid="{00000000-0005-0000-0000-00009C0D0000}"/>
    <cellStyle name="_DEM-WP(C) Westside Hydro Data_051007_Final Order Electric EXHIBIT A-1" xfId="3492" xr:uid="{00000000-0005-0000-0000-00009D0D0000}"/>
    <cellStyle name="_DEM-WP(C) Westside Hydro Data_051007_Final Order Electric EXHIBIT A-1 2" xfId="3493" xr:uid="{00000000-0005-0000-0000-00009E0D0000}"/>
    <cellStyle name="_DEM-WP(C) Westside Hydro Data_051007_Final Order Electric EXHIBIT A-1 2 2" xfId="3494" xr:uid="{00000000-0005-0000-0000-00009F0D0000}"/>
    <cellStyle name="_DEM-WP(C) Westside Hydro Data_051007_Final Order Electric EXHIBIT A-1 3" xfId="3495" xr:uid="{00000000-0005-0000-0000-0000A00D0000}"/>
    <cellStyle name="_DEM-WP(C) Westside Hydro Data_051007_NIM Summary" xfId="3496" xr:uid="{00000000-0005-0000-0000-0000A10D0000}"/>
    <cellStyle name="_DEM-WP(C) Westside Hydro Data_051007_NIM Summary 2" xfId="3497" xr:uid="{00000000-0005-0000-0000-0000A20D0000}"/>
    <cellStyle name="_DEM-WP(C) Westside Hydro Data_051007_Power Costs - Comparison bx Rbtl-Staff-Jt-PC" xfId="3498" xr:uid="{00000000-0005-0000-0000-0000A30D0000}"/>
    <cellStyle name="_DEM-WP(C) Westside Hydro Data_051007_Power Costs - Comparison bx Rbtl-Staff-Jt-PC 2" xfId="3499" xr:uid="{00000000-0005-0000-0000-0000A40D0000}"/>
    <cellStyle name="_DEM-WP(C) Westside Hydro Data_051007_Power Costs - Comparison bx Rbtl-Staff-Jt-PC 2 2" xfId="3500" xr:uid="{00000000-0005-0000-0000-0000A50D0000}"/>
    <cellStyle name="_DEM-WP(C) Westside Hydro Data_051007_Power Costs - Comparison bx Rbtl-Staff-Jt-PC 3" xfId="3501" xr:uid="{00000000-0005-0000-0000-0000A60D0000}"/>
    <cellStyle name="_DEM-WP(C) Westside Hydro Data_051007_Rebuttal Power Costs" xfId="3502" xr:uid="{00000000-0005-0000-0000-0000A70D0000}"/>
    <cellStyle name="_DEM-WP(C) Westside Hydro Data_051007_Rebuttal Power Costs 2" xfId="3503" xr:uid="{00000000-0005-0000-0000-0000A80D0000}"/>
    <cellStyle name="_DEM-WP(C) Westside Hydro Data_051007_Rebuttal Power Costs 2 2" xfId="3504" xr:uid="{00000000-0005-0000-0000-0000A90D0000}"/>
    <cellStyle name="_DEM-WP(C) Westside Hydro Data_051007_Rebuttal Power Costs 3" xfId="3505" xr:uid="{00000000-0005-0000-0000-0000AA0D0000}"/>
    <cellStyle name="_DEM-WP(C) Westside Hydro Data_051007_TENASKA REGULATORY ASSET" xfId="3506" xr:uid="{00000000-0005-0000-0000-0000AB0D0000}"/>
    <cellStyle name="_DEM-WP(C) Westside Hydro Data_051007_TENASKA REGULATORY ASSET 2" xfId="3507" xr:uid="{00000000-0005-0000-0000-0000AC0D0000}"/>
    <cellStyle name="_DEM-WP(C) Westside Hydro Data_051007_TENASKA REGULATORY ASSET 2 2" xfId="3508" xr:uid="{00000000-0005-0000-0000-0000AD0D0000}"/>
    <cellStyle name="_DEM-WP(C) Westside Hydro Data_051007_TENASKA REGULATORY ASSET 3" xfId="3509" xr:uid="{00000000-0005-0000-0000-0000AE0D0000}"/>
    <cellStyle name="_Elec Peak Capacity Need_2008-2029_032709_Wind 5% Cap" xfId="3510" xr:uid="{00000000-0005-0000-0000-0000AF0D0000}"/>
    <cellStyle name="_Elec Peak Capacity Need_2008-2029_032709_Wind 5% Cap 2" xfId="3511" xr:uid="{00000000-0005-0000-0000-0000B00D0000}"/>
    <cellStyle name="_Elec Peak Capacity Need_2008-2029_032709_Wind 5% Cap_NIM Summary" xfId="3512" xr:uid="{00000000-0005-0000-0000-0000B10D0000}"/>
    <cellStyle name="_Elec Peak Capacity Need_2008-2029_032709_Wind 5% Cap_NIM Summary 2" xfId="3513" xr:uid="{00000000-0005-0000-0000-0000B20D0000}"/>
    <cellStyle name="_Elec Peak Capacity Need_2008-2029_032709_Wind 5% Cap-ST-Adj-PJP1" xfId="3514" xr:uid="{00000000-0005-0000-0000-0000B30D0000}"/>
    <cellStyle name="_Elec Peak Capacity Need_2008-2029_032709_Wind 5% Cap-ST-Adj-PJP1 2" xfId="3515" xr:uid="{00000000-0005-0000-0000-0000B40D0000}"/>
    <cellStyle name="_Elec Peak Capacity Need_2008-2029_032709_Wind 5% Cap-ST-Adj-PJP1_NIM Summary" xfId="3516" xr:uid="{00000000-0005-0000-0000-0000B50D0000}"/>
    <cellStyle name="_Elec Peak Capacity Need_2008-2029_032709_Wind 5% Cap-ST-Adj-PJP1_NIM Summary 2" xfId="3517" xr:uid="{00000000-0005-0000-0000-0000B60D0000}"/>
    <cellStyle name="_Elec Peak Capacity Need_2008-2029_120908_Wind 5% Cap_Low" xfId="3518" xr:uid="{00000000-0005-0000-0000-0000B70D0000}"/>
    <cellStyle name="_Elec Peak Capacity Need_2008-2029_120908_Wind 5% Cap_Low 2" xfId="3519" xr:uid="{00000000-0005-0000-0000-0000B80D0000}"/>
    <cellStyle name="_Elec Peak Capacity Need_2008-2029_120908_Wind 5% Cap_Low_NIM Summary" xfId="3520" xr:uid="{00000000-0005-0000-0000-0000B90D0000}"/>
    <cellStyle name="_Elec Peak Capacity Need_2008-2029_120908_Wind 5% Cap_Low_NIM Summary 2" xfId="3521" xr:uid="{00000000-0005-0000-0000-0000BA0D0000}"/>
    <cellStyle name="_Elec Peak Capacity Need_2008-2029_Wind 5% Cap_050809" xfId="3522" xr:uid="{00000000-0005-0000-0000-0000BB0D0000}"/>
    <cellStyle name="_Elec Peak Capacity Need_2008-2029_Wind 5% Cap_050809 2" xfId="3523" xr:uid="{00000000-0005-0000-0000-0000BC0D0000}"/>
    <cellStyle name="_Elec Peak Capacity Need_2008-2029_Wind 5% Cap_050809_NIM Summary" xfId="3524" xr:uid="{00000000-0005-0000-0000-0000BD0D0000}"/>
    <cellStyle name="_Elec Peak Capacity Need_2008-2029_Wind 5% Cap_050809_NIM Summary 2" xfId="3525" xr:uid="{00000000-0005-0000-0000-0000BE0D0000}"/>
    <cellStyle name="_x0013__Electric Rev Req Model (2009 GRC) " xfId="3526" xr:uid="{00000000-0005-0000-0000-0000BF0D0000}"/>
    <cellStyle name="_x0013__Electric Rev Req Model (2009 GRC)  2" xfId="3527" xr:uid="{00000000-0005-0000-0000-0000C00D0000}"/>
    <cellStyle name="_x0013__Electric Rev Req Model (2009 GRC)  2 2" xfId="3528" xr:uid="{00000000-0005-0000-0000-0000C10D0000}"/>
    <cellStyle name="_x0013__Electric Rev Req Model (2009 GRC)  3" xfId="3529" xr:uid="{00000000-0005-0000-0000-0000C20D0000}"/>
    <cellStyle name="_x0013__Electric Rev Req Model (2009 GRC) Rebuttal" xfId="3530" xr:uid="{00000000-0005-0000-0000-0000C30D0000}"/>
    <cellStyle name="_x0013__Electric Rev Req Model (2009 GRC) Rebuttal 2" xfId="3531" xr:uid="{00000000-0005-0000-0000-0000C40D0000}"/>
    <cellStyle name="_x0013__Electric Rev Req Model (2009 GRC) Rebuttal 2 2" xfId="3532" xr:uid="{00000000-0005-0000-0000-0000C50D0000}"/>
    <cellStyle name="_x0013__Electric Rev Req Model (2009 GRC) Rebuttal 3" xfId="3533" xr:uid="{00000000-0005-0000-0000-0000C60D0000}"/>
    <cellStyle name="_x0013__Electric Rev Req Model (2009 GRC) Rebuttal REmoval of New  WH Solar AdjustMI" xfId="3534" xr:uid="{00000000-0005-0000-0000-0000C70D0000}"/>
    <cellStyle name="_x0013__Electric Rev Req Model (2009 GRC) Rebuttal REmoval of New  WH Solar AdjustMI 2" xfId="3535" xr:uid="{00000000-0005-0000-0000-0000C80D0000}"/>
    <cellStyle name="_x0013__Electric Rev Req Model (2009 GRC) Rebuttal REmoval of New  WH Solar AdjustMI 2 2" xfId="3536" xr:uid="{00000000-0005-0000-0000-0000C90D0000}"/>
    <cellStyle name="_x0013__Electric Rev Req Model (2009 GRC) Rebuttal REmoval of New  WH Solar AdjustMI 3" xfId="3537" xr:uid="{00000000-0005-0000-0000-0000CA0D0000}"/>
    <cellStyle name="_x0013__Electric Rev Req Model (2009 GRC) Revised 01-18-2010" xfId="3538" xr:uid="{00000000-0005-0000-0000-0000CB0D0000}"/>
    <cellStyle name="_x0013__Electric Rev Req Model (2009 GRC) Revised 01-18-2010 2" xfId="3539" xr:uid="{00000000-0005-0000-0000-0000CC0D0000}"/>
    <cellStyle name="_x0013__Electric Rev Req Model (2009 GRC) Revised 01-18-2010 2 2" xfId="3540" xr:uid="{00000000-0005-0000-0000-0000CD0D0000}"/>
    <cellStyle name="_x0013__Electric Rev Req Model (2009 GRC) Revised 01-18-2010 3" xfId="3541" xr:uid="{00000000-0005-0000-0000-0000CE0D0000}"/>
    <cellStyle name="_x0013__Electric Rev Req Model (2010 GRC)" xfId="3542" xr:uid="{00000000-0005-0000-0000-0000CF0D0000}"/>
    <cellStyle name="_x0013__Electric Rev Req Model (2010 GRC) SF" xfId="3543" xr:uid="{00000000-0005-0000-0000-0000D00D0000}"/>
    <cellStyle name="_ENCOGEN_WBOOK" xfId="3544" xr:uid="{00000000-0005-0000-0000-0000D10D0000}"/>
    <cellStyle name="_ENCOGEN_WBOOK 2" xfId="3545" xr:uid="{00000000-0005-0000-0000-0000D20D0000}"/>
    <cellStyle name="_ENCOGEN_WBOOK_NIM Summary" xfId="3546" xr:uid="{00000000-0005-0000-0000-0000D30D0000}"/>
    <cellStyle name="_ENCOGEN_WBOOK_NIM Summary 2" xfId="3547" xr:uid="{00000000-0005-0000-0000-0000D40D0000}"/>
    <cellStyle name="_x0013__Final Order Electric EXHIBIT A-1" xfId="3548" xr:uid="{00000000-0005-0000-0000-0000D50D0000}"/>
    <cellStyle name="_x0013__Final Order Electric EXHIBIT A-1 2" xfId="3549" xr:uid="{00000000-0005-0000-0000-0000D60D0000}"/>
    <cellStyle name="_x0013__Final Order Electric EXHIBIT A-1 2 2" xfId="3550" xr:uid="{00000000-0005-0000-0000-0000D70D0000}"/>
    <cellStyle name="_x0013__Final Order Electric EXHIBIT A-1 3" xfId="3551" xr:uid="{00000000-0005-0000-0000-0000D80D0000}"/>
    <cellStyle name="_Fixed Gas Transport 1 19 09" xfId="3552" xr:uid="{00000000-0005-0000-0000-0000D90D0000}"/>
    <cellStyle name="_Fixed Gas Transport 1 19 09 2" xfId="3553" xr:uid="{00000000-0005-0000-0000-0000DA0D0000}"/>
    <cellStyle name="_Fixed Gas Transport 1 19 09 2 2" xfId="3554" xr:uid="{00000000-0005-0000-0000-0000DB0D0000}"/>
    <cellStyle name="_Fixed Gas Transport 1 19 09 3" xfId="3555" xr:uid="{00000000-0005-0000-0000-0000DC0D0000}"/>
    <cellStyle name="_Fuel Prices 4-14" xfId="3556" xr:uid="{00000000-0005-0000-0000-0000DD0D0000}"/>
    <cellStyle name="_Fuel Prices 4-14 2" xfId="3557" xr:uid="{00000000-0005-0000-0000-0000DE0D0000}"/>
    <cellStyle name="_Fuel Prices 4-14 2 2" xfId="3558" xr:uid="{00000000-0005-0000-0000-0000DF0D0000}"/>
    <cellStyle name="_Fuel Prices 4-14 2 2 2" xfId="3559" xr:uid="{00000000-0005-0000-0000-0000E00D0000}"/>
    <cellStyle name="_Fuel Prices 4-14 2 3" xfId="3560" xr:uid="{00000000-0005-0000-0000-0000E10D0000}"/>
    <cellStyle name="_Fuel Prices 4-14 3" xfId="3561" xr:uid="{00000000-0005-0000-0000-0000E20D0000}"/>
    <cellStyle name="_Fuel Prices 4-14 3 2" xfId="3562" xr:uid="{00000000-0005-0000-0000-0000E30D0000}"/>
    <cellStyle name="_Fuel Prices 4-14 4" xfId="3563" xr:uid="{00000000-0005-0000-0000-0000E40D0000}"/>
    <cellStyle name="_Fuel Prices 4-14 4 2" xfId="3564" xr:uid="{00000000-0005-0000-0000-0000E50D0000}"/>
    <cellStyle name="_Fuel Prices 4-14 5" xfId="3565" xr:uid="{00000000-0005-0000-0000-0000E60D0000}"/>
    <cellStyle name="_Fuel Prices 4-14_04 07E Wild Horse Wind Expansion (C) (2)" xfId="3566" xr:uid="{00000000-0005-0000-0000-0000E70D0000}"/>
    <cellStyle name="_Fuel Prices 4-14_04 07E Wild Horse Wind Expansion (C) (2) 2" xfId="3567" xr:uid="{00000000-0005-0000-0000-0000E80D0000}"/>
    <cellStyle name="_Fuel Prices 4-14_04 07E Wild Horse Wind Expansion (C) (2) 2 2" xfId="3568" xr:uid="{00000000-0005-0000-0000-0000E90D0000}"/>
    <cellStyle name="_Fuel Prices 4-14_04 07E Wild Horse Wind Expansion (C) (2) 3" xfId="3569" xr:uid="{00000000-0005-0000-0000-0000EA0D0000}"/>
    <cellStyle name="_Fuel Prices 4-14_04 07E Wild Horse Wind Expansion (C) (2)_Adj Bench DR 3 for Initial Briefs (Electric)" xfId="3570" xr:uid="{00000000-0005-0000-0000-0000EB0D0000}"/>
    <cellStyle name="_Fuel Prices 4-14_04 07E Wild Horse Wind Expansion (C) (2)_Adj Bench DR 3 for Initial Briefs (Electric) 2" xfId="3571" xr:uid="{00000000-0005-0000-0000-0000EC0D0000}"/>
    <cellStyle name="_Fuel Prices 4-14_04 07E Wild Horse Wind Expansion (C) (2)_Adj Bench DR 3 for Initial Briefs (Electric) 2 2" xfId="3572" xr:uid="{00000000-0005-0000-0000-0000ED0D0000}"/>
    <cellStyle name="_Fuel Prices 4-14_04 07E Wild Horse Wind Expansion (C) (2)_Adj Bench DR 3 for Initial Briefs (Electric) 3" xfId="3573" xr:uid="{00000000-0005-0000-0000-0000EE0D0000}"/>
    <cellStyle name="_Fuel Prices 4-14_04 07E Wild Horse Wind Expansion (C) (2)_Book1" xfId="3574" xr:uid="{00000000-0005-0000-0000-0000EF0D0000}"/>
    <cellStyle name="_Fuel Prices 4-14_04 07E Wild Horse Wind Expansion (C) (2)_Electric Rev Req Model (2009 GRC) " xfId="3575" xr:uid="{00000000-0005-0000-0000-0000F00D0000}"/>
    <cellStyle name="_Fuel Prices 4-14_04 07E Wild Horse Wind Expansion (C) (2)_Electric Rev Req Model (2009 GRC)  2" xfId="3576" xr:uid="{00000000-0005-0000-0000-0000F10D0000}"/>
    <cellStyle name="_Fuel Prices 4-14_04 07E Wild Horse Wind Expansion (C) (2)_Electric Rev Req Model (2009 GRC)  2 2" xfId="3577" xr:uid="{00000000-0005-0000-0000-0000F20D0000}"/>
    <cellStyle name="_Fuel Prices 4-14_04 07E Wild Horse Wind Expansion (C) (2)_Electric Rev Req Model (2009 GRC)  3" xfId="3578" xr:uid="{00000000-0005-0000-0000-0000F30D0000}"/>
    <cellStyle name="_Fuel Prices 4-14_04 07E Wild Horse Wind Expansion (C) (2)_Electric Rev Req Model (2009 GRC) Rebuttal" xfId="3579" xr:uid="{00000000-0005-0000-0000-0000F40D0000}"/>
    <cellStyle name="_Fuel Prices 4-14_04 07E Wild Horse Wind Expansion (C) (2)_Electric Rev Req Model (2009 GRC) Rebuttal 2" xfId="3580" xr:uid="{00000000-0005-0000-0000-0000F50D0000}"/>
    <cellStyle name="_Fuel Prices 4-14_04 07E Wild Horse Wind Expansion (C) (2)_Electric Rev Req Model (2009 GRC) Rebuttal 2 2" xfId="3581" xr:uid="{00000000-0005-0000-0000-0000F60D0000}"/>
    <cellStyle name="_Fuel Prices 4-14_04 07E Wild Horse Wind Expansion (C) (2)_Electric Rev Req Model (2009 GRC) Rebuttal 3" xfId="3582" xr:uid="{00000000-0005-0000-0000-0000F70D0000}"/>
    <cellStyle name="_Fuel Prices 4-14_04 07E Wild Horse Wind Expansion (C) (2)_Electric Rev Req Model (2009 GRC) Rebuttal REmoval of New  WH Solar AdjustMI" xfId="3583" xr:uid="{00000000-0005-0000-0000-0000F80D0000}"/>
    <cellStyle name="_Fuel Prices 4-14_04 07E Wild Horse Wind Expansion (C) (2)_Electric Rev Req Model (2009 GRC) Rebuttal REmoval of New  WH Solar AdjustMI 2" xfId="3584" xr:uid="{00000000-0005-0000-0000-0000F90D0000}"/>
    <cellStyle name="_Fuel Prices 4-14_04 07E Wild Horse Wind Expansion (C) (2)_Electric Rev Req Model (2009 GRC) Rebuttal REmoval of New  WH Solar AdjustMI 2 2" xfId="3585" xr:uid="{00000000-0005-0000-0000-0000FA0D0000}"/>
    <cellStyle name="_Fuel Prices 4-14_04 07E Wild Horse Wind Expansion (C) (2)_Electric Rev Req Model (2009 GRC) Rebuttal REmoval of New  WH Solar AdjustMI 3" xfId="3586" xr:uid="{00000000-0005-0000-0000-0000FB0D0000}"/>
    <cellStyle name="_Fuel Prices 4-14_04 07E Wild Horse Wind Expansion (C) (2)_Electric Rev Req Model (2009 GRC) Revised 01-18-2010" xfId="3587" xr:uid="{00000000-0005-0000-0000-0000FC0D0000}"/>
    <cellStyle name="_Fuel Prices 4-14_04 07E Wild Horse Wind Expansion (C) (2)_Electric Rev Req Model (2009 GRC) Revised 01-18-2010 2" xfId="3588" xr:uid="{00000000-0005-0000-0000-0000FD0D0000}"/>
    <cellStyle name="_Fuel Prices 4-14_04 07E Wild Horse Wind Expansion (C) (2)_Electric Rev Req Model (2009 GRC) Revised 01-18-2010 2 2" xfId="3589" xr:uid="{00000000-0005-0000-0000-0000FE0D0000}"/>
    <cellStyle name="_Fuel Prices 4-14_04 07E Wild Horse Wind Expansion (C) (2)_Electric Rev Req Model (2009 GRC) Revised 01-18-2010 3" xfId="3590" xr:uid="{00000000-0005-0000-0000-0000FF0D0000}"/>
    <cellStyle name="_Fuel Prices 4-14_04 07E Wild Horse Wind Expansion (C) (2)_Electric Rev Req Model (2010 GRC)" xfId="3591" xr:uid="{00000000-0005-0000-0000-0000000E0000}"/>
    <cellStyle name="_Fuel Prices 4-14_04 07E Wild Horse Wind Expansion (C) (2)_Electric Rev Req Model (2010 GRC) SF" xfId="3592" xr:uid="{00000000-0005-0000-0000-0000010E0000}"/>
    <cellStyle name="_Fuel Prices 4-14_04 07E Wild Horse Wind Expansion (C) (2)_Final Order Electric EXHIBIT A-1" xfId="3593" xr:uid="{00000000-0005-0000-0000-0000020E0000}"/>
    <cellStyle name="_Fuel Prices 4-14_04 07E Wild Horse Wind Expansion (C) (2)_Final Order Electric EXHIBIT A-1 2" xfId="3594" xr:uid="{00000000-0005-0000-0000-0000030E0000}"/>
    <cellStyle name="_Fuel Prices 4-14_04 07E Wild Horse Wind Expansion (C) (2)_Final Order Electric EXHIBIT A-1 2 2" xfId="3595" xr:uid="{00000000-0005-0000-0000-0000040E0000}"/>
    <cellStyle name="_Fuel Prices 4-14_04 07E Wild Horse Wind Expansion (C) (2)_Final Order Electric EXHIBIT A-1 3" xfId="3596" xr:uid="{00000000-0005-0000-0000-0000050E0000}"/>
    <cellStyle name="_Fuel Prices 4-14_04 07E Wild Horse Wind Expansion (C) (2)_TENASKA REGULATORY ASSET" xfId="3597" xr:uid="{00000000-0005-0000-0000-0000060E0000}"/>
    <cellStyle name="_Fuel Prices 4-14_04 07E Wild Horse Wind Expansion (C) (2)_TENASKA REGULATORY ASSET 2" xfId="3598" xr:uid="{00000000-0005-0000-0000-0000070E0000}"/>
    <cellStyle name="_Fuel Prices 4-14_04 07E Wild Horse Wind Expansion (C) (2)_TENASKA REGULATORY ASSET 2 2" xfId="3599" xr:uid="{00000000-0005-0000-0000-0000080E0000}"/>
    <cellStyle name="_Fuel Prices 4-14_04 07E Wild Horse Wind Expansion (C) (2)_TENASKA REGULATORY ASSET 3" xfId="3600" xr:uid="{00000000-0005-0000-0000-0000090E0000}"/>
    <cellStyle name="_Fuel Prices 4-14_16.37E Wild Horse Expansion DeferralRevwrkingfile SF" xfId="3601" xr:uid="{00000000-0005-0000-0000-00000A0E0000}"/>
    <cellStyle name="_Fuel Prices 4-14_16.37E Wild Horse Expansion DeferralRevwrkingfile SF 2" xfId="3602" xr:uid="{00000000-0005-0000-0000-00000B0E0000}"/>
    <cellStyle name="_Fuel Prices 4-14_16.37E Wild Horse Expansion DeferralRevwrkingfile SF 2 2" xfId="3603" xr:uid="{00000000-0005-0000-0000-00000C0E0000}"/>
    <cellStyle name="_Fuel Prices 4-14_16.37E Wild Horse Expansion DeferralRevwrkingfile SF 3" xfId="3604" xr:uid="{00000000-0005-0000-0000-00000D0E0000}"/>
    <cellStyle name="_Fuel Prices 4-14_2009 Compliance Filing PCA Exhibits for GRC" xfId="3605" xr:uid="{00000000-0005-0000-0000-00000E0E0000}"/>
    <cellStyle name="_Fuel Prices 4-14_2009 GRC Compl Filing - Exhibit D" xfId="3606" xr:uid="{00000000-0005-0000-0000-00000F0E0000}"/>
    <cellStyle name="_Fuel Prices 4-14_2009 GRC Compl Filing - Exhibit D 2" xfId="3607" xr:uid="{00000000-0005-0000-0000-0000100E0000}"/>
    <cellStyle name="_Fuel Prices 4-14_3.01 Income Statement" xfId="3608" xr:uid="{00000000-0005-0000-0000-0000110E0000}"/>
    <cellStyle name="_Fuel Prices 4-14_4 31 Regulatory Assets and Liabilities  7 06- Exhibit D" xfId="3609" xr:uid="{00000000-0005-0000-0000-0000120E0000}"/>
    <cellStyle name="_Fuel Prices 4-14_4 31 Regulatory Assets and Liabilities  7 06- Exhibit D 2" xfId="3610" xr:uid="{00000000-0005-0000-0000-0000130E0000}"/>
    <cellStyle name="_Fuel Prices 4-14_4 31 Regulatory Assets and Liabilities  7 06- Exhibit D 2 2" xfId="3611" xr:uid="{00000000-0005-0000-0000-0000140E0000}"/>
    <cellStyle name="_Fuel Prices 4-14_4 31 Regulatory Assets and Liabilities  7 06- Exhibit D 3" xfId="3612" xr:uid="{00000000-0005-0000-0000-0000150E0000}"/>
    <cellStyle name="_Fuel Prices 4-14_4 31 Regulatory Assets and Liabilities  7 06- Exhibit D_NIM Summary" xfId="3613" xr:uid="{00000000-0005-0000-0000-0000160E0000}"/>
    <cellStyle name="_Fuel Prices 4-14_4 31 Regulatory Assets and Liabilities  7 06- Exhibit D_NIM Summary 2" xfId="3614" xr:uid="{00000000-0005-0000-0000-0000170E0000}"/>
    <cellStyle name="_Fuel Prices 4-14_4 32 Regulatory Assets and Liabilities  7 06- Exhibit D" xfId="3615" xr:uid="{00000000-0005-0000-0000-0000180E0000}"/>
    <cellStyle name="_Fuel Prices 4-14_4 32 Regulatory Assets and Liabilities  7 06- Exhibit D 2" xfId="3616" xr:uid="{00000000-0005-0000-0000-0000190E0000}"/>
    <cellStyle name="_Fuel Prices 4-14_4 32 Regulatory Assets and Liabilities  7 06- Exhibit D 2 2" xfId="3617" xr:uid="{00000000-0005-0000-0000-00001A0E0000}"/>
    <cellStyle name="_Fuel Prices 4-14_4 32 Regulatory Assets and Liabilities  7 06- Exhibit D 3" xfId="3618" xr:uid="{00000000-0005-0000-0000-00001B0E0000}"/>
    <cellStyle name="_Fuel Prices 4-14_4 32 Regulatory Assets and Liabilities  7 06- Exhibit D_NIM Summary" xfId="3619" xr:uid="{00000000-0005-0000-0000-00001C0E0000}"/>
    <cellStyle name="_Fuel Prices 4-14_4 32 Regulatory Assets and Liabilities  7 06- Exhibit D_NIM Summary 2" xfId="3620" xr:uid="{00000000-0005-0000-0000-00001D0E0000}"/>
    <cellStyle name="_Fuel Prices 4-14_AURORA Total New" xfId="3621" xr:uid="{00000000-0005-0000-0000-00001E0E0000}"/>
    <cellStyle name="_Fuel Prices 4-14_AURORA Total New 2" xfId="3622" xr:uid="{00000000-0005-0000-0000-00001F0E0000}"/>
    <cellStyle name="_Fuel Prices 4-14_Book2" xfId="3623" xr:uid="{00000000-0005-0000-0000-0000200E0000}"/>
    <cellStyle name="_Fuel Prices 4-14_Book2 2" xfId="3624" xr:uid="{00000000-0005-0000-0000-0000210E0000}"/>
    <cellStyle name="_Fuel Prices 4-14_Book2 2 2" xfId="3625" xr:uid="{00000000-0005-0000-0000-0000220E0000}"/>
    <cellStyle name="_Fuel Prices 4-14_Book2 3" xfId="3626" xr:uid="{00000000-0005-0000-0000-0000230E0000}"/>
    <cellStyle name="_Fuel Prices 4-14_Book2_Adj Bench DR 3 for Initial Briefs (Electric)" xfId="3627" xr:uid="{00000000-0005-0000-0000-0000240E0000}"/>
    <cellStyle name="_Fuel Prices 4-14_Book2_Adj Bench DR 3 for Initial Briefs (Electric) 2" xfId="3628" xr:uid="{00000000-0005-0000-0000-0000250E0000}"/>
    <cellStyle name="_Fuel Prices 4-14_Book2_Adj Bench DR 3 for Initial Briefs (Electric) 2 2" xfId="3629" xr:uid="{00000000-0005-0000-0000-0000260E0000}"/>
    <cellStyle name="_Fuel Prices 4-14_Book2_Adj Bench DR 3 for Initial Briefs (Electric) 3" xfId="3630" xr:uid="{00000000-0005-0000-0000-0000270E0000}"/>
    <cellStyle name="_Fuel Prices 4-14_Book2_Electric Rev Req Model (2009 GRC) Rebuttal" xfId="3631" xr:uid="{00000000-0005-0000-0000-0000280E0000}"/>
    <cellStyle name="_Fuel Prices 4-14_Book2_Electric Rev Req Model (2009 GRC) Rebuttal 2" xfId="3632" xr:uid="{00000000-0005-0000-0000-0000290E0000}"/>
    <cellStyle name="_Fuel Prices 4-14_Book2_Electric Rev Req Model (2009 GRC) Rebuttal 2 2" xfId="3633" xr:uid="{00000000-0005-0000-0000-00002A0E0000}"/>
    <cellStyle name="_Fuel Prices 4-14_Book2_Electric Rev Req Model (2009 GRC) Rebuttal 3" xfId="3634" xr:uid="{00000000-0005-0000-0000-00002B0E0000}"/>
    <cellStyle name="_Fuel Prices 4-14_Book2_Electric Rev Req Model (2009 GRC) Rebuttal REmoval of New  WH Solar AdjustMI" xfId="3635" xr:uid="{00000000-0005-0000-0000-00002C0E0000}"/>
    <cellStyle name="_Fuel Prices 4-14_Book2_Electric Rev Req Model (2009 GRC) Rebuttal REmoval of New  WH Solar AdjustMI 2" xfId="3636" xr:uid="{00000000-0005-0000-0000-00002D0E0000}"/>
    <cellStyle name="_Fuel Prices 4-14_Book2_Electric Rev Req Model (2009 GRC) Rebuttal REmoval of New  WH Solar AdjustMI 2 2" xfId="3637" xr:uid="{00000000-0005-0000-0000-00002E0E0000}"/>
    <cellStyle name="_Fuel Prices 4-14_Book2_Electric Rev Req Model (2009 GRC) Rebuttal REmoval of New  WH Solar AdjustMI 3" xfId="3638" xr:uid="{00000000-0005-0000-0000-00002F0E0000}"/>
    <cellStyle name="_Fuel Prices 4-14_Book2_Electric Rev Req Model (2009 GRC) Revised 01-18-2010" xfId="3639" xr:uid="{00000000-0005-0000-0000-0000300E0000}"/>
    <cellStyle name="_Fuel Prices 4-14_Book2_Electric Rev Req Model (2009 GRC) Revised 01-18-2010 2" xfId="3640" xr:uid="{00000000-0005-0000-0000-0000310E0000}"/>
    <cellStyle name="_Fuel Prices 4-14_Book2_Electric Rev Req Model (2009 GRC) Revised 01-18-2010 2 2" xfId="3641" xr:uid="{00000000-0005-0000-0000-0000320E0000}"/>
    <cellStyle name="_Fuel Prices 4-14_Book2_Electric Rev Req Model (2009 GRC) Revised 01-18-2010 3" xfId="3642" xr:uid="{00000000-0005-0000-0000-0000330E0000}"/>
    <cellStyle name="_Fuel Prices 4-14_Book2_Final Order Electric EXHIBIT A-1" xfId="3643" xr:uid="{00000000-0005-0000-0000-0000340E0000}"/>
    <cellStyle name="_Fuel Prices 4-14_Book2_Final Order Electric EXHIBIT A-1 2" xfId="3644" xr:uid="{00000000-0005-0000-0000-0000350E0000}"/>
    <cellStyle name="_Fuel Prices 4-14_Book2_Final Order Electric EXHIBIT A-1 2 2" xfId="3645" xr:uid="{00000000-0005-0000-0000-0000360E0000}"/>
    <cellStyle name="_Fuel Prices 4-14_Book2_Final Order Electric EXHIBIT A-1 3" xfId="3646" xr:uid="{00000000-0005-0000-0000-0000370E0000}"/>
    <cellStyle name="_Fuel Prices 4-14_Book4" xfId="3647" xr:uid="{00000000-0005-0000-0000-0000380E0000}"/>
    <cellStyle name="_Fuel Prices 4-14_Book4 2" xfId="3648" xr:uid="{00000000-0005-0000-0000-0000390E0000}"/>
    <cellStyle name="_Fuel Prices 4-14_Book4 2 2" xfId="3649" xr:uid="{00000000-0005-0000-0000-00003A0E0000}"/>
    <cellStyle name="_Fuel Prices 4-14_Book4 3" xfId="3650" xr:uid="{00000000-0005-0000-0000-00003B0E0000}"/>
    <cellStyle name="_Fuel Prices 4-14_Book9" xfId="3651" xr:uid="{00000000-0005-0000-0000-00003C0E0000}"/>
    <cellStyle name="_Fuel Prices 4-14_Book9 2" xfId="3652" xr:uid="{00000000-0005-0000-0000-00003D0E0000}"/>
    <cellStyle name="_Fuel Prices 4-14_Book9 2 2" xfId="3653" xr:uid="{00000000-0005-0000-0000-00003E0E0000}"/>
    <cellStyle name="_Fuel Prices 4-14_Book9 3" xfId="3654" xr:uid="{00000000-0005-0000-0000-00003F0E0000}"/>
    <cellStyle name="_Fuel Prices 4-14_Chelan PUD Power Costs (8-10)" xfId="3655" xr:uid="{00000000-0005-0000-0000-0000400E0000}"/>
    <cellStyle name="_Fuel Prices 4-14_Direct Assignment Distribution Plant 2008" xfId="3656" xr:uid="{00000000-0005-0000-0000-0000410E0000}"/>
    <cellStyle name="_Fuel Prices 4-14_Direct Assignment Distribution Plant 2008 2" xfId="3657" xr:uid="{00000000-0005-0000-0000-0000420E0000}"/>
    <cellStyle name="_Fuel Prices 4-14_Direct Assignment Distribution Plant 2008 2 2" xfId="3658" xr:uid="{00000000-0005-0000-0000-0000430E0000}"/>
    <cellStyle name="_Fuel Prices 4-14_Direct Assignment Distribution Plant 2008 2 2 2" xfId="3659" xr:uid="{00000000-0005-0000-0000-0000440E0000}"/>
    <cellStyle name="_Fuel Prices 4-14_Direct Assignment Distribution Plant 2008 2 3" xfId="3660" xr:uid="{00000000-0005-0000-0000-0000450E0000}"/>
    <cellStyle name="_Fuel Prices 4-14_Direct Assignment Distribution Plant 2008 2 3 2" xfId="3661" xr:uid="{00000000-0005-0000-0000-0000460E0000}"/>
    <cellStyle name="_Fuel Prices 4-14_Direct Assignment Distribution Plant 2008 2 4" xfId="3662" xr:uid="{00000000-0005-0000-0000-0000470E0000}"/>
    <cellStyle name="_Fuel Prices 4-14_Direct Assignment Distribution Plant 2008 2 4 2" xfId="3663" xr:uid="{00000000-0005-0000-0000-0000480E0000}"/>
    <cellStyle name="_Fuel Prices 4-14_Direct Assignment Distribution Plant 2008 3" xfId="3664" xr:uid="{00000000-0005-0000-0000-0000490E0000}"/>
    <cellStyle name="_Fuel Prices 4-14_Direct Assignment Distribution Plant 2008 3 2" xfId="3665" xr:uid="{00000000-0005-0000-0000-00004A0E0000}"/>
    <cellStyle name="_Fuel Prices 4-14_Direct Assignment Distribution Plant 2008 4" xfId="3666" xr:uid="{00000000-0005-0000-0000-00004B0E0000}"/>
    <cellStyle name="_Fuel Prices 4-14_Direct Assignment Distribution Plant 2008 4 2" xfId="3667" xr:uid="{00000000-0005-0000-0000-00004C0E0000}"/>
    <cellStyle name="_Fuel Prices 4-14_Direct Assignment Distribution Plant 2008 5" xfId="3668" xr:uid="{00000000-0005-0000-0000-00004D0E0000}"/>
    <cellStyle name="_Fuel Prices 4-14_Direct Assignment Distribution Plant 2008 6" xfId="3669" xr:uid="{00000000-0005-0000-0000-00004E0E0000}"/>
    <cellStyle name="_Fuel Prices 4-14_Electric COS Inputs" xfId="3670" xr:uid="{00000000-0005-0000-0000-00004F0E0000}"/>
    <cellStyle name="_Fuel Prices 4-14_Electric COS Inputs 2" xfId="3671" xr:uid="{00000000-0005-0000-0000-0000500E0000}"/>
    <cellStyle name="_Fuel Prices 4-14_Electric COS Inputs 2 2" xfId="3672" xr:uid="{00000000-0005-0000-0000-0000510E0000}"/>
    <cellStyle name="_Fuel Prices 4-14_Electric COS Inputs 2 2 2" xfId="3673" xr:uid="{00000000-0005-0000-0000-0000520E0000}"/>
    <cellStyle name="_Fuel Prices 4-14_Electric COS Inputs 2 3" xfId="3674" xr:uid="{00000000-0005-0000-0000-0000530E0000}"/>
    <cellStyle name="_Fuel Prices 4-14_Electric COS Inputs 2 3 2" xfId="3675" xr:uid="{00000000-0005-0000-0000-0000540E0000}"/>
    <cellStyle name="_Fuel Prices 4-14_Electric COS Inputs 2 4" xfId="3676" xr:uid="{00000000-0005-0000-0000-0000550E0000}"/>
    <cellStyle name="_Fuel Prices 4-14_Electric COS Inputs 2 4 2" xfId="3677" xr:uid="{00000000-0005-0000-0000-0000560E0000}"/>
    <cellStyle name="_Fuel Prices 4-14_Electric COS Inputs 3" xfId="3678" xr:uid="{00000000-0005-0000-0000-0000570E0000}"/>
    <cellStyle name="_Fuel Prices 4-14_Electric COS Inputs 3 2" xfId="3679" xr:uid="{00000000-0005-0000-0000-0000580E0000}"/>
    <cellStyle name="_Fuel Prices 4-14_Electric COS Inputs 4" xfId="3680" xr:uid="{00000000-0005-0000-0000-0000590E0000}"/>
    <cellStyle name="_Fuel Prices 4-14_Electric COS Inputs 4 2" xfId="3681" xr:uid="{00000000-0005-0000-0000-00005A0E0000}"/>
    <cellStyle name="_Fuel Prices 4-14_Electric COS Inputs 5" xfId="3682" xr:uid="{00000000-0005-0000-0000-00005B0E0000}"/>
    <cellStyle name="_Fuel Prices 4-14_Electric COS Inputs 6" xfId="3683" xr:uid="{00000000-0005-0000-0000-00005C0E0000}"/>
    <cellStyle name="_Fuel Prices 4-14_Electric Rate Spread and Rate Design 3.23.09" xfId="3684" xr:uid="{00000000-0005-0000-0000-00005D0E0000}"/>
    <cellStyle name="_Fuel Prices 4-14_Electric Rate Spread and Rate Design 3.23.09 2" xfId="3685" xr:uid="{00000000-0005-0000-0000-00005E0E0000}"/>
    <cellStyle name="_Fuel Prices 4-14_Electric Rate Spread and Rate Design 3.23.09 2 2" xfId="3686" xr:uid="{00000000-0005-0000-0000-00005F0E0000}"/>
    <cellStyle name="_Fuel Prices 4-14_Electric Rate Spread and Rate Design 3.23.09 2 2 2" xfId="3687" xr:uid="{00000000-0005-0000-0000-0000600E0000}"/>
    <cellStyle name="_Fuel Prices 4-14_Electric Rate Spread and Rate Design 3.23.09 2 3" xfId="3688" xr:uid="{00000000-0005-0000-0000-0000610E0000}"/>
    <cellStyle name="_Fuel Prices 4-14_Electric Rate Spread and Rate Design 3.23.09 2 3 2" xfId="3689" xr:uid="{00000000-0005-0000-0000-0000620E0000}"/>
    <cellStyle name="_Fuel Prices 4-14_Electric Rate Spread and Rate Design 3.23.09 2 4" xfId="3690" xr:uid="{00000000-0005-0000-0000-0000630E0000}"/>
    <cellStyle name="_Fuel Prices 4-14_Electric Rate Spread and Rate Design 3.23.09 2 4 2" xfId="3691" xr:uid="{00000000-0005-0000-0000-0000640E0000}"/>
    <cellStyle name="_Fuel Prices 4-14_Electric Rate Spread and Rate Design 3.23.09 3" xfId="3692" xr:uid="{00000000-0005-0000-0000-0000650E0000}"/>
    <cellStyle name="_Fuel Prices 4-14_Electric Rate Spread and Rate Design 3.23.09 3 2" xfId="3693" xr:uid="{00000000-0005-0000-0000-0000660E0000}"/>
    <cellStyle name="_Fuel Prices 4-14_Electric Rate Spread and Rate Design 3.23.09 4" xfId="3694" xr:uid="{00000000-0005-0000-0000-0000670E0000}"/>
    <cellStyle name="_Fuel Prices 4-14_Electric Rate Spread and Rate Design 3.23.09 4 2" xfId="3695" xr:uid="{00000000-0005-0000-0000-0000680E0000}"/>
    <cellStyle name="_Fuel Prices 4-14_Electric Rate Spread and Rate Design 3.23.09 5" xfId="3696" xr:uid="{00000000-0005-0000-0000-0000690E0000}"/>
    <cellStyle name="_Fuel Prices 4-14_Electric Rate Spread and Rate Design 3.23.09 6" xfId="3697" xr:uid="{00000000-0005-0000-0000-00006A0E0000}"/>
    <cellStyle name="_Fuel Prices 4-14_INPUTS" xfId="3698" xr:uid="{00000000-0005-0000-0000-00006B0E0000}"/>
    <cellStyle name="_Fuel Prices 4-14_INPUTS 2" xfId="3699" xr:uid="{00000000-0005-0000-0000-00006C0E0000}"/>
    <cellStyle name="_Fuel Prices 4-14_INPUTS 2 2" xfId="3700" xr:uid="{00000000-0005-0000-0000-00006D0E0000}"/>
    <cellStyle name="_Fuel Prices 4-14_INPUTS 2 2 2" xfId="3701" xr:uid="{00000000-0005-0000-0000-00006E0E0000}"/>
    <cellStyle name="_Fuel Prices 4-14_INPUTS 2 3" xfId="3702" xr:uid="{00000000-0005-0000-0000-00006F0E0000}"/>
    <cellStyle name="_Fuel Prices 4-14_INPUTS 2 3 2" xfId="3703" xr:uid="{00000000-0005-0000-0000-0000700E0000}"/>
    <cellStyle name="_Fuel Prices 4-14_INPUTS 2 4" xfId="3704" xr:uid="{00000000-0005-0000-0000-0000710E0000}"/>
    <cellStyle name="_Fuel Prices 4-14_INPUTS 2 4 2" xfId="3705" xr:uid="{00000000-0005-0000-0000-0000720E0000}"/>
    <cellStyle name="_Fuel Prices 4-14_INPUTS 3" xfId="3706" xr:uid="{00000000-0005-0000-0000-0000730E0000}"/>
    <cellStyle name="_Fuel Prices 4-14_INPUTS 3 2" xfId="3707" xr:uid="{00000000-0005-0000-0000-0000740E0000}"/>
    <cellStyle name="_Fuel Prices 4-14_INPUTS 4" xfId="3708" xr:uid="{00000000-0005-0000-0000-0000750E0000}"/>
    <cellStyle name="_Fuel Prices 4-14_INPUTS 4 2" xfId="3709" xr:uid="{00000000-0005-0000-0000-0000760E0000}"/>
    <cellStyle name="_Fuel Prices 4-14_INPUTS 5" xfId="3710" xr:uid="{00000000-0005-0000-0000-0000770E0000}"/>
    <cellStyle name="_Fuel Prices 4-14_INPUTS 6" xfId="3711" xr:uid="{00000000-0005-0000-0000-0000780E0000}"/>
    <cellStyle name="_Fuel Prices 4-14_Leased Transformer &amp; Substation Plant &amp; Rev 12-2009" xfId="3712" xr:uid="{00000000-0005-0000-0000-0000790E0000}"/>
    <cellStyle name="_Fuel Prices 4-14_Leased Transformer &amp; Substation Plant &amp; Rev 12-2009 2" xfId="3713" xr:uid="{00000000-0005-0000-0000-00007A0E0000}"/>
    <cellStyle name="_Fuel Prices 4-14_Leased Transformer &amp; Substation Plant &amp; Rev 12-2009 2 2" xfId="3714" xr:uid="{00000000-0005-0000-0000-00007B0E0000}"/>
    <cellStyle name="_Fuel Prices 4-14_Leased Transformer &amp; Substation Plant &amp; Rev 12-2009 2 2 2" xfId="3715" xr:uid="{00000000-0005-0000-0000-00007C0E0000}"/>
    <cellStyle name="_Fuel Prices 4-14_Leased Transformer &amp; Substation Plant &amp; Rev 12-2009 2 3" xfId="3716" xr:uid="{00000000-0005-0000-0000-00007D0E0000}"/>
    <cellStyle name="_Fuel Prices 4-14_Leased Transformer &amp; Substation Plant &amp; Rev 12-2009 2 3 2" xfId="3717" xr:uid="{00000000-0005-0000-0000-00007E0E0000}"/>
    <cellStyle name="_Fuel Prices 4-14_Leased Transformer &amp; Substation Plant &amp; Rev 12-2009 2 4" xfId="3718" xr:uid="{00000000-0005-0000-0000-00007F0E0000}"/>
    <cellStyle name="_Fuel Prices 4-14_Leased Transformer &amp; Substation Plant &amp; Rev 12-2009 2 4 2" xfId="3719" xr:uid="{00000000-0005-0000-0000-0000800E0000}"/>
    <cellStyle name="_Fuel Prices 4-14_Leased Transformer &amp; Substation Plant &amp; Rev 12-2009 3" xfId="3720" xr:uid="{00000000-0005-0000-0000-0000810E0000}"/>
    <cellStyle name="_Fuel Prices 4-14_Leased Transformer &amp; Substation Plant &amp; Rev 12-2009 3 2" xfId="3721" xr:uid="{00000000-0005-0000-0000-0000820E0000}"/>
    <cellStyle name="_Fuel Prices 4-14_Leased Transformer &amp; Substation Plant &amp; Rev 12-2009 4" xfId="3722" xr:uid="{00000000-0005-0000-0000-0000830E0000}"/>
    <cellStyle name="_Fuel Prices 4-14_Leased Transformer &amp; Substation Plant &amp; Rev 12-2009 4 2" xfId="3723" xr:uid="{00000000-0005-0000-0000-0000840E0000}"/>
    <cellStyle name="_Fuel Prices 4-14_Leased Transformer &amp; Substation Plant &amp; Rev 12-2009 5" xfId="3724" xr:uid="{00000000-0005-0000-0000-0000850E0000}"/>
    <cellStyle name="_Fuel Prices 4-14_Leased Transformer &amp; Substation Plant &amp; Rev 12-2009 6" xfId="3725" xr:uid="{00000000-0005-0000-0000-0000860E0000}"/>
    <cellStyle name="_Fuel Prices 4-14_NIM Summary" xfId="3726" xr:uid="{00000000-0005-0000-0000-0000870E0000}"/>
    <cellStyle name="_Fuel Prices 4-14_NIM Summary 09GRC" xfId="3727" xr:uid="{00000000-0005-0000-0000-0000880E0000}"/>
    <cellStyle name="_Fuel Prices 4-14_NIM Summary 09GRC 2" xfId="3728" xr:uid="{00000000-0005-0000-0000-0000890E0000}"/>
    <cellStyle name="_Fuel Prices 4-14_NIM Summary 2" xfId="3729" xr:uid="{00000000-0005-0000-0000-00008A0E0000}"/>
    <cellStyle name="_Fuel Prices 4-14_NIM Summary 3" xfId="3730" xr:uid="{00000000-0005-0000-0000-00008B0E0000}"/>
    <cellStyle name="_Fuel Prices 4-14_NIM Summary 4" xfId="3731" xr:uid="{00000000-0005-0000-0000-00008C0E0000}"/>
    <cellStyle name="_Fuel Prices 4-14_NIM Summary 5" xfId="3732" xr:uid="{00000000-0005-0000-0000-00008D0E0000}"/>
    <cellStyle name="_Fuel Prices 4-14_NIM Summary 6" xfId="3733" xr:uid="{00000000-0005-0000-0000-00008E0E0000}"/>
    <cellStyle name="_Fuel Prices 4-14_NIM Summary 7" xfId="3734" xr:uid="{00000000-0005-0000-0000-00008F0E0000}"/>
    <cellStyle name="_Fuel Prices 4-14_NIM Summary 8" xfId="3735" xr:uid="{00000000-0005-0000-0000-0000900E0000}"/>
    <cellStyle name="_Fuel Prices 4-14_NIM Summary 9" xfId="3736" xr:uid="{00000000-0005-0000-0000-0000910E0000}"/>
    <cellStyle name="_Fuel Prices 4-14_PCA 10 -  Exhibit D from A Kellogg Jan 2011" xfId="3737" xr:uid="{00000000-0005-0000-0000-0000920E0000}"/>
    <cellStyle name="_Fuel Prices 4-14_PCA 10 -  Exhibit D from A Kellogg July 2011" xfId="3738" xr:uid="{00000000-0005-0000-0000-0000930E0000}"/>
    <cellStyle name="_Fuel Prices 4-14_PCA 10 -  Exhibit D from S Free Rcv'd 12-11" xfId="3739" xr:uid="{00000000-0005-0000-0000-0000940E0000}"/>
    <cellStyle name="_Fuel Prices 4-14_PCA 9 -  Exhibit D April 2010" xfId="3740" xr:uid="{00000000-0005-0000-0000-0000950E0000}"/>
    <cellStyle name="_Fuel Prices 4-14_PCA 9 -  Exhibit D April 2010 (3)" xfId="3741" xr:uid="{00000000-0005-0000-0000-0000960E0000}"/>
    <cellStyle name="_Fuel Prices 4-14_PCA 9 -  Exhibit D April 2010 (3) 2" xfId="3742" xr:uid="{00000000-0005-0000-0000-0000970E0000}"/>
    <cellStyle name="_Fuel Prices 4-14_PCA 9 -  Exhibit D Nov 2010" xfId="3743" xr:uid="{00000000-0005-0000-0000-0000980E0000}"/>
    <cellStyle name="_Fuel Prices 4-14_PCA 9 - Exhibit D at August 2010" xfId="3744" xr:uid="{00000000-0005-0000-0000-0000990E0000}"/>
    <cellStyle name="_Fuel Prices 4-14_PCA 9 - Exhibit D June 2010 GRC" xfId="3745" xr:uid="{00000000-0005-0000-0000-00009A0E0000}"/>
    <cellStyle name="_Fuel Prices 4-14_Peak Credit Exhibits for 2009 GRC" xfId="3746" xr:uid="{00000000-0005-0000-0000-00009B0E0000}"/>
    <cellStyle name="_Fuel Prices 4-14_Peak Credit Exhibits for 2009 GRC 2" xfId="3747" xr:uid="{00000000-0005-0000-0000-00009C0E0000}"/>
    <cellStyle name="_Fuel Prices 4-14_Peak Credit Exhibits for 2009 GRC 2 2" xfId="3748" xr:uid="{00000000-0005-0000-0000-00009D0E0000}"/>
    <cellStyle name="_Fuel Prices 4-14_Peak Credit Exhibits for 2009 GRC 2 2 2" xfId="3749" xr:uid="{00000000-0005-0000-0000-00009E0E0000}"/>
    <cellStyle name="_Fuel Prices 4-14_Peak Credit Exhibits for 2009 GRC 2 3" xfId="3750" xr:uid="{00000000-0005-0000-0000-00009F0E0000}"/>
    <cellStyle name="_Fuel Prices 4-14_Peak Credit Exhibits for 2009 GRC 2 3 2" xfId="3751" xr:uid="{00000000-0005-0000-0000-0000A00E0000}"/>
    <cellStyle name="_Fuel Prices 4-14_Peak Credit Exhibits for 2009 GRC 2 4" xfId="3752" xr:uid="{00000000-0005-0000-0000-0000A10E0000}"/>
    <cellStyle name="_Fuel Prices 4-14_Peak Credit Exhibits for 2009 GRC 2 4 2" xfId="3753" xr:uid="{00000000-0005-0000-0000-0000A20E0000}"/>
    <cellStyle name="_Fuel Prices 4-14_Peak Credit Exhibits for 2009 GRC 3" xfId="3754" xr:uid="{00000000-0005-0000-0000-0000A30E0000}"/>
    <cellStyle name="_Fuel Prices 4-14_Peak Credit Exhibits for 2009 GRC 3 2" xfId="3755" xr:uid="{00000000-0005-0000-0000-0000A40E0000}"/>
    <cellStyle name="_Fuel Prices 4-14_Peak Credit Exhibits for 2009 GRC 4" xfId="3756" xr:uid="{00000000-0005-0000-0000-0000A50E0000}"/>
    <cellStyle name="_Fuel Prices 4-14_Peak Credit Exhibits for 2009 GRC 4 2" xfId="3757" xr:uid="{00000000-0005-0000-0000-0000A60E0000}"/>
    <cellStyle name="_Fuel Prices 4-14_Peak Credit Exhibits for 2009 GRC 5" xfId="3758" xr:uid="{00000000-0005-0000-0000-0000A70E0000}"/>
    <cellStyle name="_Fuel Prices 4-14_Peak Credit Exhibits for 2009 GRC 6" xfId="3759" xr:uid="{00000000-0005-0000-0000-0000A80E0000}"/>
    <cellStyle name="_Fuel Prices 4-14_Power Costs - Comparison bx Rbtl-Staff-Jt-PC" xfId="3760" xr:uid="{00000000-0005-0000-0000-0000A90E0000}"/>
    <cellStyle name="_Fuel Prices 4-14_Power Costs - Comparison bx Rbtl-Staff-Jt-PC 2" xfId="3761" xr:uid="{00000000-0005-0000-0000-0000AA0E0000}"/>
    <cellStyle name="_Fuel Prices 4-14_Power Costs - Comparison bx Rbtl-Staff-Jt-PC 2 2" xfId="3762" xr:uid="{00000000-0005-0000-0000-0000AB0E0000}"/>
    <cellStyle name="_Fuel Prices 4-14_Power Costs - Comparison bx Rbtl-Staff-Jt-PC 3" xfId="3763" xr:uid="{00000000-0005-0000-0000-0000AC0E0000}"/>
    <cellStyle name="_Fuel Prices 4-14_Power Costs - Comparison bx Rbtl-Staff-Jt-PC_Adj Bench DR 3 for Initial Briefs (Electric)" xfId="3764" xr:uid="{00000000-0005-0000-0000-0000AD0E0000}"/>
    <cellStyle name="_Fuel Prices 4-14_Power Costs - Comparison bx Rbtl-Staff-Jt-PC_Adj Bench DR 3 for Initial Briefs (Electric) 2" xfId="3765" xr:uid="{00000000-0005-0000-0000-0000AE0E0000}"/>
    <cellStyle name="_Fuel Prices 4-14_Power Costs - Comparison bx Rbtl-Staff-Jt-PC_Adj Bench DR 3 for Initial Briefs (Electric) 2 2" xfId="3766" xr:uid="{00000000-0005-0000-0000-0000AF0E0000}"/>
    <cellStyle name="_Fuel Prices 4-14_Power Costs - Comparison bx Rbtl-Staff-Jt-PC_Adj Bench DR 3 for Initial Briefs (Electric) 3" xfId="3767" xr:uid="{00000000-0005-0000-0000-0000B00E0000}"/>
    <cellStyle name="_Fuel Prices 4-14_Power Costs - Comparison bx Rbtl-Staff-Jt-PC_Electric Rev Req Model (2009 GRC) Rebuttal" xfId="3768" xr:uid="{00000000-0005-0000-0000-0000B10E0000}"/>
    <cellStyle name="_Fuel Prices 4-14_Power Costs - Comparison bx Rbtl-Staff-Jt-PC_Electric Rev Req Model (2009 GRC) Rebuttal 2" xfId="3769" xr:uid="{00000000-0005-0000-0000-0000B20E0000}"/>
    <cellStyle name="_Fuel Prices 4-14_Power Costs - Comparison bx Rbtl-Staff-Jt-PC_Electric Rev Req Model (2009 GRC) Rebuttal 2 2" xfId="3770" xr:uid="{00000000-0005-0000-0000-0000B30E0000}"/>
    <cellStyle name="_Fuel Prices 4-14_Power Costs - Comparison bx Rbtl-Staff-Jt-PC_Electric Rev Req Model (2009 GRC) Rebuttal 3" xfId="3771" xr:uid="{00000000-0005-0000-0000-0000B40E0000}"/>
    <cellStyle name="_Fuel Prices 4-14_Power Costs - Comparison bx Rbtl-Staff-Jt-PC_Electric Rev Req Model (2009 GRC) Rebuttal REmoval of New  WH Solar AdjustMI" xfId="3772" xr:uid="{00000000-0005-0000-0000-0000B50E0000}"/>
    <cellStyle name="_Fuel Prices 4-14_Power Costs - Comparison bx Rbtl-Staff-Jt-PC_Electric Rev Req Model (2009 GRC) Rebuttal REmoval of New  WH Solar AdjustMI 2" xfId="3773" xr:uid="{00000000-0005-0000-0000-0000B60E0000}"/>
    <cellStyle name="_Fuel Prices 4-14_Power Costs - Comparison bx Rbtl-Staff-Jt-PC_Electric Rev Req Model (2009 GRC) Rebuttal REmoval of New  WH Solar AdjustMI 2 2" xfId="3774" xr:uid="{00000000-0005-0000-0000-0000B70E0000}"/>
    <cellStyle name="_Fuel Prices 4-14_Power Costs - Comparison bx Rbtl-Staff-Jt-PC_Electric Rev Req Model (2009 GRC) Rebuttal REmoval of New  WH Solar AdjustMI 3" xfId="3775" xr:uid="{00000000-0005-0000-0000-0000B80E0000}"/>
    <cellStyle name="_Fuel Prices 4-14_Power Costs - Comparison bx Rbtl-Staff-Jt-PC_Electric Rev Req Model (2009 GRC) Revised 01-18-2010" xfId="3776" xr:uid="{00000000-0005-0000-0000-0000B90E0000}"/>
    <cellStyle name="_Fuel Prices 4-14_Power Costs - Comparison bx Rbtl-Staff-Jt-PC_Electric Rev Req Model (2009 GRC) Revised 01-18-2010 2" xfId="3777" xr:uid="{00000000-0005-0000-0000-0000BA0E0000}"/>
    <cellStyle name="_Fuel Prices 4-14_Power Costs - Comparison bx Rbtl-Staff-Jt-PC_Electric Rev Req Model (2009 GRC) Revised 01-18-2010 2 2" xfId="3778" xr:uid="{00000000-0005-0000-0000-0000BB0E0000}"/>
    <cellStyle name="_Fuel Prices 4-14_Power Costs - Comparison bx Rbtl-Staff-Jt-PC_Electric Rev Req Model (2009 GRC) Revised 01-18-2010 3" xfId="3779" xr:uid="{00000000-0005-0000-0000-0000BC0E0000}"/>
    <cellStyle name="_Fuel Prices 4-14_Power Costs - Comparison bx Rbtl-Staff-Jt-PC_Final Order Electric EXHIBIT A-1" xfId="3780" xr:uid="{00000000-0005-0000-0000-0000BD0E0000}"/>
    <cellStyle name="_Fuel Prices 4-14_Power Costs - Comparison bx Rbtl-Staff-Jt-PC_Final Order Electric EXHIBIT A-1 2" xfId="3781" xr:uid="{00000000-0005-0000-0000-0000BE0E0000}"/>
    <cellStyle name="_Fuel Prices 4-14_Power Costs - Comparison bx Rbtl-Staff-Jt-PC_Final Order Electric EXHIBIT A-1 2 2" xfId="3782" xr:uid="{00000000-0005-0000-0000-0000BF0E0000}"/>
    <cellStyle name="_Fuel Prices 4-14_Power Costs - Comparison bx Rbtl-Staff-Jt-PC_Final Order Electric EXHIBIT A-1 3" xfId="3783" xr:uid="{00000000-0005-0000-0000-0000C00E0000}"/>
    <cellStyle name="_Fuel Prices 4-14_Production Adj 4.37" xfId="3784" xr:uid="{00000000-0005-0000-0000-0000C10E0000}"/>
    <cellStyle name="_Fuel Prices 4-14_Production Adj 4.37 2" xfId="3785" xr:uid="{00000000-0005-0000-0000-0000C20E0000}"/>
    <cellStyle name="_Fuel Prices 4-14_Production Adj 4.37 2 2" xfId="3786" xr:uid="{00000000-0005-0000-0000-0000C30E0000}"/>
    <cellStyle name="_Fuel Prices 4-14_Production Adj 4.37 3" xfId="3787" xr:uid="{00000000-0005-0000-0000-0000C40E0000}"/>
    <cellStyle name="_Fuel Prices 4-14_Purchased Power Adj 4.03" xfId="3788" xr:uid="{00000000-0005-0000-0000-0000C50E0000}"/>
    <cellStyle name="_Fuel Prices 4-14_Purchased Power Adj 4.03 2" xfId="3789" xr:uid="{00000000-0005-0000-0000-0000C60E0000}"/>
    <cellStyle name="_Fuel Prices 4-14_Purchased Power Adj 4.03 2 2" xfId="3790" xr:uid="{00000000-0005-0000-0000-0000C70E0000}"/>
    <cellStyle name="_Fuel Prices 4-14_Purchased Power Adj 4.03 3" xfId="3791" xr:uid="{00000000-0005-0000-0000-0000C80E0000}"/>
    <cellStyle name="_Fuel Prices 4-14_Rate Design Sch 24" xfId="3792" xr:uid="{00000000-0005-0000-0000-0000C90E0000}"/>
    <cellStyle name="_Fuel Prices 4-14_Rate Design Sch 24 2" xfId="3793" xr:uid="{00000000-0005-0000-0000-0000CA0E0000}"/>
    <cellStyle name="_Fuel Prices 4-14_Rate Design Sch 25" xfId="3794" xr:uid="{00000000-0005-0000-0000-0000CB0E0000}"/>
    <cellStyle name="_Fuel Prices 4-14_Rate Design Sch 25 2" xfId="3795" xr:uid="{00000000-0005-0000-0000-0000CC0E0000}"/>
    <cellStyle name="_Fuel Prices 4-14_Rate Design Sch 25 2 2" xfId="3796" xr:uid="{00000000-0005-0000-0000-0000CD0E0000}"/>
    <cellStyle name="_Fuel Prices 4-14_Rate Design Sch 25 3" xfId="3797" xr:uid="{00000000-0005-0000-0000-0000CE0E0000}"/>
    <cellStyle name="_Fuel Prices 4-14_Rate Design Sch 26" xfId="3798" xr:uid="{00000000-0005-0000-0000-0000CF0E0000}"/>
    <cellStyle name="_Fuel Prices 4-14_Rate Design Sch 26 2" xfId="3799" xr:uid="{00000000-0005-0000-0000-0000D00E0000}"/>
    <cellStyle name="_Fuel Prices 4-14_Rate Design Sch 26 2 2" xfId="3800" xr:uid="{00000000-0005-0000-0000-0000D10E0000}"/>
    <cellStyle name="_Fuel Prices 4-14_Rate Design Sch 26 3" xfId="3801" xr:uid="{00000000-0005-0000-0000-0000D20E0000}"/>
    <cellStyle name="_Fuel Prices 4-14_Rate Design Sch 31" xfId="3802" xr:uid="{00000000-0005-0000-0000-0000D30E0000}"/>
    <cellStyle name="_Fuel Prices 4-14_Rate Design Sch 31 2" xfId="3803" xr:uid="{00000000-0005-0000-0000-0000D40E0000}"/>
    <cellStyle name="_Fuel Prices 4-14_Rate Design Sch 31 2 2" xfId="3804" xr:uid="{00000000-0005-0000-0000-0000D50E0000}"/>
    <cellStyle name="_Fuel Prices 4-14_Rate Design Sch 31 3" xfId="3805" xr:uid="{00000000-0005-0000-0000-0000D60E0000}"/>
    <cellStyle name="_Fuel Prices 4-14_Rate Design Sch 43" xfId="3806" xr:uid="{00000000-0005-0000-0000-0000D70E0000}"/>
    <cellStyle name="_Fuel Prices 4-14_Rate Design Sch 43 2" xfId="3807" xr:uid="{00000000-0005-0000-0000-0000D80E0000}"/>
    <cellStyle name="_Fuel Prices 4-14_Rate Design Sch 43 2 2" xfId="3808" xr:uid="{00000000-0005-0000-0000-0000D90E0000}"/>
    <cellStyle name="_Fuel Prices 4-14_Rate Design Sch 43 3" xfId="3809" xr:uid="{00000000-0005-0000-0000-0000DA0E0000}"/>
    <cellStyle name="_Fuel Prices 4-14_Rate Design Sch 448-449" xfId="3810" xr:uid="{00000000-0005-0000-0000-0000DB0E0000}"/>
    <cellStyle name="_Fuel Prices 4-14_Rate Design Sch 448-449 2" xfId="3811" xr:uid="{00000000-0005-0000-0000-0000DC0E0000}"/>
    <cellStyle name="_Fuel Prices 4-14_Rate Design Sch 46" xfId="3812" xr:uid="{00000000-0005-0000-0000-0000DD0E0000}"/>
    <cellStyle name="_Fuel Prices 4-14_Rate Design Sch 46 2" xfId="3813" xr:uid="{00000000-0005-0000-0000-0000DE0E0000}"/>
    <cellStyle name="_Fuel Prices 4-14_Rate Design Sch 46 2 2" xfId="3814" xr:uid="{00000000-0005-0000-0000-0000DF0E0000}"/>
    <cellStyle name="_Fuel Prices 4-14_Rate Design Sch 46 3" xfId="3815" xr:uid="{00000000-0005-0000-0000-0000E00E0000}"/>
    <cellStyle name="_Fuel Prices 4-14_Rate Spread" xfId="3816" xr:uid="{00000000-0005-0000-0000-0000E10E0000}"/>
    <cellStyle name="_Fuel Prices 4-14_Rate Spread 2" xfId="3817" xr:uid="{00000000-0005-0000-0000-0000E20E0000}"/>
    <cellStyle name="_Fuel Prices 4-14_Rate Spread 2 2" xfId="3818" xr:uid="{00000000-0005-0000-0000-0000E30E0000}"/>
    <cellStyle name="_Fuel Prices 4-14_Rate Spread 3" xfId="3819" xr:uid="{00000000-0005-0000-0000-0000E40E0000}"/>
    <cellStyle name="_Fuel Prices 4-14_Rebuttal Power Costs" xfId="3820" xr:uid="{00000000-0005-0000-0000-0000E50E0000}"/>
    <cellStyle name="_Fuel Prices 4-14_Rebuttal Power Costs 2" xfId="3821" xr:uid="{00000000-0005-0000-0000-0000E60E0000}"/>
    <cellStyle name="_Fuel Prices 4-14_Rebuttal Power Costs 2 2" xfId="3822" xr:uid="{00000000-0005-0000-0000-0000E70E0000}"/>
    <cellStyle name="_Fuel Prices 4-14_Rebuttal Power Costs 3" xfId="3823" xr:uid="{00000000-0005-0000-0000-0000E80E0000}"/>
    <cellStyle name="_Fuel Prices 4-14_Rebuttal Power Costs_Adj Bench DR 3 for Initial Briefs (Electric)" xfId="3824" xr:uid="{00000000-0005-0000-0000-0000E90E0000}"/>
    <cellStyle name="_Fuel Prices 4-14_Rebuttal Power Costs_Adj Bench DR 3 for Initial Briefs (Electric) 2" xfId="3825" xr:uid="{00000000-0005-0000-0000-0000EA0E0000}"/>
    <cellStyle name="_Fuel Prices 4-14_Rebuttal Power Costs_Adj Bench DR 3 for Initial Briefs (Electric) 2 2" xfId="3826" xr:uid="{00000000-0005-0000-0000-0000EB0E0000}"/>
    <cellStyle name="_Fuel Prices 4-14_Rebuttal Power Costs_Adj Bench DR 3 for Initial Briefs (Electric) 3" xfId="3827" xr:uid="{00000000-0005-0000-0000-0000EC0E0000}"/>
    <cellStyle name="_Fuel Prices 4-14_Rebuttal Power Costs_Electric Rev Req Model (2009 GRC) Rebuttal" xfId="3828" xr:uid="{00000000-0005-0000-0000-0000ED0E0000}"/>
    <cellStyle name="_Fuel Prices 4-14_Rebuttal Power Costs_Electric Rev Req Model (2009 GRC) Rebuttal 2" xfId="3829" xr:uid="{00000000-0005-0000-0000-0000EE0E0000}"/>
    <cellStyle name="_Fuel Prices 4-14_Rebuttal Power Costs_Electric Rev Req Model (2009 GRC) Rebuttal 2 2" xfId="3830" xr:uid="{00000000-0005-0000-0000-0000EF0E0000}"/>
    <cellStyle name="_Fuel Prices 4-14_Rebuttal Power Costs_Electric Rev Req Model (2009 GRC) Rebuttal 3" xfId="3831" xr:uid="{00000000-0005-0000-0000-0000F00E0000}"/>
    <cellStyle name="_Fuel Prices 4-14_Rebuttal Power Costs_Electric Rev Req Model (2009 GRC) Rebuttal REmoval of New  WH Solar AdjustMI" xfId="3832" xr:uid="{00000000-0005-0000-0000-0000F10E0000}"/>
    <cellStyle name="_Fuel Prices 4-14_Rebuttal Power Costs_Electric Rev Req Model (2009 GRC) Rebuttal REmoval of New  WH Solar AdjustMI 2" xfId="3833" xr:uid="{00000000-0005-0000-0000-0000F20E0000}"/>
    <cellStyle name="_Fuel Prices 4-14_Rebuttal Power Costs_Electric Rev Req Model (2009 GRC) Rebuttal REmoval of New  WH Solar AdjustMI 2 2" xfId="3834" xr:uid="{00000000-0005-0000-0000-0000F30E0000}"/>
    <cellStyle name="_Fuel Prices 4-14_Rebuttal Power Costs_Electric Rev Req Model (2009 GRC) Rebuttal REmoval of New  WH Solar AdjustMI 3" xfId="3835" xr:uid="{00000000-0005-0000-0000-0000F40E0000}"/>
    <cellStyle name="_Fuel Prices 4-14_Rebuttal Power Costs_Electric Rev Req Model (2009 GRC) Revised 01-18-2010" xfId="3836" xr:uid="{00000000-0005-0000-0000-0000F50E0000}"/>
    <cellStyle name="_Fuel Prices 4-14_Rebuttal Power Costs_Electric Rev Req Model (2009 GRC) Revised 01-18-2010 2" xfId="3837" xr:uid="{00000000-0005-0000-0000-0000F60E0000}"/>
    <cellStyle name="_Fuel Prices 4-14_Rebuttal Power Costs_Electric Rev Req Model (2009 GRC) Revised 01-18-2010 2 2" xfId="3838" xr:uid="{00000000-0005-0000-0000-0000F70E0000}"/>
    <cellStyle name="_Fuel Prices 4-14_Rebuttal Power Costs_Electric Rev Req Model (2009 GRC) Revised 01-18-2010 3" xfId="3839" xr:uid="{00000000-0005-0000-0000-0000F80E0000}"/>
    <cellStyle name="_Fuel Prices 4-14_Rebuttal Power Costs_Final Order Electric EXHIBIT A-1" xfId="3840" xr:uid="{00000000-0005-0000-0000-0000F90E0000}"/>
    <cellStyle name="_Fuel Prices 4-14_Rebuttal Power Costs_Final Order Electric EXHIBIT A-1 2" xfId="3841" xr:uid="{00000000-0005-0000-0000-0000FA0E0000}"/>
    <cellStyle name="_Fuel Prices 4-14_Rebuttal Power Costs_Final Order Electric EXHIBIT A-1 2 2" xfId="3842" xr:uid="{00000000-0005-0000-0000-0000FB0E0000}"/>
    <cellStyle name="_Fuel Prices 4-14_Rebuttal Power Costs_Final Order Electric EXHIBIT A-1 3" xfId="3843" xr:uid="{00000000-0005-0000-0000-0000FC0E0000}"/>
    <cellStyle name="_Fuel Prices 4-14_ROR 5.02" xfId="3844" xr:uid="{00000000-0005-0000-0000-0000FD0E0000}"/>
    <cellStyle name="_Fuel Prices 4-14_ROR 5.02 2" xfId="3845" xr:uid="{00000000-0005-0000-0000-0000FE0E0000}"/>
    <cellStyle name="_Fuel Prices 4-14_ROR 5.02 2 2" xfId="3846" xr:uid="{00000000-0005-0000-0000-0000FF0E0000}"/>
    <cellStyle name="_Fuel Prices 4-14_ROR 5.02 3" xfId="3847" xr:uid="{00000000-0005-0000-0000-0000000F0000}"/>
    <cellStyle name="_Fuel Prices 4-14_Sch 40 Feeder OH 2008" xfId="3848" xr:uid="{00000000-0005-0000-0000-0000010F0000}"/>
    <cellStyle name="_Fuel Prices 4-14_Sch 40 Feeder OH 2008 2" xfId="3849" xr:uid="{00000000-0005-0000-0000-0000020F0000}"/>
    <cellStyle name="_Fuel Prices 4-14_Sch 40 Feeder OH 2008 2 2" xfId="3850" xr:uid="{00000000-0005-0000-0000-0000030F0000}"/>
    <cellStyle name="_Fuel Prices 4-14_Sch 40 Feeder OH 2008 3" xfId="3851" xr:uid="{00000000-0005-0000-0000-0000040F0000}"/>
    <cellStyle name="_Fuel Prices 4-14_Sch 40 Interim Energy Rates " xfId="3852" xr:uid="{00000000-0005-0000-0000-0000050F0000}"/>
    <cellStyle name="_Fuel Prices 4-14_Sch 40 Interim Energy Rates  2" xfId="3853" xr:uid="{00000000-0005-0000-0000-0000060F0000}"/>
    <cellStyle name="_Fuel Prices 4-14_Sch 40 Interim Energy Rates  2 2" xfId="3854" xr:uid="{00000000-0005-0000-0000-0000070F0000}"/>
    <cellStyle name="_Fuel Prices 4-14_Sch 40 Interim Energy Rates  3" xfId="3855" xr:uid="{00000000-0005-0000-0000-0000080F0000}"/>
    <cellStyle name="_Fuel Prices 4-14_Sch 40 Substation A&amp;G 2008" xfId="3856" xr:uid="{00000000-0005-0000-0000-0000090F0000}"/>
    <cellStyle name="_Fuel Prices 4-14_Sch 40 Substation A&amp;G 2008 2" xfId="3857" xr:uid="{00000000-0005-0000-0000-00000A0F0000}"/>
    <cellStyle name="_Fuel Prices 4-14_Sch 40 Substation A&amp;G 2008 2 2" xfId="3858" xr:uid="{00000000-0005-0000-0000-00000B0F0000}"/>
    <cellStyle name="_Fuel Prices 4-14_Sch 40 Substation A&amp;G 2008 3" xfId="3859" xr:uid="{00000000-0005-0000-0000-00000C0F0000}"/>
    <cellStyle name="_Fuel Prices 4-14_Sch 40 Substation O&amp;M 2008" xfId="3860" xr:uid="{00000000-0005-0000-0000-00000D0F0000}"/>
    <cellStyle name="_Fuel Prices 4-14_Sch 40 Substation O&amp;M 2008 2" xfId="3861" xr:uid="{00000000-0005-0000-0000-00000E0F0000}"/>
    <cellStyle name="_Fuel Prices 4-14_Sch 40 Substation O&amp;M 2008 2 2" xfId="3862" xr:uid="{00000000-0005-0000-0000-00000F0F0000}"/>
    <cellStyle name="_Fuel Prices 4-14_Sch 40 Substation O&amp;M 2008 3" xfId="3863" xr:uid="{00000000-0005-0000-0000-0000100F0000}"/>
    <cellStyle name="_Fuel Prices 4-14_Subs 2008" xfId="3864" xr:uid="{00000000-0005-0000-0000-0000110F0000}"/>
    <cellStyle name="_Fuel Prices 4-14_Subs 2008 2" xfId="3865" xr:uid="{00000000-0005-0000-0000-0000120F0000}"/>
    <cellStyle name="_Fuel Prices 4-14_Subs 2008 2 2" xfId="3866" xr:uid="{00000000-0005-0000-0000-0000130F0000}"/>
    <cellStyle name="_Fuel Prices 4-14_Subs 2008 3" xfId="3867" xr:uid="{00000000-0005-0000-0000-0000140F0000}"/>
    <cellStyle name="_Fuel Prices 4-14_Wind Integration 10GRC" xfId="3868" xr:uid="{00000000-0005-0000-0000-0000150F0000}"/>
    <cellStyle name="_Fuel Prices 4-14_Wind Integration 10GRC 2" xfId="3869" xr:uid="{00000000-0005-0000-0000-0000160F0000}"/>
    <cellStyle name="_Gas Pro Forma Rev CY 2007 Janet 4_8_08" xfId="3870" xr:uid="{00000000-0005-0000-0000-0000170F0000}"/>
    <cellStyle name="_Gas Transportation Charges_2009GRC_120308" xfId="3871" xr:uid="{00000000-0005-0000-0000-0000180F0000}"/>
    <cellStyle name="_Gas Transportation Charges_2009GRC_120308 2" xfId="3872" xr:uid="{00000000-0005-0000-0000-0000190F0000}"/>
    <cellStyle name="_Gas Transportation Charges_2009GRC_120308 2 2" xfId="3873" xr:uid="{00000000-0005-0000-0000-00001A0F0000}"/>
    <cellStyle name="_Gas Transportation Charges_2009GRC_120308 3" xfId="3874" xr:uid="{00000000-0005-0000-0000-00001B0F0000}"/>
    <cellStyle name="_Gas Transportation Charges_2009GRC_120308_Chelan PUD Power Costs (8-10)" xfId="3875" xr:uid="{00000000-0005-0000-0000-00001C0F0000}"/>
    <cellStyle name="_Gas Transportation Charges_2009GRC_120308_DEM-WP(C) Costs Not In AURORA 2010GRC As Filed" xfId="3876" xr:uid="{00000000-0005-0000-0000-00001D0F0000}"/>
    <cellStyle name="_Gas Transportation Charges_2009GRC_120308_DEM-WP(C) Costs Not In AURORA 2010GRC As Filed 2" xfId="3877" xr:uid="{00000000-0005-0000-0000-00001E0F0000}"/>
    <cellStyle name="_Gas Transportation Charges_2009GRC_120308_NIM Summary" xfId="3878" xr:uid="{00000000-0005-0000-0000-00001F0F0000}"/>
    <cellStyle name="_Gas Transportation Charges_2009GRC_120308_NIM Summary 09GRC" xfId="3879" xr:uid="{00000000-0005-0000-0000-0000200F0000}"/>
    <cellStyle name="_Gas Transportation Charges_2009GRC_120308_NIM Summary 09GRC 2" xfId="3880" xr:uid="{00000000-0005-0000-0000-0000210F0000}"/>
    <cellStyle name="_Gas Transportation Charges_2009GRC_120308_NIM Summary 2" xfId="3881" xr:uid="{00000000-0005-0000-0000-0000220F0000}"/>
    <cellStyle name="_Gas Transportation Charges_2009GRC_120308_NIM Summary 3" xfId="3882" xr:uid="{00000000-0005-0000-0000-0000230F0000}"/>
    <cellStyle name="_Gas Transportation Charges_2009GRC_120308_NIM Summary 4" xfId="3883" xr:uid="{00000000-0005-0000-0000-0000240F0000}"/>
    <cellStyle name="_Gas Transportation Charges_2009GRC_120308_NIM Summary 5" xfId="3884" xr:uid="{00000000-0005-0000-0000-0000250F0000}"/>
    <cellStyle name="_Gas Transportation Charges_2009GRC_120308_NIM Summary 6" xfId="3885" xr:uid="{00000000-0005-0000-0000-0000260F0000}"/>
    <cellStyle name="_Gas Transportation Charges_2009GRC_120308_NIM Summary 7" xfId="3886" xr:uid="{00000000-0005-0000-0000-0000270F0000}"/>
    <cellStyle name="_Gas Transportation Charges_2009GRC_120308_NIM Summary 8" xfId="3887" xr:uid="{00000000-0005-0000-0000-0000280F0000}"/>
    <cellStyle name="_Gas Transportation Charges_2009GRC_120308_NIM Summary 9" xfId="3888" xr:uid="{00000000-0005-0000-0000-0000290F0000}"/>
    <cellStyle name="_Gas Transportation Charges_2009GRC_120308_PCA 9 -  Exhibit D April 2010 (3)" xfId="3889" xr:uid="{00000000-0005-0000-0000-00002A0F0000}"/>
    <cellStyle name="_Gas Transportation Charges_2009GRC_120308_PCA 9 -  Exhibit D April 2010 (3) 2" xfId="3890" xr:uid="{00000000-0005-0000-0000-00002B0F0000}"/>
    <cellStyle name="_Gas Transportation Charges_2009GRC_120308_Reconciliation" xfId="3891" xr:uid="{00000000-0005-0000-0000-00002C0F0000}"/>
    <cellStyle name="_Gas Transportation Charges_2009GRC_120308_Reconciliation 2" xfId="3892" xr:uid="{00000000-0005-0000-0000-00002D0F0000}"/>
    <cellStyle name="_Gas Transportation Charges_2009GRC_120308_Wind Integration 10GRC" xfId="3893" xr:uid="{00000000-0005-0000-0000-00002E0F0000}"/>
    <cellStyle name="_Gas Transportation Charges_2009GRC_120308_Wind Integration 10GRC 2" xfId="3894" xr:uid="{00000000-0005-0000-0000-00002F0F0000}"/>
    <cellStyle name="_Mid C 09GRC" xfId="3895" xr:uid="{00000000-0005-0000-0000-0000300F0000}"/>
    <cellStyle name="_Monthly Fixed Input" xfId="3896" xr:uid="{00000000-0005-0000-0000-0000310F0000}"/>
    <cellStyle name="_Monthly Fixed Input 2" xfId="3897" xr:uid="{00000000-0005-0000-0000-0000320F0000}"/>
    <cellStyle name="_Monthly Fixed Input_NIM Summary" xfId="3898" xr:uid="{00000000-0005-0000-0000-0000330F0000}"/>
    <cellStyle name="_Monthly Fixed Input_NIM Summary 2" xfId="3899" xr:uid="{00000000-0005-0000-0000-0000340F0000}"/>
    <cellStyle name="_NIM 06 Base Case Current Trends" xfId="3900" xr:uid="{00000000-0005-0000-0000-0000350F0000}"/>
    <cellStyle name="_NIM 06 Base Case Current Trends 2" xfId="3901" xr:uid="{00000000-0005-0000-0000-0000360F0000}"/>
    <cellStyle name="_NIM 06 Base Case Current Trends 2 2" xfId="3902" xr:uid="{00000000-0005-0000-0000-0000370F0000}"/>
    <cellStyle name="_NIM 06 Base Case Current Trends 3" xfId="3903" xr:uid="{00000000-0005-0000-0000-0000380F0000}"/>
    <cellStyle name="_NIM 06 Base Case Current Trends_Adj Bench DR 3 for Initial Briefs (Electric)" xfId="3904" xr:uid="{00000000-0005-0000-0000-0000390F0000}"/>
    <cellStyle name="_NIM 06 Base Case Current Trends_Adj Bench DR 3 for Initial Briefs (Electric) 2" xfId="3905" xr:uid="{00000000-0005-0000-0000-00003A0F0000}"/>
    <cellStyle name="_NIM 06 Base Case Current Trends_Adj Bench DR 3 for Initial Briefs (Electric) 2 2" xfId="3906" xr:uid="{00000000-0005-0000-0000-00003B0F0000}"/>
    <cellStyle name="_NIM 06 Base Case Current Trends_Adj Bench DR 3 for Initial Briefs (Electric) 3" xfId="3907" xr:uid="{00000000-0005-0000-0000-00003C0F0000}"/>
    <cellStyle name="_NIM 06 Base Case Current Trends_Book1" xfId="3908" xr:uid="{00000000-0005-0000-0000-00003D0F0000}"/>
    <cellStyle name="_NIM 06 Base Case Current Trends_Book2" xfId="3909" xr:uid="{00000000-0005-0000-0000-00003E0F0000}"/>
    <cellStyle name="_NIM 06 Base Case Current Trends_Book2 2" xfId="3910" xr:uid="{00000000-0005-0000-0000-00003F0F0000}"/>
    <cellStyle name="_NIM 06 Base Case Current Trends_Book2 2 2" xfId="3911" xr:uid="{00000000-0005-0000-0000-0000400F0000}"/>
    <cellStyle name="_NIM 06 Base Case Current Trends_Book2 3" xfId="3912" xr:uid="{00000000-0005-0000-0000-0000410F0000}"/>
    <cellStyle name="_NIM 06 Base Case Current Trends_Book2_Adj Bench DR 3 for Initial Briefs (Electric)" xfId="3913" xr:uid="{00000000-0005-0000-0000-0000420F0000}"/>
    <cellStyle name="_NIM 06 Base Case Current Trends_Book2_Adj Bench DR 3 for Initial Briefs (Electric) 2" xfId="3914" xr:uid="{00000000-0005-0000-0000-0000430F0000}"/>
    <cellStyle name="_NIM 06 Base Case Current Trends_Book2_Adj Bench DR 3 for Initial Briefs (Electric) 2 2" xfId="3915" xr:uid="{00000000-0005-0000-0000-0000440F0000}"/>
    <cellStyle name="_NIM 06 Base Case Current Trends_Book2_Adj Bench DR 3 for Initial Briefs (Electric) 3" xfId="3916" xr:uid="{00000000-0005-0000-0000-0000450F0000}"/>
    <cellStyle name="_NIM 06 Base Case Current Trends_Book2_Electric Rev Req Model (2009 GRC) Rebuttal" xfId="3917" xr:uid="{00000000-0005-0000-0000-0000460F0000}"/>
    <cellStyle name="_NIM 06 Base Case Current Trends_Book2_Electric Rev Req Model (2009 GRC) Rebuttal 2" xfId="3918" xr:uid="{00000000-0005-0000-0000-0000470F0000}"/>
    <cellStyle name="_NIM 06 Base Case Current Trends_Book2_Electric Rev Req Model (2009 GRC) Rebuttal 2 2" xfId="3919" xr:uid="{00000000-0005-0000-0000-0000480F0000}"/>
    <cellStyle name="_NIM 06 Base Case Current Trends_Book2_Electric Rev Req Model (2009 GRC) Rebuttal 3" xfId="3920" xr:uid="{00000000-0005-0000-0000-0000490F0000}"/>
    <cellStyle name="_NIM 06 Base Case Current Trends_Book2_Electric Rev Req Model (2009 GRC) Rebuttal REmoval of New  WH Solar AdjustMI" xfId="3921" xr:uid="{00000000-0005-0000-0000-00004A0F0000}"/>
    <cellStyle name="_NIM 06 Base Case Current Trends_Book2_Electric Rev Req Model (2009 GRC) Rebuttal REmoval of New  WH Solar AdjustMI 2" xfId="3922" xr:uid="{00000000-0005-0000-0000-00004B0F0000}"/>
    <cellStyle name="_NIM 06 Base Case Current Trends_Book2_Electric Rev Req Model (2009 GRC) Rebuttal REmoval of New  WH Solar AdjustMI 2 2" xfId="3923" xr:uid="{00000000-0005-0000-0000-00004C0F0000}"/>
    <cellStyle name="_NIM 06 Base Case Current Trends_Book2_Electric Rev Req Model (2009 GRC) Rebuttal REmoval of New  WH Solar AdjustMI 3" xfId="3924" xr:uid="{00000000-0005-0000-0000-00004D0F0000}"/>
    <cellStyle name="_NIM 06 Base Case Current Trends_Book2_Electric Rev Req Model (2009 GRC) Revised 01-18-2010" xfId="3925" xr:uid="{00000000-0005-0000-0000-00004E0F0000}"/>
    <cellStyle name="_NIM 06 Base Case Current Trends_Book2_Electric Rev Req Model (2009 GRC) Revised 01-18-2010 2" xfId="3926" xr:uid="{00000000-0005-0000-0000-00004F0F0000}"/>
    <cellStyle name="_NIM 06 Base Case Current Trends_Book2_Electric Rev Req Model (2009 GRC) Revised 01-18-2010 2 2" xfId="3927" xr:uid="{00000000-0005-0000-0000-0000500F0000}"/>
    <cellStyle name="_NIM 06 Base Case Current Trends_Book2_Electric Rev Req Model (2009 GRC) Revised 01-18-2010 3" xfId="3928" xr:uid="{00000000-0005-0000-0000-0000510F0000}"/>
    <cellStyle name="_NIM 06 Base Case Current Trends_Book2_Final Order Electric EXHIBIT A-1" xfId="3929" xr:uid="{00000000-0005-0000-0000-0000520F0000}"/>
    <cellStyle name="_NIM 06 Base Case Current Trends_Book2_Final Order Electric EXHIBIT A-1 2" xfId="3930" xr:uid="{00000000-0005-0000-0000-0000530F0000}"/>
    <cellStyle name="_NIM 06 Base Case Current Trends_Book2_Final Order Electric EXHIBIT A-1 2 2" xfId="3931" xr:uid="{00000000-0005-0000-0000-0000540F0000}"/>
    <cellStyle name="_NIM 06 Base Case Current Trends_Book2_Final Order Electric EXHIBIT A-1 3" xfId="3932" xr:uid="{00000000-0005-0000-0000-0000550F0000}"/>
    <cellStyle name="_NIM 06 Base Case Current Trends_Chelan PUD Power Costs (8-10)" xfId="3933" xr:uid="{00000000-0005-0000-0000-0000560F0000}"/>
    <cellStyle name="_NIM 06 Base Case Current Trends_Confidential Material" xfId="3934" xr:uid="{00000000-0005-0000-0000-0000570F0000}"/>
    <cellStyle name="_NIM 06 Base Case Current Trends_DEM-WP(C) Colstrip 12 Coal Cost Forecast 2010GRC" xfId="3935" xr:uid="{00000000-0005-0000-0000-0000580F0000}"/>
    <cellStyle name="_NIM 06 Base Case Current Trends_DEM-WP(C) Production O&amp;M 2010GRC As-Filed" xfId="3936" xr:uid="{00000000-0005-0000-0000-0000590F0000}"/>
    <cellStyle name="_NIM 06 Base Case Current Trends_DEM-WP(C) Production O&amp;M 2010GRC As-Filed 2" xfId="3937" xr:uid="{00000000-0005-0000-0000-00005A0F0000}"/>
    <cellStyle name="_NIM 06 Base Case Current Trends_Electric Rev Req Model (2009 GRC) " xfId="3938" xr:uid="{00000000-0005-0000-0000-00005B0F0000}"/>
    <cellStyle name="_NIM 06 Base Case Current Trends_Electric Rev Req Model (2009 GRC)  2" xfId="3939" xr:uid="{00000000-0005-0000-0000-00005C0F0000}"/>
    <cellStyle name="_NIM 06 Base Case Current Trends_Electric Rev Req Model (2009 GRC)  2 2" xfId="3940" xr:uid="{00000000-0005-0000-0000-00005D0F0000}"/>
    <cellStyle name="_NIM 06 Base Case Current Trends_Electric Rev Req Model (2009 GRC)  3" xfId="3941" xr:uid="{00000000-0005-0000-0000-00005E0F0000}"/>
    <cellStyle name="_NIM 06 Base Case Current Trends_Electric Rev Req Model (2009 GRC) Rebuttal" xfId="3942" xr:uid="{00000000-0005-0000-0000-00005F0F0000}"/>
    <cellStyle name="_NIM 06 Base Case Current Trends_Electric Rev Req Model (2009 GRC) Rebuttal 2" xfId="3943" xr:uid="{00000000-0005-0000-0000-0000600F0000}"/>
    <cellStyle name="_NIM 06 Base Case Current Trends_Electric Rev Req Model (2009 GRC) Rebuttal 2 2" xfId="3944" xr:uid="{00000000-0005-0000-0000-0000610F0000}"/>
    <cellStyle name="_NIM 06 Base Case Current Trends_Electric Rev Req Model (2009 GRC) Rebuttal 3" xfId="3945" xr:uid="{00000000-0005-0000-0000-0000620F0000}"/>
    <cellStyle name="_NIM 06 Base Case Current Trends_Electric Rev Req Model (2009 GRC) Rebuttal REmoval of New  WH Solar AdjustMI" xfId="3946" xr:uid="{00000000-0005-0000-0000-0000630F0000}"/>
    <cellStyle name="_NIM 06 Base Case Current Trends_Electric Rev Req Model (2009 GRC) Rebuttal REmoval of New  WH Solar AdjustMI 2" xfId="3947" xr:uid="{00000000-0005-0000-0000-0000640F0000}"/>
    <cellStyle name="_NIM 06 Base Case Current Trends_Electric Rev Req Model (2009 GRC) Rebuttal REmoval of New  WH Solar AdjustMI 2 2" xfId="3948" xr:uid="{00000000-0005-0000-0000-0000650F0000}"/>
    <cellStyle name="_NIM 06 Base Case Current Trends_Electric Rev Req Model (2009 GRC) Rebuttal REmoval of New  WH Solar AdjustMI 3" xfId="3949" xr:uid="{00000000-0005-0000-0000-0000660F0000}"/>
    <cellStyle name="_NIM 06 Base Case Current Trends_Electric Rev Req Model (2009 GRC) Revised 01-18-2010" xfId="3950" xr:uid="{00000000-0005-0000-0000-0000670F0000}"/>
    <cellStyle name="_NIM 06 Base Case Current Trends_Electric Rev Req Model (2009 GRC) Revised 01-18-2010 2" xfId="3951" xr:uid="{00000000-0005-0000-0000-0000680F0000}"/>
    <cellStyle name="_NIM 06 Base Case Current Trends_Electric Rev Req Model (2009 GRC) Revised 01-18-2010 2 2" xfId="3952" xr:uid="{00000000-0005-0000-0000-0000690F0000}"/>
    <cellStyle name="_NIM 06 Base Case Current Trends_Electric Rev Req Model (2009 GRC) Revised 01-18-2010 3" xfId="3953" xr:uid="{00000000-0005-0000-0000-00006A0F0000}"/>
    <cellStyle name="_NIM 06 Base Case Current Trends_Electric Rev Req Model (2010 GRC)" xfId="3954" xr:uid="{00000000-0005-0000-0000-00006B0F0000}"/>
    <cellStyle name="_NIM 06 Base Case Current Trends_Electric Rev Req Model (2010 GRC) SF" xfId="3955" xr:uid="{00000000-0005-0000-0000-00006C0F0000}"/>
    <cellStyle name="_NIM 06 Base Case Current Trends_Final Order Electric EXHIBIT A-1" xfId="3956" xr:uid="{00000000-0005-0000-0000-00006D0F0000}"/>
    <cellStyle name="_NIM 06 Base Case Current Trends_Final Order Electric EXHIBIT A-1 2" xfId="3957" xr:uid="{00000000-0005-0000-0000-00006E0F0000}"/>
    <cellStyle name="_NIM 06 Base Case Current Trends_Final Order Electric EXHIBIT A-1 2 2" xfId="3958" xr:uid="{00000000-0005-0000-0000-00006F0F0000}"/>
    <cellStyle name="_NIM 06 Base Case Current Trends_Final Order Electric EXHIBIT A-1 3" xfId="3959" xr:uid="{00000000-0005-0000-0000-0000700F0000}"/>
    <cellStyle name="_NIM 06 Base Case Current Trends_NIM Summary" xfId="3960" xr:uid="{00000000-0005-0000-0000-0000710F0000}"/>
    <cellStyle name="_NIM 06 Base Case Current Trends_NIM Summary 2" xfId="3961" xr:uid="{00000000-0005-0000-0000-0000720F0000}"/>
    <cellStyle name="_NIM 06 Base Case Current Trends_Rebuttal Power Costs" xfId="3962" xr:uid="{00000000-0005-0000-0000-0000730F0000}"/>
    <cellStyle name="_NIM 06 Base Case Current Trends_Rebuttal Power Costs 2" xfId="3963" xr:uid="{00000000-0005-0000-0000-0000740F0000}"/>
    <cellStyle name="_NIM 06 Base Case Current Trends_Rebuttal Power Costs 2 2" xfId="3964" xr:uid="{00000000-0005-0000-0000-0000750F0000}"/>
    <cellStyle name="_NIM 06 Base Case Current Trends_Rebuttal Power Costs 3" xfId="3965" xr:uid="{00000000-0005-0000-0000-0000760F0000}"/>
    <cellStyle name="_NIM 06 Base Case Current Trends_Rebuttal Power Costs_Adj Bench DR 3 for Initial Briefs (Electric)" xfId="3966" xr:uid="{00000000-0005-0000-0000-0000770F0000}"/>
    <cellStyle name="_NIM 06 Base Case Current Trends_Rebuttal Power Costs_Adj Bench DR 3 for Initial Briefs (Electric) 2" xfId="3967" xr:uid="{00000000-0005-0000-0000-0000780F0000}"/>
    <cellStyle name="_NIM 06 Base Case Current Trends_Rebuttal Power Costs_Adj Bench DR 3 for Initial Briefs (Electric) 2 2" xfId="3968" xr:uid="{00000000-0005-0000-0000-0000790F0000}"/>
    <cellStyle name="_NIM 06 Base Case Current Trends_Rebuttal Power Costs_Adj Bench DR 3 for Initial Briefs (Electric) 3" xfId="3969" xr:uid="{00000000-0005-0000-0000-00007A0F0000}"/>
    <cellStyle name="_NIM 06 Base Case Current Trends_Rebuttal Power Costs_Electric Rev Req Model (2009 GRC) Rebuttal" xfId="3970" xr:uid="{00000000-0005-0000-0000-00007B0F0000}"/>
    <cellStyle name="_NIM 06 Base Case Current Trends_Rebuttal Power Costs_Electric Rev Req Model (2009 GRC) Rebuttal 2" xfId="3971" xr:uid="{00000000-0005-0000-0000-00007C0F0000}"/>
    <cellStyle name="_NIM 06 Base Case Current Trends_Rebuttal Power Costs_Electric Rev Req Model (2009 GRC) Rebuttal 2 2" xfId="3972" xr:uid="{00000000-0005-0000-0000-00007D0F0000}"/>
    <cellStyle name="_NIM 06 Base Case Current Trends_Rebuttal Power Costs_Electric Rev Req Model (2009 GRC) Rebuttal 3" xfId="3973" xr:uid="{00000000-0005-0000-0000-00007E0F0000}"/>
    <cellStyle name="_NIM 06 Base Case Current Trends_Rebuttal Power Costs_Electric Rev Req Model (2009 GRC) Rebuttal REmoval of New  WH Solar AdjustMI" xfId="3974" xr:uid="{00000000-0005-0000-0000-00007F0F0000}"/>
    <cellStyle name="_NIM 06 Base Case Current Trends_Rebuttal Power Costs_Electric Rev Req Model (2009 GRC) Rebuttal REmoval of New  WH Solar AdjustMI 2" xfId="3975" xr:uid="{00000000-0005-0000-0000-0000800F0000}"/>
    <cellStyle name="_NIM 06 Base Case Current Trends_Rebuttal Power Costs_Electric Rev Req Model (2009 GRC) Rebuttal REmoval of New  WH Solar AdjustMI 2 2" xfId="3976" xr:uid="{00000000-0005-0000-0000-0000810F0000}"/>
    <cellStyle name="_NIM 06 Base Case Current Trends_Rebuttal Power Costs_Electric Rev Req Model (2009 GRC) Rebuttal REmoval of New  WH Solar AdjustMI 3" xfId="3977" xr:uid="{00000000-0005-0000-0000-0000820F0000}"/>
    <cellStyle name="_NIM 06 Base Case Current Trends_Rebuttal Power Costs_Electric Rev Req Model (2009 GRC) Revised 01-18-2010" xfId="3978" xr:uid="{00000000-0005-0000-0000-0000830F0000}"/>
    <cellStyle name="_NIM 06 Base Case Current Trends_Rebuttal Power Costs_Electric Rev Req Model (2009 GRC) Revised 01-18-2010 2" xfId="3979" xr:uid="{00000000-0005-0000-0000-0000840F0000}"/>
    <cellStyle name="_NIM 06 Base Case Current Trends_Rebuttal Power Costs_Electric Rev Req Model (2009 GRC) Revised 01-18-2010 2 2" xfId="3980" xr:uid="{00000000-0005-0000-0000-0000850F0000}"/>
    <cellStyle name="_NIM 06 Base Case Current Trends_Rebuttal Power Costs_Electric Rev Req Model (2009 GRC) Revised 01-18-2010 3" xfId="3981" xr:uid="{00000000-0005-0000-0000-0000860F0000}"/>
    <cellStyle name="_NIM 06 Base Case Current Trends_Rebuttal Power Costs_Final Order Electric EXHIBIT A-1" xfId="3982" xr:uid="{00000000-0005-0000-0000-0000870F0000}"/>
    <cellStyle name="_NIM 06 Base Case Current Trends_Rebuttal Power Costs_Final Order Electric EXHIBIT A-1 2" xfId="3983" xr:uid="{00000000-0005-0000-0000-0000880F0000}"/>
    <cellStyle name="_NIM 06 Base Case Current Trends_Rebuttal Power Costs_Final Order Electric EXHIBIT A-1 2 2" xfId="3984" xr:uid="{00000000-0005-0000-0000-0000890F0000}"/>
    <cellStyle name="_NIM 06 Base Case Current Trends_Rebuttal Power Costs_Final Order Electric EXHIBIT A-1 3" xfId="3985" xr:uid="{00000000-0005-0000-0000-00008A0F0000}"/>
    <cellStyle name="_NIM 06 Base Case Current Trends_TENASKA REGULATORY ASSET" xfId="3986" xr:uid="{00000000-0005-0000-0000-00008B0F0000}"/>
    <cellStyle name="_NIM 06 Base Case Current Trends_TENASKA REGULATORY ASSET 2" xfId="3987" xr:uid="{00000000-0005-0000-0000-00008C0F0000}"/>
    <cellStyle name="_NIM 06 Base Case Current Trends_TENASKA REGULATORY ASSET 2 2" xfId="3988" xr:uid="{00000000-0005-0000-0000-00008D0F0000}"/>
    <cellStyle name="_NIM 06 Base Case Current Trends_TENASKA REGULATORY ASSET 3" xfId="3989" xr:uid="{00000000-0005-0000-0000-00008E0F0000}"/>
    <cellStyle name="_NIM Summary 09GRC" xfId="3990" xr:uid="{00000000-0005-0000-0000-00008F0F0000}"/>
    <cellStyle name="_NIM Summary 09GRC 2" xfId="3991" xr:uid="{00000000-0005-0000-0000-0000900F0000}"/>
    <cellStyle name="_NIM Summary 09GRC_NIM Summary" xfId="3992" xr:uid="{00000000-0005-0000-0000-0000910F0000}"/>
    <cellStyle name="_NIM Summary 09GRC_NIM Summary 2" xfId="3993" xr:uid="{00000000-0005-0000-0000-0000920F0000}"/>
    <cellStyle name="_PC DRAFT 10 15 07" xfId="3994" xr:uid="{00000000-0005-0000-0000-0000930F0000}"/>
    <cellStyle name="_PCA 7 - Exhibit D update 9_30_2008" xfId="3995" xr:uid="{00000000-0005-0000-0000-0000940F0000}"/>
    <cellStyle name="_PCA 7 - Exhibit D update 9_30_2008 2" xfId="3996" xr:uid="{00000000-0005-0000-0000-0000950F0000}"/>
    <cellStyle name="_PCA 7 - Exhibit D update 9_30_2008_Chelan PUD Power Costs (8-10)" xfId="3997" xr:uid="{00000000-0005-0000-0000-0000960F0000}"/>
    <cellStyle name="_PCA 7 - Exhibit D update 9_30_2008_NIM Summary" xfId="3998" xr:uid="{00000000-0005-0000-0000-0000970F0000}"/>
    <cellStyle name="_PCA 7 - Exhibit D update 9_30_2008_NIM Summary 2" xfId="3999" xr:uid="{00000000-0005-0000-0000-0000980F0000}"/>
    <cellStyle name="_PCA 7 - Exhibit D update 9_30_2008_Transmission Workbook for May BOD" xfId="4000" xr:uid="{00000000-0005-0000-0000-0000990F0000}"/>
    <cellStyle name="_PCA 7 - Exhibit D update 9_30_2008_Transmission Workbook for May BOD 2" xfId="4001" xr:uid="{00000000-0005-0000-0000-00009A0F0000}"/>
    <cellStyle name="_PCA 7 - Exhibit D update 9_30_2008_Wind Integration 10GRC" xfId="4002" xr:uid="{00000000-0005-0000-0000-00009B0F0000}"/>
    <cellStyle name="_PCA 7 - Exhibit D update 9_30_2008_Wind Integration 10GRC 2" xfId="4003" xr:uid="{00000000-0005-0000-0000-00009C0F0000}"/>
    <cellStyle name="_Portfolio SPlan Base Case.xls Chart 1" xfId="4004" xr:uid="{00000000-0005-0000-0000-00009D0F0000}"/>
    <cellStyle name="_Portfolio SPlan Base Case.xls Chart 1 2" xfId="4005" xr:uid="{00000000-0005-0000-0000-00009E0F0000}"/>
    <cellStyle name="_Portfolio SPlan Base Case.xls Chart 1 2 2" xfId="4006" xr:uid="{00000000-0005-0000-0000-00009F0F0000}"/>
    <cellStyle name="_Portfolio SPlan Base Case.xls Chart 1 3" xfId="4007" xr:uid="{00000000-0005-0000-0000-0000A00F0000}"/>
    <cellStyle name="_Portfolio SPlan Base Case.xls Chart 1_Adj Bench DR 3 for Initial Briefs (Electric)" xfId="4008" xr:uid="{00000000-0005-0000-0000-0000A10F0000}"/>
    <cellStyle name="_Portfolio SPlan Base Case.xls Chart 1_Adj Bench DR 3 for Initial Briefs (Electric) 2" xfId="4009" xr:uid="{00000000-0005-0000-0000-0000A20F0000}"/>
    <cellStyle name="_Portfolio SPlan Base Case.xls Chart 1_Adj Bench DR 3 for Initial Briefs (Electric) 2 2" xfId="4010" xr:uid="{00000000-0005-0000-0000-0000A30F0000}"/>
    <cellStyle name="_Portfolio SPlan Base Case.xls Chart 1_Adj Bench DR 3 for Initial Briefs (Electric) 3" xfId="4011" xr:uid="{00000000-0005-0000-0000-0000A40F0000}"/>
    <cellStyle name="_Portfolio SPlan Base Case.xls Chart 1_Book1" xfId="4012" xr:uid="{00000000-0005-0000-0000-0000A50F0000}"/>
    <cellStyle name="_Portfolio SPlan Base Case.xls Chart 1_Book2" xfId="4013" xr:uid="{00000000-0005-0000-0000-0000A60F0000}"/>
    <cellStyle name="_Portfolio SPlan Base Case.xls Chart 1_Book2 2" xfId="4014" xr:uid="{00000000-0005-0000-0000-0000A70F0000}"/>
    <cellStyle name="_Portfolio SPlan Base Case.xls Chart 1_Book2 2 2" xfId="4015" xr:uid="{00000000-0005-0000-0000-0000A80F0000}"/>
    <cellStyle name="_Portfolio SPlan Base Case.xls Chart 1_Book2 3" xfId="4016" xr:uid="{00000000-0005-0000-0000-0000A90F0000}"/>
    <cellStyle name="_Portfolio SPlan Base Case.xls Chart 1_Book2_Adj Bench DR 3 for Initial Briefs (Electric)" xfId="4017" xr:uid="{00000000-0005-0000-0000-0000AA0F0000}"/>
    <cellStyle name="_Portfolio SPlan Base Case.xls Chart 1_Book2_Adj Bench DR 3 for Initial Briefs (Electric) 2" xfId="4018" xr:uid="{00000000-0005-0000-0000-0000AB0F0000}"/>
    <cellStyle name="_Portfolio SPlan Base Case.xls Chart 1_Book2_Adj Bench DR 3 for Initial Briefs (Electric) 2 2" xfId="4019" xr:uid="{00000000-0005-0000-0000-0000AC0F0000}"/>
    <cellStyle name="_Portfolio SPlan Base Case.xls Chart 1_Book2_Adj Bench DR 3 for Initial Briefs (Electric) 3" xfId="4020" xr:uid="{00000000-0005-0000-0000-0000AD0F0000}"/>
    <cellStyle name="_Portfolio SPlan Base Case.xls Chart 1_Book2_Electric Rev Req Model (2009 GRC) Rebuttal" xfId="4021" xr:uid="{00000000-0005-0000-0000-0000AE0F0000}"/>
    <cellStyle name="_Portfolio SPlan Base Case.xls Chart 1_Book2_Electric Rev Req Model (2009 GRC) Rebuttal 2" xfId="4022" xr:uid="{00000000-0005-0000-0000-0000AF0F0000}"/>
    <cellStyle name="_Portfolio SPlan Base Case.xls Chart 1_Book2_Electric Rev Req Model (2009 GRC) Rebuttal 2 2" xfId="4023" xr:uid="{00000000-0005-0000-0000-0000B00F0000}"/>
    <cellStyle name="_Portfolio SPlan Base Case.xls Chart 1_Book2_Electric Rev Req Model (2009 GRC) Rebuttal 3" xfId="4024" xr:uid="{00000000-0005-0000-0000-0000B10F0000}"/>
    <cellStyle name="_Portfolio SPlan Base Case.xls Chart 1_Book2_Electric Rev Req Model (2009 GRC) Rebuttal REmoval of New  WH Solar AdjustMI" xfId="4025" xr:uid="{00000000-0005-0000-0000-0000B20F0000}"/>
    <cellStyle name="_Portfolio SPlan Base Case.xls Chart 1_Book2_Electric Rev Req Model (2009 GRC) Rebuttal REmoval of New  WH Solar AdjustMI 2" xfId="4026" xr:uid="{00000000-0005-0000-0000-0000B30F0000}"/>
    <cellStyle name="_Portfolio SPlan Base Case.xls Chart 1_Book2_Electric Rev Req Model (2009 GRC) Rebuttal REmoval of New  WH Solar AdjustMI 2 2" xfId="4027" xr:uid="{00000000-0005-0000-0000-0000B40F0000}"/>
    <cellStyle name="_Portfolio SPlan Base Case.xls Chart 1_Book2_Electric Rev Req Model (2009 GRC) Rebuttal REmoval of New  WH Solar AdjustMI 3" xfId="4028" xr:uid="{00000000-0005-0000-0000-0000B50F0000}"/>
    <cellStyle name="_Portfolio SPlan Base Case.xls Chart 1_Book2_Electric Rev Req Model (2009 GRC) Revised 01-18-2010" xfId="4029" xr:uid="{00000000-0005-0000-0000-0000B60F0000}"/>
    <cellStyle name="_Portfolio SPlan Base Case.xls Chart 1_Book2_Electric Rev Req Model (2009 GRC) Revised 01-18-2010 2" xfId="4030" xr:uid="{00000000-0005-0000-0000-0000B70F0000}"/>
    <cellStyle name="_Portfolio SPlan Base Case.xls Chart 1_Book2_Electric Rev Req Model (2009 GRC) Revised 01-18-2010 2 2" xfId="4031" xr:uid="{00000000-0005-0000-0000-0000B80F0000}"/>
    <cellStyle name="_Portfolio SPlan Base Case.xls Chart 1_Book2_Electric Rev Req Model (2009 GRC) Revised 01-18-2010 3" xfId="4032" xr:uid="{00000000-0005-0000-0000-0000B90F0000}"/>
    <cellStyle name="_Portfolio SPlan Base Case.xls Chart 1_Book2_Final Order Electric EXHIBIT A-1" xfId="4033" xr:uid="{00000000-0005-0000-0000-0000BA0F0000}"/>
    <cellStyle name="_Portfolio SPlan Base Case.xls Chart 1_Book2_Final Order Electric EXHIBIT A-1 2" xfId="4034" xr:uid="{00000000-0005-0000-0000-0000BB0F0000}"/>
    <cellStyle name="_Portfolio SPlan Base Case.xls Chart 1_Book2_Final Order Electric EXHIBIT A-1 2 2" xfId="4035" xr:uid="{00000000-0005-0000-0000-0000BC0F0000}"/>
    <cellStyle name="_Portfolio SPlan Base Case.xls Chart 1_Book2_Final Order Electric EXHIBIT A-1 3" xfId="4036" xr:uid="{00000000-0005-0000-0000-0000BD0F0000}"/>
    <cellStyle name="_Portfolio SPlan Base Case.xls Chart 1_Chelan PUD Power Costs (8-10)" xfId="4037" xr:uid="{00000000-0005-0000-0000-0000BE0F0000}"/>
    <cellStyle name="_Portfolio SPlan Base Case.xls Chart 1_Confidential Material" xfId="4038" xr:uid="{00000000-0005-0000-0000-0000BF0F0000}"/>
    <cellStyle name="_Portfolio SPlan Base Case.xls Chart 1_DEM-WP(C) Colstrip 12 Coal Cost Forecast 2010GRC" xfId="4039" xr:uid="{00000000-0005-0000-0000-0000C00F0000}"/>
    <cellStyle name="_Portfolio SPlan Base Case.xls Chart 1_DEM-WP(C) Production O&amp;M 2010GRC As-Filed" xfId="4040" xr:uid="{00000000-0005-0000-0000-0000C10F0000}"/>
    <cellStyle name="_Portfolio SPlan Base Case.xls Chart 1_DEM-WP(C) Production O&amp;M 2010GRC As-Filed 2" xfId="4041" xr:uid="{00000000-0005-0000-0000-0000C20F0000}"/>
    <cellStyle name="_Portfolio SPlan Base Case.xls Chart 1_Electric Rev Req Model (2009 GRC) " xfId="4042" xr:uid="{00000000-0005-0000-0000-0000C30F0000}"/>
    <cellStyle name="_Portfolio SPlan Base Case.xls Chart 1_Electric Rev Req Model (2009 GRC)  2" xfId="4043" xr:uid="{00000000-0005-0000-0000-0000C40F0000}"/>
    <cellStyle name="_Portfolio SPlan Base Case.xls Chart 1_Electric Rev Req Model (2009 GRC)  2 2" xfId="4044" xr:uid="{00000000-0005-0000-0000-0000C50F0000}"/>
    <cellStyle name="_Portfolio SPlan Base Case.xls Chart 1_Electric Rev Req Model (2009 GRC)  3" xfId="4045" xr:uid="{00000000-0005-0000-0000-0000C60F0000}"/>
    <cellStyle name="_Portfolio SPlan Base Case.xls Chart 1_Electric Rev Req Model (2009 GRC) Rebuttal" xfId="4046" xr:uid="{00000000-0005-0000-0000-0000C70F0000}"/>
    <cellStyle name="_Portfolio SPlan Base Case.xls Chart 1_Electric Rev Req Model (2009 GRC) Rebuttal 2" xfId="4047" xr:uid="{00000000-0005-0000-0000-0000C80F0000}"/>
    <cellStyle name="_Portfolio SPlan Base Case.xls Chart 1_Electric Rev Req Model (2009 GRC) Rebuttal 2 2" xfId="4048" xr:uid="{00000000-0005-0000-0000-0000C90F0000}"/>
    <cellStyle name="_Portfolio SPlan Base Case.xls Chart 1_Electric Rev Req Model (2009 GRC) Rebuttal 3" xfId="4049" xr:uid="{00000000-0005-0000-0000-0000CA0F0000}"/>
    <cellStyle name="_Portfolio SPlan Base Case.xls Chart 1_Electric Rev Req Model (2009 GRC) Rebuttal REmoval of New  WH Solar AdjustMI" xfId="4050" xr:uid="{00000000-0005-0000-0000-0000CB0F0000}"/>
    <cellStyle name="_Portfolio SPlan Base Case.xls Chart 1_Electric Rev Req Model (2009 GRC) Rebuttal REmoval of New  WH Solar AdjustMI 2" xfId="4051" xr:uid="{00000000-0005-0000-0000-0000CC0F0000}"/>
    <cellStyle name="_Portfolio SPlan Base Case.xls Chart 1_Electric Rev Req Model (2009 GRC) Rebuttal REmoval of New  WH Solar AdjustMI 2 2" xfId="4052" xr:uid="{00000000-0005-0000-0000-0000CD0F0000}"/>
    <cellStyle name="_Portfolio SPlan Base Case.xls Chart 1_Electric Rev Req Model (2009 GRC) Rebuttal REmoval of New  WH Solar AdjustMI 3" xfId="4053" xr:uid="{00000000-0005-0000-0000-0000CE0F0000}"/>
    <cellStyle name="_Portfolio SPlan Base Case.xls Chart 1_Electric Rev Req Model (2009 GRC) Revised 01-18-2010" xfId="4054" xr:uid="{00000000-0005-0000-0000-0000CF0F0000}"/>
    <cellStyle name="_Portfolio SPlan Base Case.xls Chart 1_Electric Rev Req Model (2009 GRC) Revised 01-18-2010 2" xfId="4055" xr:uid="{00000000-0005-0000-0000-0000D00F0000}"/>
    <cellStyle name="_Portfolio SPlan Base Case.xls Chart 1_Electric Rev Req Model (2009 GRC) Revised 01-18-2010 2 2" xfId="4056" xr:uid="{00000000-0005-0000-0000-0000D10F0000}"/>
    <cellStyle name="_Portfolio SPlan Base Case.xls Chart 1_Electric Rev Req Model (2009 GRC) Revised 01-18-2010 3" xfId="4057" xr:uid="{00000000-0005-0000-0000-0000D20F0000}"/>
    <cellStyle name="_Portfolio SPlan Base Case.xls Chart 1_Electric Rev Req Model (2010 GRC)" xfId="4058" xr:uid="{00000000-0005-0000-0000-0000D30F0000}"/>
    <cellStyle name="_Portfolio SPlan Base Case.xls Chart 1_Electric Rev Req Model (2010 GRC) SF" xfId="4059" xr:uid="{00000000-0005-0000-0000-0000D40F0000}"/>
    <cellStyle name="_Portfolio SPlan Base Case.xls Chart 1_Final Order Electric EXHIBIT A-1" xfId="4060" xr:uid="{00000000-0005-0000-0000-0000D50F0000}"/>
    <cellStyle name="_Portfolio SPlan Base Case.xls Chart 1_Final Order Electric EXHIBIT A-1 2" xfId="4061" xr:uid="{00000000-0005-0000-0000-0000D60F0000}"/>
    <cellStyle name="_Portfolio SPlan Base Case.xls Chart 1_Final Order Electric EXHIBIT A-1 2 2" xfId="4062" xr:uid="{00000000-0005-0000-0000-0000D70F0000}"/>
    <cellStyle name="_Portfolio SPlan Base Case.xls Chart 1_Final Order Electric EXHIBIT A-1 3" xfId="4063" xr:uid="{00000000-0005-0000-0000-0000D80F0000}"/>
    <cellStyle name="_Portfolio SPlan Base Case.xls Chart 1_NIM Summary" xfId="4064" xr:uid="{00000000-0005-0000-0000-0000D90F0000}"/>
    <cellStyle name="_Portfolio SPlan Base Case.xls Chart 1_NIM Summary 2" xfId="4065" xr:uid="{00000000-0005-0000-0000-0000DA0F0000}"/>
    <cellStyle name="_Portfolio SPlan Base Case.xls Chart 1_Rebuttal Power Costs" xfId="4066" xr:uid="{00000000-0005-0000-0000-0000DB0F0000}"/>
    <cellStyle name="_Portfolio SPlan Base Case.xls Chart 1_Rebuttal Power Costs 2" xfId="4067" xr:uid="{00000000-0005-0000-0000-0000DC0F0000}"/>
    <cellStyle name="_Portfolio SPlan Base Case.xls Chart 1_Rebuttal Power Costs 2 2" xfId="4068" xr:uid="{00000000-0005-0000-0000-0000DD0F0000}"/>
    <cellStyle name="_Portfolio SPlan Base Case.xls Chart 1_Rebuttal Power Costs 3" xfId="4069" xr:uid="{00000000-0005-0000-0000-0000DE0F0000}"/>
    <cellStyle name="_Portfolio SPlan Base Case.xls Chart 1_Rebuttal Power Costs_Adj Bench DR 3 for Initial Briefs (Electric)" xfId="4070" xr:uid="{00000000-0005-0000-0000-0000DF0F0000}"/>
    <cellStyle name="_Portfolio SPlan Base Case.xls Chart 1_Rebuttal Power Costs_Adj Bench DR 3 for Initial Briefs (Electric) 2" xfId="4071" xr:uid="{00000000-0005-0000-0000-0000E00F0000}"/>
    <cellStyle name="_Portfolio SPlan Base Case.xls Chart 1_Rebuttal Power Costs_Adj Bench DR 3 for Initial Briefs (Electric) 2 2" xfId="4072" xr:uid="{00000000-0005-0000-0000-0000E10F0000}"/>
    <cellStyle name="_Portfolio SPlan Base Case.xls Chart 1_Rebuttal Power Costs_Adj Bench DR 3 for Initial Briefs (Electric) 3" xfId="4073" xr:uid="{00000000-0005-0000-0000-0000E20F0000}"/>
    <cellStyle name="_Portfolio SPlan Base Case.xls Chart 1_Rebuttal Power Costs_Electric Rev Req Model (2009 GRC) Rebuttal" xfId="4074" xr:uid="{00000000-0005-0000-0000-0000E30F0000}"/>
    <cellStyle name="_Portfolio SPlan Base Case.xls Chart 1_Rebuttal Power Costs_Electric Rev Req Model (2009 GRC) Rebuttal 2" xfId="4075" xr:uid="{00000000-0005-0000-0000-0000E40F0000}"/>
    <cellStyle name="_Portfolio SPlan Base Case.xls Chart 1_Rebuttal Power Costs_Electric Rev Req Model (2009 GRC) Rebuttal 2 2" xfId="4076" xr:uid="{00000000-0005-0000-0000-0000E50F0000}"/>
    <cellStyle name="_Portfolio SPlan Base Case.xls Chart 1_Rebuttal Power Costs_Electric Rev Req Model (2009 GRC) Rebuttal 3" xfId="4077" xr:uid="{00000000-0005-0000-0000-0000E60F0000}"/>
    <cellStyle name="_Portfolio SPlan Base Case.xls Chart 1_Rebuttal Power Costs_Electric Rev Req Model (2009 GRC) Rebuttal REmoval of New  WH Solar AdjustMI" xfId="4078" xr:uid="{00000000-0005-0000-0000-0000E70F0000}"/>
    <cellStyle name="_Portfolio SPlan Base Case.xls Chart 1_Rebuttal Power Costs_Electric Rev Req Model (2009 GRC) Rebuttal REmoval of New  WH Solar AdjustMI 2" xfId="4079" xr:uid="{00000000-0005-0000-0000-0000E80F0000}"/>
    <cellStyle name="_Portfolio SPlan Base Case.xls Chart 1_Rebuttal Power Costs_Electric Rev Req Model (2009 GRC) Rebuttal REmoval of New  WH Solar AdjustMI 2 2" xfId="4080" xr:uid="{00000000-0005-0000-0000-0000E90F0000}"/>
    <cellStyle name="_Portfolio SPlan Base Case.xls Chart 1_Rebuttal Power Costs_Electric Rev Req Model (2009 GRC) Rebuttal REmoval of New  WH Solar AdjustMI 3" xfId="4081" xr:uid="{00000000-0005-0000-0000-0000EA0F0000}"/>
    <cellStyle name="_Portfolio SPlan Base Case.xls Chart 1_Rebuttal Power Costs_Electric Rev Req Model (2009 GRC) Revised 01-18-2010" xfId="4082" xr:uid="{00000000-0005-0000-0000-0000EB0F0000}"/>
    <cellStyle name="_Portfolio SPlan Base Case.xls Chart 1_Rebuttal Power Costs_Electric Rev Req Model (2009 GRC) Revised 01-18-2010 2" xfId="4083" xr:uid="{00000000-0005-0000-0000-0000EC0F0000}"/>
    <cellStyle name="_Portfolio SPlan Base Case.xls Chart 1_Rebuttal Power Costs_Electric Rev Req Model (2009 GRC) Revised 01-18-2010 2 2" xfId="4084" xr:uid="{00000000-0005-0000-0000-0000ED0F0000}"/>
    <cellStyle name="_Portfolio SPlan Base Case.xls Chart 1_Rebuttal Power Costs_Electric Rev Req Model (2009 GRC) Revised 01-18-2010 3" xfId="4085" xr:uid="{00000000-0005-0000-0000-0000EE0F0000}"/>
    <cellStyle name="_Portfolio SPlan Base Case.xls Chart 1_Rebuttal Power Costs_Final Order Electric EXHIBIT A-1" xfId="4086" xr:uid="{00000000-0005-0000-0000-0000EF0F0000}"/>
    <cellStyle name="_Portfolio SPlan Base Case.xls Chart 1_Rebuttal Power Costs_Final Order Electric EXHIBIT A-1 2" xfId="4087" xr:uid="{00000000-0005-0000-0000-0000F00F0000}"/>
    <cellStyle name="_Portfolio SPlan Base Case.xls Chart 1_Rebuttal Power Costs_Final Order Electric EXHIBIT A-1 2 2" xfId="4088" xr:uid="{00000000-0005-0000-0000-0000F10F0000}"/>
    <cellStyle name="_Portfolio SPlan Base Case.xls Chart 1_Rebuttal Power Costs_Final Order Electric EXHIBIT A-1 3" xfId="4089" xr:uid="{00000000-0005-0000-0000-0000F20F0000}"/>
    <cellStyle name="_Portfolio SPlan Base Case.xls Chart 1_TENASKA REGULATORY ASSET" xfId="4090" xr:uid="{00000000-0005-0000-0000-0000F30F0000}"/>
    <cellStyle name="_Portfolio SPlan Base Case.xls Chart 1_TENASKA REGULATORY ASSET 2" xfId="4091" xr:uid="{00000000-0005-0000-0000-0000F40F0000}"/>
    <cellStyle name="_Portfolio SPlan Base Case.xls Chart 1_TENASKA REGULATORY ASSET 2 2" xfId="4092" xr:uid="{00000000-0005-0000-0000-0000F50F0000}"/>
    <cellStyle name="_Portfolio SPlan Base Case.xls Chart 1_TENASKA REGULATORY ASSET 3" xfId="4093" xr:uid="{00000000-0005-0000-0000-0000F60F0000}"/>
    <cellStyle name="_Portfolio SPlan Base Case.xls Chart 2" xfId="4094" xr:uid="{00000000-0005-0000-0000-0000F70F0000}"/>
    <cellStyle name="_Portfolio SPlan Base Case.xls Chart 2 2" xfId="4095" xr:uid="{00000000-0005-0000-0000-0000F80F0000}"/>
    <cellStyle name="_Portfolio SPlan Base Case.xls Chart 2 2 2" xfId="4096" xr:uid="{00000000-0005-0000-0000-0000F90F0000}"/>
    <cellStyle name="_Portfolio SPlan Base Case.xls Chart 2 3" xfId="4097" xr:uid="{00000000-0005-0000-0000-0000FA0F0000}"/>
    <cellStyle name="_Portfolio SPlan Base Case.xls Chart 2_Adj Bench DR 3 for Initial Briefs (Electric)" xfId="4098" xr:uid="{00000000-0005-0000-0000-0000FB0F0000}"/>
    <cellStyle name="_Portfolio SPlan Base Case.xls Chart 2_Adj Bench DR 3 for Initial Briefs (Electric) 2" xfId="4099" xr:uid="{00000000-0005-0000-0000-0000FC0F0000}"/>
    <cellStyle name="_Portfolio SPlan Base Case.xls Chart 2_Adj Bench DR 3 for Initial Briefs (Electric) 2 2" xfId="4100" xr:uid="{00000000-0005-0000-0000-0000FD0F0000}"/>
    <cellStyle name="_Portfolio SPlan Base Case.xls Chart 2_Adj Bench DR 3 for Initial Briefs (Electric) 3" xfId="4101" xr:uid="{00000000-0005-0000-0000-0000FE0F0000}"/>
    <cellStyle name="_Portfolio SPlan Base Case.xls Chart 2_Book1" xfId="4102" xr:uid="{00000000-0005-0000-0000-0000FF0F0000}"/>
    <cellStyle name="_Portfolio SPlan Base Case.xls Chart 2_Book2" xfId="4103" xr:uid="{00000000-0005-0000-0000-000000100000}"/>
    <cellStyle name="_Portfolio SPlan Base Case.xls Chart 2_Book2 2" xfId="4104" xr:uid="{00000000-0005-0000-0000-000001100000}"/>
    <cellStyle name="_Portfolio SPlan Base Case.xls Chart 2_Book2 2 2" xfId="4105" xr:uid="{00000000-0005-0000-0000-000002100000}"/>
    <cellStyle name="_Portfolio SPlan Base Case.xls Chart 2_Book2 3" xfId="4106" xr:uid="{00000000-0005-0000-0000-000003100000}"/>
    <cellStyle name="_Portfolio SPlan Base Case.xls Chart 2_Book2_Adj Bench DR 3 for Initial Briefs (Electric)" xfId="4107" xr:uid="{00000000-0005-0000-0000-000004100000}"/>
    <cellStyle name="_Portfolio SPlan Base Case.xls Chart 2_Book2_Adj Bench DR 3 for Initial Briefs (Electric) 2" xfId="4108" xr:uid="{00000000-0005-0000-0000-000005100000}"/>
    <cellStyle name="_Portfolio SPlan Base Case.xls Chart 2_Book2_Adj Bench DR 3 for Initial Briefs (Electric) 2 2" xfId="4109" xr:uid="{00000000-0005-0000-0000-000006100000}"/>
    <cellStyle name="_Portfolio SPlan Base Case.xls Chart 2_Book2_Adj Bench DR 3 for Initial Briefs (Electric) 3" xfId="4110" xr:uid="{00000000-0005-0000-0000-000007100000}"/>
    <cellStyle name="_Portfolio SPlan Base Case.xls Chart 2_Book2_Electric Rev Req Model (2009 GRC) Rebuttal" xfId="4111" xr:uid="{00000000-0005-0000-0000-000008100000}"/>
    <cellStyle name="_Portfolio SPlan Base Case.xls Chart 2_Book2_Electric Rev Req Model (2009 GRC) Rebuttal 2" xfId="4112" xr:uid="{00000000-0005-0000-0000-000009100000}"/>
    <cellStyle name="_Portfolio SPlan Base Case.xls Chart 2_Book2_Electric Rev Req Model (2009 GRC) Rebuttal 2 2" xfId="4113" xr:uid="{00000000-0005-0000-0000-00000A100000}"/>
    <cellStyle name="_Portfolio SPlan Base Case.xls Chart 2_Book2_Electric Rev Req Model (2009 GRC) Rebuttal 3" xfId="4114" xr:uid="{00000000-0005-0000-0000-00000B100000}"/>
    <cellStyle name="_Portfolio SPlan Base Case.xls Chart 2_Book2_Electric Rev Req Model (2009 GRC) Rebuttal REmoval of New  WH Solar AdjustMI" xfId="4115" xr:uid="{00000000-0005-0000-0000-00000C100000}"/>
    <cellStyle name="_Portfolio SPlan Base Case.xls Chart 2_Book2_Electric Rev Req Model (2009 GRC) Rebuttal REmoval of New  WH Solar AdjustMI 2" xfId="4116" xr:uid="{00000000-0005-0000-0000-00000D100000}"/>
    <cellStyle name="_Portfolio SPlan Base Case.xls Chart 2_Book2_Electric Rev Req Model (2009 GRC) Rebuttal REmoval of New  WH Solar AdjustMI 2 2" xfId="4117" xr:uid="{00000000-0005-0000-0000-00000E100000}"/>
    <cellStyle name="_Portfolio SPlan Base Case.xls Chart 2_Book2_Electric Rev Req Model (2009 GRC) Rebuttal REmoval of New  WH Solar AdjustMI 3" xfId="4118" xr:uid="{00000000-0005-0000-0000-00000F100000}"/>
    <cellStyle name="_Portfolio SPlan Base Case.xls Chart 2_Book2_Electric Rev Req Model (2009 GRC) Revised 01-18-2010" xfId="4119" xr:uid="{00000000-0005-0000-0000-000010100000}"/>
    <cellStyle name="_Portfolio SPlan Base Case.xls Chart 2_Book2_Electric Rev Req Model (2009 GRC) Revised 01-18-2010 2" xfId="4120" xr:uid="{00000000-0005-0000-0000-000011100000}"/>
    <cellStyle name="_Portfolio SPlan Base Case.xls Chart 2_Book2_Electric Rev Req Model (2009 GRC) Revised 01-18-2010 2 2" xfId="4121" xr:uid="{00000000-0005-0000-0000-000012100000}"/>
    <cellStyle name="_Portfolio SPlan Base Case.xls Chart 2_Book2_Electric Rev Req Model (2009 GRC) Revised 01-18-2010 3" xfId="4122" xr:uid="{00000000-0005-0000-0000-000013100000}"/>
    <cellStyle name="_Portfolio SPlan Base Case.xls Chart 2_Book2_Final Order Electric EXHIBIT A-1" xfId="4123" xr:uid="{00000000-0005-0000-0000-000014100000}"/>
    <cellStyle name="_Portfolio SPlan Base Case.xls Chart 2_Book2_Final Order Electric EXHIBIT A-1 2" xfId="4124" xr:uid="{00000000-0005-0000-0000-000015100000}"/>
    <cellStyle name="_Portfolio SPlan Base Case.xls Chart 2_Book2_Final Order Electric EXHIBIT A-1 2 2" xfId="4125" xr:uid="{00000000-0005-0000-0000-000016100000}"/>
    <cellStyle name="_Portfolio SPlan Base Case.xls Chart 2_Book2_Final Order Electric EXHIBIT A-1 3" xfId="4126" xr:uid="{00000000-0005-0000-0000-000017100000}"/>
    <cellStyle name="_Portfolio SPlan Base Case.xls Chart 2_Chelan PUD Power Costs (8-10)" xfId="4127" xr:uid="{00000000-0005-0000-0000-000018100000}"/>
    <cellStyle name="_Portfolio SPlan Base Case.xls Chart 2_Confidential Material" xfId="4128" xr:uid="{00000000-0005-0000-0000-000019100000}"/>
    <cellStyle name="_Portfolio SPlan Base Case.xls Chart 2_DEM-WP(C) Colstrip 12 Coal Cost Forecast 2010GRC" xfId="4129" xr:uid="{00000000-0005-0000-0000-00001A100000}"/>
    <cellStyle name="_Portfolio SPlan Base Case.xls Chart 2_DEM-WP(C) Production O&amp;M 2010GRC As-Filed" xfId="4130" xr:uid="{00000000-0005-0000-0000-00001B100000}"/>
    <cellStyle name="_Portfolio SPlan Base Case.xls Chart 2_DEM-WP(C) Production O&amp;M 2010GRC As-Filed 2" xfId="4131" xr:uid="{00000000-0005-0000-0000-00001C100000}"/>
    <cellStyle name="_Portfolio SPlan Base Case.xls Chart 2_Electric Rev Req Model (2009 GRC) " xfId="4132" xr:uid="{00000000-0005-0000-0000-00001D100000}"/>
    <cellStyle name="_Portfolio SPlan Base Case.xls Chart 2_Electric Rev Req Model (2009 GRC)  2" xfId="4133" xr:uid="{00000000-0005-0000-0000-00001E100000}"/>
    <cellStyle name="_Portfolio SPlan Base Case.xls Chart 2_Electric Rev Req Model (2009 GRC)  2 2" xfId="4134" xr:uid="{00000000-0005-0000-0000-00001F100000}"/>
    <cellStyle name="_Portfolio SPlan Base Case.xls Chart 2_Electric Rev Req Model (2009 GRC)  3" xfId="4135" xr:uid="{00000000-0005-0000-0000-000020100000}"/>
    <cellStyle name="_Portfolio SPlan Base Case.xls Chart 2_Electric Rev Req Model (2009 GRC)  4" xfId="4136" xr:uid="{00000000-0005-0000-0000-000021100000}"/>
    <cellStyle name="_Portfolio SPlan Base Case.xls Chart 2_Electric Rev Req Model (2009 GRC) Rebuttal" xfId="4137" xr:uid="{00000000-0005-0000-0000-000022100000}"/>
    <cellStyle name="_Portfolio SPlan Base Case.xls Chart 2_Electric Rev Req Model (2009 GRC) Rebuttal 2" xfId="4138" xr:uid="{00000000-0005-0000-0000-000023100000}"/>
    <cellStyle name="_Portfolio SPlan Base Case.xls Chart 2_Electric Rev Req Model (2009 GRC) Rebuttal 2 2" xfId="4139" xr:uid="{00000000-0005-0000-0000-000024100000}"/>
    <cellStyle name="_Portfolio SPlan Base Case.xls Chart 2_Electric Rev Req Model (2009 GRC) Rebuttal 3" xfId="4140" xr:uid="{00000000-0005-0000-0000-000025100000}"/>
    <cellStyle name="_Portfolio SPlan Base Case.xls Chart 2_Electric Rev Req Model (2009 GRC) Rebuttal 4" xfId="4141" xr:uid="{00000000-0005-0000-0000-000026100000}"/>
    <cellStyle name="_Portfolio SPlan Base Case.xls Chart 2_Electric Rev Req Model (2009 GRC) Rebuttal REmoval of New  WH Solar AdjustMI" xfId="4142" xr:uid="{00000000-0005-0000-0000-000027100000}"/>
    <cellStyle name="_Portfolio SPlan Base Case.xls Chart 2_Electric Rev Req Model (2009 GRC) Rebuttal REmoval of New  WH Solar AdjustMI 2" xfId="4143" xr:uid="{00000000-0005-0000-0000-000028100000}"/>
    <cellStyle name="_Portfolio SPlan Base Case.xls Chart 2_Electric Rev Req Model (2009 GRC) Rebuttal REmoval of New  WH Solar AdjustMI 2 2" xfId="4144" xr:uid="{00000000-0005-0000-0000-000029100000}"/>
    <cellStyle name="_Portfolio SPlan Base Case.xls Chart 2_Electric Rev Req Model (2009 GRC) Rebuttal REmoval of New  WH Solar AdjustMI 3" xfId="4145" xr:uid="{00000000-0005-0000-0000-00002A100000}"/>
    <cellStyle name="_Portfolio SPlan Base Case.xls Chart 2_Electric Rev Req Model (2009 GRC) Rebuttal REmoval of New  WH Solar AdjustMI 4" xfId="4146" xr:uid="{00000000-0005-0000-0000-00002B100000}"/>
    <cellStyle name="_Portfolio SPlan Base Case.xls Chart 2_Electric Rev Req Model (2009 GRC) Revised 01-18-2010" xfId="4147" xr:uid="{00000000-0005-0000-0000-00002C100000}"/>
    <cellStyle name="_Portfolio SPlan Base Case.xls Chart 2_Electric Rev Req Model (2009 GRC) Revised 01-18-2010 2" xfId="4148" xr:uid="{00000000-0005-0000-0000-00002D100000}"/>
    <cellStyle name="_Portfolio SPlan Base Case.xls Chart 2_Electric Rev Req Model (2009 GRC) Revised 01-18-2010 2 2" xfId="4149" xr:uid="{00000000-0005-0000-0000-00002E100000}"/>
    <cellStyle name="_Portfolio SPlan Base Case.xls Chart 2_Electric Rev Req Model (2009 GRC) Revised 01-18-2010 3" xfId="4150" xr:uid="{00000000-0005-0000-0000-00002F100000}"/>
    <cellStyle name="_Portfolio SPlan Base Case.xls Chart 2_Electric Rev Req Model (2009 GRC) Revised 01-18-2010 4" xfId="4151" xr:uid="{00000000-0005-0000-0000-000030100000}"/>
    <cellStyle name="_Portfolio SPlan Base Case.xls Chart 2_Electric Rev Req Model (2010 GRC)" xfId="4152" xr:uid="{00000000-0005-0000-0000-000031100000}"/>
    <cellStyle name="_Portfolio SPlan Base Case.xls Chart 2_Electric Rev Req Model (2010 GRC) SF" xfId="4153" xr:uid="{00000000-0005-0000-0000-000032100000}"/>
    <cellStyle name="_Portfolio SPlan Base Case.xls Chart 2_Final Order Electric EXHIBIT A-1" xfId="4154" xr:uid="{00000000-0005-0000-0000-000033100000}"/>
    <cellStyle name="_Portfolio SPlan Base Case.xls Chart 2_Final Order Electric EXHIBIT A-1 2" xfId="4155" xr:uid="{00000000-0005-0000-0000-000034100000}"/>
    <cellStyle name="_Portfolio SPlan Base Case.xls Chart 2_Final Order Electric EXHIBIT A-1 2 2" xfId="4156" xr:uid="{00000000-0005-0000-0000-000035100000}"/>
    <cellStyle name="_Portfolio SPlan Base Case.xls Chart 2_Final Order Electric EXHIBIT A-1 3" xfId="4157" xr:uid="{00000000-0005-0000-0000-000036100000}"/>
    <cellStyle name="_Portfolio SPlan Base Case.xls Chart 2_Final Order Electric EXHIBIT A-1 4" xfId="4158" xr:uid="{00000000-0005-0000-0000-000037100000}"/>
    <cellStyle name="_Portfolio SPlan Base Case.xls Chart 2_NIM Summary" xfId="4159" xr:uid="{00000000-0005-0000-0000-000038100000}"/>
    <cellStyle name="_Portfolio SPlan Base Case.xls Chart 2_NIM Summary 2" xfId="4160" xr:uid="{00000000-0005-0000-0000-000039100000}"/>
    <cellStyle name="_Portfolio SPlan Base Case.xls Chart 2_Rebuttal Power Costs" xfId="4161" xr:uid="{00000000-0005-0000-0000-00003A100000}"/>
    <cellStyle name="_Portfolio SPlan Base Case.xls Chart 2_Rebuttal Power Costs 2" xfId="4162" xr:uid="{00000000-0005-0000-0000-00003B100000}"/>
    <cellStyle name="_Portfolio SPlan Base Case.xls Chart 2_Rebuttal Power Costs 2 2" xfId="4163" xr:uid="{00000000-0005-0000-0000-00003C100000}"/>
    <cellStyle name="_Portfolio SPlan Base Case.xls Chart 2_Rebuttal Power Costs 3" xfId="4164" xr:uid="{00000000-0005-0000-0000-00003D100000}"/>
    <cellStyle name="_Portfolio SPlan Base Case.xls Chart 2_Rebuttal Power Costs 4" xfId="4165" xr:uid="{00000000-0005-0000-0000-00003E100000}"/>
    <cellStyle name="_Portfolio SPlan Base Case.xls Chart 2_Rebuttal Power Costs_Adj Bench DR 3 for Initial Briefs (Electric)" xfId="4166" xr:uid="{00000000-0005-0000-0000-00003F100000}"/>
    <cellStyle name="_Portfolio SPlan Base Case.xls Chart 2_Rebuttal Power Costs_Adj Bench DR 3 for Initial Briefs (Electric) 2" xfId="4167" xr:uid="{00000000-0005-0000-0000-000040100000}"/>
    <cellStyle name="_Portfolio SPlan Base Case.xls Chart 2_Rebuttal Power Costs_Adj Bench DR 3 for Initial Briefs (Electric) 2 2" xfId="4168" xr:uid="{00000000-0005-0000-0000-000041100000}"/>
    <cellStyle name="_Portfolio SPlan Base Case.xls Chart 2_Rebuttal Power Costs_Adj Bench DR 3 for Initial Briefs (Electric) 3" xfId="4169" xr:uid="{00000000-0005-0000-0000-000042100000}"/>
    <cellStyle name="_Portfolio SPlan Base Case.xls Chart 2_Rebuttal Power Costs_Adj Bench DR 3 for Initial Briefs (Electric) 4" xfId="4170" xr:uid="{00000000-0005-0000-0000-000043100000}"/>
    <cellStyle name="_Portfolio SPlan Base Case.xls Chart 2_Rebuttal Power Costs_Electric Rev Req Model (2009 GRC) Rebuttal" xfId="4171" xr:uid="{00000000-0005-0000-0000-000044100000}"/>
    <cellStyle name="_Portfolio SPlan Base Case.xls Chart 2_Rebuttal Power Costs_Electric Rev Req Model (2009 GRC) Rebuttal 2" xfId="4172" xr:uid="{00000000-0005-0000-0000-000045100000}"/>
    <cellStyle name="_Portfolio SPlan Base Case.xls Chart 2_Rebuttal Power Costs_Electric Rev Req Model (2009 GRC) Rebuttal 2 2" xfId="4173" xr:uid="{00000000-0005-0000-0000-000046100000}"/>
    <cellStyle name="_Portfolio SPlan Base Case.xls Chart 2_Rebuttal Power Costs_Electric Rev Req Model (2009 GRC) Rebuttal 3" xfId="4174" xr:uid="{00000000-0005-0000-0000-000047100000}"/>
    <cellStyle name="_Portfolio SPlan Base Case.xls Chart 2_Rebuttal Power Costs_Electric Rev Req Model (2009 GRC) Rebuttal 4" xfId="4175" xr:uid="{00000000-0005-0000-0000-000048100000}"/>
    <cellStyle name="_Portfolio SPlan Base Case.xls Chart 2_Rebuttal Power Costs_Electric Rev Req Model (2009 GRC) Rebuttal REmoval of New  WH Solar AdjustMI" xfId="4176" xr:uid="{00000000-0005-0000-0000-000049100000}"/>
    <cellStyle name="_Portfolio SPlan Base Case.xls Chart 2_Rebuttal Power Costs_Electric Rev Req Model (2009 GRC) Rebuttal REmoval of New  WH Solar AdjustMI 2" xfId="4177" xr:uid="{00000000-0005-0000-0000-00004A100000}"/>
    <cellStyle name="_Portfolio SPlan Base Case.xls Chart 2_Rebuttal Power Costs_Electric Rev Req Model (2009 GRC) Rebuttal REmoval of New  WH Solar AdjustMI 2 2" xfId="4178" xr:uid="{00000000-0005-0000-0000-00004B100000}"/>
    <cellStyle name="_Portfolio SPlan Base Case.xls Chart 2_Rebuttal Power Costs_Electric Rev Req Model (2009 GRC) Rebuttal REmoval of New  WH Solar AdjustMI 3" xfId="4179" xr:uid="{00000000-0005-0000-0000-00004C100000}"/>
    <cellStyle name="_Portfolio SPlan Base Case.xls Chart 2_Rebuttal Power Costs_Electric Rev Req Model (2009 GRC) Rebuttal REmoval of New  WH Solar AdjustMI 4" xfId="4180" xr:uid="{00000000-0005-0000-0000-00004D100000}"/>
    <cellStyle name="_Portfolio SPlan Base Case.xls Chart 2_Rebuttal Power Costs_Electric Rev Req Model (2009 GRC) Revised 01-18-2010" xfId="4181" xr:uid="{00000000-0005-0000-0000-00004E100000}"/>
    <cellStyle name="_Portfolio SPlan Base Case.xls Chart 2_Rebuttal Power Costs_Electric Rev Req Model (2009 GRC) Revised 01-18-2010 2" xfId="4182" xr:uid="{00000000-0005-0000-0000-00004F100000}"/>
    <cellStyle name="_Portfolio SPlan Base Case.xls Chart 2_Rebuttal Power Costs_Electric Rev Req Model (2009 GRC) Revised 01-18-2010 2 2" xfId="4183" xr:uid="{00000000-0005-0000-0000-000050100000}"/>
    <cellStyle name="_Portfolio SPlan Base Case.xls Chart 2_Rebuttal Power Costs_Electric Rev Req Model (2009 GRC) Revised 01-18-2010 3" xfId="4184" xr:uid="{00000000-0005-0000-0000-000051100000}"/>
    <cellStyle name="_Portfolio SPlan Base Case.xls Chart 2_Rebuttal Power Costs_Electric Rev Req Model (2009 GRC) Revised 01-18-2010 4" xfId="4185" xr:uid="{00000000-0005-0000-0000-000052100000}"/>
    <cellStyle name="_Portfolio SPlan Base Case.xls Chart 2_Rebuttal Power Costs_Final Order Electric EXHIBIT A-1" xfId="4186" xr:uid="{00000000-0005-0000-0000-000053100000}"/>
    <cellStyle name="_Portfolio SPlan Base Case.xls Chart 2_Rebuttal Power Costs_Final Order Electric EXHIBIT A-1 2" xfId="4187" xr:uid="{00000000-0005-0000-0000-000054100000}"/>
    <cellStyle name="_Portfolio SPlan Base Case.xls Chart 2_Rebuttal Power Costs_Final Order Electric EXHIBIT A-1 2 2" xfId="4188" xr:uid="{00000000-0005-0000-0000-000055100000}"/>
    <cellStyle name="_Portfolio SPlan Base Case.xls Chart 2_Rebuttal Power Costs_Final Order Electric EXHIBIT A-1 3" xfId="4189" xr:uid="{00000000-0005-0000-0000-000056100000}"/>
    <cellStyle name="_Portfolio SPlan Base Case.xls Chart 2_Rebuttal Power Costs_Final Order Electric EXHIBIT A-1 4" xfId="4190" xr:uid="{00000000-0005-0000-0000-000057100000}"/>
    <cellStyle name="_Portfolio SPlan Base Case.xls Chart 2_TENASKA REGULATORY ASSET" xfId="4191" xr:uid="{00000000-0005-0000-0000-000058100000}"/>
    <cellStyle name="_Portfolio SPlan Base Case.xls Chart 2_TENASKA REGULATORY ASSET 2" xfId="4192" xr:uid="{00000000-0005-0000-0000-000059100000}"/>
    <cellStyle name="_Portfolio SPlan Base Case.xls Chart 2_TENASKA REGULATORY ASSET 2 2" xfId="4193" xr:uid="{00000000-0005-0000-0000-00005A100000}"/>
    <cellStyle name="_Portfolio SPlan Base Case.xls Chart 2_TENASKA REGULATORY ASSET 3" xfId="4194" xr:uid="{00000000-0005-0000-0000-00005B100000}"/>
    <cellStyle name="_Portfolio SPlan Base Case.xls Chart 2_TENASKA REGULATORY ASSET 4" xfId="4195" xr:uid="{00000000-0005-0000-0000-00005C100000}"/>
    <cellStyle name="_Portfolio SPlan Base Case.xls Chart 3" xfId="4196" xr:uid="{00000000-0005-0000-0000-00005D100000}"/>
    <cellStyle name="_Portfolio SPlan Base Case.xls Chart 3 2" xfId="4197" xr:uid="{00000000-0005-0000-0000-00005E100000}"/>
    <cellStyle name="_Portfolio SPlan Base Case.xls Chart 3 2 2" xfId="4198" xr:uid="{00000000-0005-0000-0000-00005F100000}"/>
    <cellStyle name="_Portfolio SPlan Base Case.xls Chart 3 3" xfId="4199" xr:uid="{00000000-0005-0000-0000-000060100000}"/>
    <cellStyle name="_Portfolio SPlan Base Case.xls Chart 3 4" xfId="4200" xr:uid="{00000000-0005-0000-0000-000061100000}"/>
    <cellStyle name="_Portfolio SPlan Base Case.xls Chart 3_Adj Bench DR 3 for Initial Briefs (Electric)" xfId="4201" xr:uid="{00000000-0005-0000-0000-000062100000}"/>
    <cellStyle name="_Portfolio SPlan Base Case.xls Chart 3_Adj Bench DR 3 for Initial Briefs (Electric) 2" xfId="4202" xr:uid="{00000000-0005-0000-0000-000063100000}"/>
    <cellStyle name="_Portfolio SPlan Base Case.xls Chart 3_Adj Bench DR 3 for Initial Briefs (Electric) 2 2" xfId="4203" xr:uid="{00000000-0005-0000-0000-000064100000}"/>
    <cellStyle name="_Portfolio SPlan Base Case.xls Chart 3_Adj Bench DR 3 for Initial Briefs (Electric) 3" xfId="4204" xr:uid="{00000000-0005-0000-0000-000065100000}"/>
    <cellStyle name="_Portfolio SPlan Base Case.xls Chart 3_Adj Bench DR 3 for Initial Briefs (Electric) 4" xfId="4205" xr:uid="{00000000-0005-0000-0000-000066100000}"/>
    <cellStyle name="_Portfolio SPlan Base Case.xls Chart 3_Book1" xfId="4206" xr:uid="{00000000-0005-0000-0000-000067100000}"/>
    <cellStyle name="_Portfolio SPlan Base Case.xls Chart 3_Book2" xfId="4207" xr:uid="{00000000-0005-0000-0000-000068100000}"/>
    <cellStyle name="_Portfolio SPlan Base Case.xls Chart 3_Book2 2" xfId="4208" xr:uid="{00000000-0005-0000-0000-000069100000}"/>
    <cellStyle name="_Portfolio SPlan Base Case.xls Chart 3_Book2 2 2" xfId="4209" xr:uid="{00000000-0005-0000-0000-00006A100000}"/>
    <cellStyle name="_Portfolio SPlan Base Case.xls Chart 3_Book2 3" xfId="4210" xr:uid="{00000000-0005-0000-0000-00006B100000}"/>
    <cellStyle name="_Portfolio SPlan Base Case.xls Chart 3_Book2 4" xfId="4211" xr:uid="{00000000-0005-0000-0000-00006C100000}"/>
    <cellStyle name="_Portfolio SPlan Base Case.xls Chart 3_Book2_Adj Bench DR 3 for Initial Briefs (Electric)" xfId="4212" xr:uid="{00000000-0005-0000-0000-00006D100000}"/>
    <cellStyle name="_Portfolio SPlan Base Case.xls Chart 3_Book2_Adj Bench DR 3 for Initial Briefs (Electric) 2" xfId="4213" xr:uid="{00000000-0005-0000-0000-00006E100000}"/>
    <cellStyle name="_Portfolio SPlan Base Case.xls Chart 3_Book2_Adj Bench DR 3 for Initial Briefs (Electric) 2 2" xfId="4214" xr:uid="{00000000-0005-0000-0000-00006F100000}"/>
    <cellStyle name="_Portfolio SPlan Base Case.xls Chart 3_Book2_Adj Bench DR 3 for Initial Briefs (Electric) 3" xfId="4215" xr:uid="{00000000-0005-0000-0000-000070100000}"/>
    <cellStyle name="_Portfolio SPlan Base Case.xls Chart 3_Book2_Adj Bench DR 3 for Initial Briefs (Electric) 4" xfId="4216" xr:uid="{00000000-0005-0000-0000-000071100000}"/>
    <cellStyle name="_Portfolio SPlan Base Case.xls Chart 3_Book2_Electric Rev Req Model (2009 GRC) Rebuttal" xfId="4217" xr:uid="{00000000-0005-0000-0000-000072100000}"/>
    <cellStyle name="_Portfolio SPlan Base Case.xls Chart 3_Book2_Electric Rev Req Model (2009 GRC) Rebuttal 2" xfId="4218" xr:uid="{00000000-0005-0000-0000-000073100000}"/>
    <cellStyle name="_Portfolio SPlan Base Case.xls Chart 3_Book2_Electric Rev Req Model (2009 GRC) Rebuttal 2 2" xfId="4219" xr:uid="{00000000-0005-0000-0000-000074100000}"/>
    <cellStyle name="_Portfolio SPlan Base Case.xls Chart 3_Book2_Electric Rev Req Model (2009 GRC) Rebuttal 3" xfId="4220" xr:uid="{00000000-0005-0000-0000-000075100000}"/>
    <cellStyle name="_Portfolio SPlan Base Case.xls Chart 3_Book2_Electric Rev Req Model (2009 GRC) Rebuttal 4" xfId="4221" xr:uid="{00000000-0005-0000-0000-000076100000}"/>
    <cellStyle name="_Portfolio SPlan Base Case.xls Chart 3_Book2_Electric Rev Req Model (2009 GRC) Rebuttal REmoval of New  WH Solar AdjustMI" xfId="4222" xr:uid="{00000000-0005-0000-0000-000077100000}"/>
    <cellStyle name="_Portfolio SPlan Base Case.xls Chart 3_Book2_Electric Rev Req Model (2009 GRC) Rebuttal REmoval of New  WH Solar AdjustMI 2" xfId="4223" xr:uid="{00000000-0005-0000-0000-000078100000}"/>
    <cellStyle name="_Portfolio SPlan Base Case.xls Chart 3_Book2_Electric Rev Req Model (2009 GRC) Rebuttal REmoval of New  WH Solar AdjustMI 2 2" xfId="4224" xr:uid="{00000000-0005-0000-0000-000079100000}"/>
    <cellStyle name="_Portfolio SPlan Base Case.xls Chart 3_Book2_Electric Rev Req Model (2009 GRC) Rebuttal REmoval of New  WH Solar AdjustMI 3" xfId="4225" xr:uid="{00000000-0005-0000-0000-00007A100000}"/>
    <cellStyle name="_Portfolio SPlan Base Case.xls Chart 3_Book2_Electric Rev Req Model (2009 GRC) Rebuttal REmoval of New  WH Solar AdjustMI 4" xfId="4226" xr:uid="{00000000-0005-0000-0000-00007B100000}"/>
    <cellStyle name="_Portfolio SPlan Base Case.xls Chart 3_Book2_Electric Rev Req Model (2009 GRC) Revised 01-18-2010" xfId="4227" xr:uid="{00000000-0005-0000-0000-00007C100000}"/>
    <cellStyle name="_Portfolio SPlan Base Case.xls Chart 3_Book2_Electric Rev Req Model (2009 GRC) Revised 01-18-2010 2" xfId="4228" xr:uid="{00000000-0005-0000-0000-00007D100000}"/>
    <cellStyle name="_Portfolio SPlan Base Case.xls Chart 3_Book2_Electric Rev Req Model (2009 GRC) Revised 01-18-2010 2 2" xfId="4229" xr:uid="{00000000-0005-0000-0000-00007E100000}"/>
    <cellStyle name="_Portfolio SPlan Base Case.xls Chart 3_Book2_Electric Rev Req Model (2009 GRC) Revised 01-18-2010 3" xfId="4230" xr:uid="{00000000-0005-0000-0000-00007F100000}"/>
    <cellStyle name="_Portfolio SPlan Base Case.xls Chart 3_Book2_Electric Rev Req Model (2009 GRC) Revised 01-18-2010 4" xfId="4231" xr:uid="{00000000-0005-0000-0000-000080100000}"/>
    <cellStyle name="_Portfolio SPlan Base Case.xls Chart 3_Book2_Final Order Electric EXHIBIT A-1" xfId="4232" xr:uid="{00000000-0005-0000-0000-000081100000}"/>
    <cellStyle name="_Portfolio SPlan Base Case.xls Chart 3_Book2_Final Order Electric EXHIBIT A-1 2" xfId="4233" xr:uid="{00000000-0005-0000-0000-000082100000}"/>
    <cellStyle name="_Portfolio SPlan Base Case.xls Chart 3_Book2_Final Order Electric EXHIBIT A-1 2 2" xfId="4234" xr:uid="{00000000-0005-0000-0000-000083100000}"/>
    <cellStyle name="_Portfolio SPlan Base Case.xls Chart 3_Book2_Final Order Electric EXHIBIT A-1 3" xfId="4235" xr:uid="{00000000-0005-0000-0000-000084100000}"/>
    <cellStyle name="_Portfolio SPlan Base Case.xls Chart 3_Book2_Final Order Electric EXHIBIT A-1 4" xfId="4236" xr:uid="{00000000-0005-0000-0000-000085100000}"/>
    <cellStyle name="_Portfolio SPlan Base Case.xls Chart 3_Chelan PUD Power Costs (8-10)" xfId="4237" xr:uid="{00000000-0005-0000-0000-000086100000}"/>
    <cellStyle name="_Portfolio SPlan Base Case.xls Chart 3_Confidential Material" xfId="4238" xr:uid="{00000000-0005-0000-0000-000087100000}"/>
    <cellStyle name="_Portfolio SPlan Base Case.xls Chart 3_DEM-WP(C) Colstrip 12 Coal Cost Forecast 2010GRC" xfId="4239" xr:uid="{00000000-0005-0000-0000-000088100000}"/>
    <cellStyle name="_Portfolio SPlan Base Case.xls Chart 3_DEM-WP(C) Production O&amp;M 2010GRC As-Filed" xfId="4240" xr:uid="{00000000-0005-0000-0000-000089100000}"/>
    <cellStyle name="_Portfolio SPlan Base Case.xls Chart 3_DEM-WP(C) Production O&amp;M 2010GRC As-Filed 2" xfId="4241" xr:uid="{00000000-0005-0000-0000-00008A100000}"/>
    <cellStyle name="_Portfolio SPlan Base Case.xls Chart 3_Electric Rev Req Model (2009 GRC) " xfId="4242" xr:uid="{00000000-0005-0000-0000-00008B100000}"/>
    <cellStyle name="_Portfolio SPlan Base Case.xls Chart 3_Electric Rev Req Model (2009 GRC)  2" xfId="4243" xr:uid="{00000000-0005-0000-0000-00008C100000}"/>
    <cellStyle name="_Portfolio SPlan Base Case.xls Chart 3_Electric Rev Req Model (2009 GRC)  2 2" xfId="4244" xr:uid="{00000000-0005-0000-0000-00008D100000}"/>
    <cellStyle name="_Portfolio SPlan Base Case.xls Chart 3_Electric Rev Req Model (2009 GRC)  3" xfId="4245" xr:uid="{00000000-0005-0000-0000-00008E100000}"/>
    <cellStyle name="_Portfolio SPlan Base Case.xls Chart 3_Electric Rev Req Model (2009 GRC)  4" xfId="4246" xr:uid="{00000000-0005-0000-0000-00008F100000}"/>
    <cellStyle name="_Portfolio SPlan Base Case.xls Chart 3_Electric Rev Req Model (2009 GRC) Rebuttal" xfId="4247" xr:uid="{00000000-0005-0000-0000-000090100000}"/>
    <cellStyle name="_Portfolio SPlan Base Case.xls Chart 3_Electric Rev Req Model (2009 GRC) Rebuttal 2" xfId="4248" xr:uid="{00000000-0005-0000-0000-000091100000}"/>
    <cellStyle name="_Portfolio SPlan Base Case.xls Chart 3_Electric Rev Req Model (2009 GRC) Rebuttal 2 2" xfId="4249" xr:uid="{00000000-0005-0000-0000-000092100000}"/>
    <cellStyle name="_Portfolio SPlan Base Case.xls Chart 3_Electric Rev Req Model (2009 GRC) Rebuttal 3" xfId="4250" xr:uid="{00000000-0005-0000-0000-000093100000}"/>
    <cellStyle name="_Portfolio SPlan Base Case.xls Chart 3_Electric Rev Req Model (2009 GRC) Rebuttal 4" xfId="4251" xr:uid="{00000000-0005-0000-0000-000094100000}"/>
    <cellStyle name="_Portfolio SPlan Base Case.xls Chart 3_Electric Rev Req Model (2009 GRC) Rebuttal REmoval of New  WH Solar AdjustMI" xfId="4252" xr:uid="{00000000-0005-0000-0000-000095100000}"/>
    <cellStyle name="_Portfolio SPlan Base Case.xls Chart 3_Electric Rev Req Model (2009 GRC) Rebuttal REmoval of New  WH Solar AdjustMI 2" xfId="4253" xr:uid="{00000000-0005-0000-0000-000096100000}"/>
    <cellStyle name="_Portfolio SPlan Base Case.xls Chart 3_Electric Rev Req Model (2009 GRC) Rebuttal REmoval of New  WH Solar AdjustMI 2 2" xfId="4254" xr:uid="{00000000-0005-0000-0000-000097100000}"/>
    <cellStyle name="_Portfolio SPlan Base Case.xls Chart 3_Electric Rev Req Model (2009 GRC) Rebuttal REmoval of New  WH Solar AdjustMI 3" xfId="4255" xr:uid="{00000000-0005-0000-0000-000098100000}"/>
    <cellStyle name="_Portfolio SPlan Base Case.xls Chart 3_Electric Rev Req Model (2009 GRC) Rebuttal REmoval of New  WH Solar AdjustMI 4" xfId="4256" xr:uid="{00000000-0005-0000-0000-000099100000}"/>
    <cellStyle name="_Portfolio SPlan Base Case.xls Chart 3_Electric Rev Req Model (2009 GRC) Revised 01-18-2010" xfId="4257" xr:uid="{00000000-0005-0000-0000-00009A100000}"/>
    <cellStyle name="_Portfolio SPlan Base Case.xls Chart 3_Electric Rev Req Model (2009 GRC) Revised 01-18-2010 2" xfId="4258" xr:uid="{00000000-0005-0000-0000-00009B100000}"/>
    <cellStyle name="_Portfolio SPlan Base Case.xls Chart 3_Electric Rev Req Model (2009 GRC) Revised 01-18-2010 2 2" xfId="4259" xr:uid="{00000000-0005-0000-0000-00009C100000}"/>
    <cellStyle name="_Portfolio SPlan Base Case.xls Chart 3_Electric Rev Req Model (2009 GRC) Revised 01-18-2010 3" xfId="4260" xr:uid="{00000000-0005-0000-0000-00009D100000}"/>
    <cellStyle name="_Portfolio SPlan Base Case.xls Chart 3_Electric Rev Req Model (2009 GRC) Revised 01-18-2010 4" xfId="4261" xr:uid="{00000000-0005-0000-0000-00009E100000}"/>
    <cellStyle name="_Portfolio SPlan Base Case.xls Chart 3_Electric Rev Req Model (2010 GRC)" xfId="4262" xr:uid="{00000000-0005-0000-0000-00009F100000}"/>
    <cellStyle name="_Portfolio SPlan Base Case.xls Chart 3_Electric Rev Req Model (2010 GRC) SF" xfId="4263" xr:uid="{00000000-0005-0000-0000-0000A0100000}"/>
    <cellStyle name="_Portfolio SPlan Base Case.xls Chart 3_Final Order Electric EXHIBIT A-1" xfId="4264" xr:uid="{00000000-0005-0000-0000-0000A1100000}"/>
    <cellStyle name="_Portfolio SPlan Base Case.xls Chart 3_Final Order Electric EXHIBIT A-1 2" xfId="4265" xr:uid="{00000000-0005-0000-0000-0000A2100000}"/>
    <cellStyle name="_Portfolio SPlan Base Case.xls Chart 3_Final Order Electric EXHIBIT A-1 2 2" xfId="4266" xr:uid="{00000000-0005-0000-0000-0000A3100000}"/>
    <cellStyle name="_Portfolio SPlan Base Case.xls Chart 3_Final Order Electric EXHIBIT A-1 3" xfId="4267" xr:uid="{00000000-0005-0000-0000-0000A4100000}"/>
    <cellStyle name="_Portfolio SPlan Base Case.xls Chart 3_Final Order Electric EXHIBIT A-1 4" xfId="4268" xr:uid="{00000000-0005-0000-0000-0000A5100000}"/>
    <cellStyle name="_Portfolio SPlan Base Case.xls Chart 3_NIM Summary" xfId="4269" xr:uid="{00000000-0005-0000-0000-0000A6100000}"/>
    <cellStyle name="_Portfolio SPlan Base Case.xls Chart 3_NIM Summary 2" xfId="4270" xr:uid="{00000000-0005-0000-0000-0000A7100000}"/>
    <cellStyle name="_Portfolio SPlan Base Case.xls Chart 3_Rebuttal Power Costs" xfId="4271" xr:uid="{00000000-0005-0000-0000-0000A8100000}"/>
    <cellStyle name="_Portfolio SPlan Base Case.xls Chart 3_Rebuttal Power Costs 2" xfId="4272" xr:uid="{00000000-0005-0000-0000-0000A9100000}"/>
    <cellStyle name="_Portfolio SPlan Base Case.xls Chart 3_Rebuttal Power Costs 2 2" xfId="4273" xr:uid="{00000000-0005-0000-0000-0000AA100000}"/>
    <cellStyle name="_Portfolio SPlan Base Case.xls Chart 3_Rebuttal Power Costs 3" xfId="4274" xr:uid="{00000000-0005-0000-0000-0000AB100000}"/>
    <cellStyle name="_Portfolio SPlan Base Case.xls Chart 3_Rebuttal Power Costs 4" xfId="4275" xr:uid="{00000000-0005-0000-0000-0000AC100000}"/>
    <cellStyle name="_Portfolio SPlan Base Case.xls Chart 3_Rebuttal Power Costs_Adj Bench DR 3 for Initial Briefs (Electric)" xfId="4276" xr:uid="{00000000-0005-0000-0000-0000AD100000}"/>
    <cellStyle name="_Portfolio SPlan Base Case.xls Chart 3_Rebuttal Power Costs_Adj Bench DR 3 for Initial Briefs (Electric) 2" xfId="4277" xr:uid="{00000000-0005-0000-0000-0000AE100000}"/>
    <cellStyle name="_Portfolio SPlan Base Case.xls Chart 3_Rebuttal Power Costs_Adj Bench DR 3 for Initial Briefs (Electric) 2 2" xfId="4278" xr:uid="{00000000-0005-0000-0000-0000AF100000}"/>
    <cellStyle name="_Portfolio SPlan Base Case.xls Chart 3_Rebuttal Power Costs_Adj Bench DR 3 for Initial Briefs (Electric) 3" xfId="4279" xr:uid="{00000000-0005-0000-0000-0000B0100000}"/>
    <cellStyle name="_Portfolio SPlan Base Case.xls Chart 3_Rebuttal Power Costs_Adj Bench DR 3 for Initial Briefs (Electric) 4" xfId="4280" xr:uid="{00000000-0005-0000-0000-0000B1100000}"/>
    <cellStyle name="_Portfolio SPlan Base Case.xls Chart 3_Rebuttal Power Costs_Electric Rev Req Model (2009 GRC) Rebuttal" xfId="4281" xr:uid="{00000000-0005-0000-0000-0000B2100000}"/>
    <cellStyle name="_Portfolio SPlan Base Case.xls Chart 3_Rebuttal Power Costs_Electric Rev Req Model (2009 GRC) Rebuttal 2" xfId="4282" xr:uid="{00000000-0005-0000-0000-0000B3100000}"/>
    <cellStyle name="_Portfolio SPlan Base Case.xls Chart 3_Rebuttal Power Costs_Electric Rev Req Model (2009 GRC) Rebuttal 2 2" xfId="4283" xr:uid="{00000000-0005-0000-0000-0000B4100000}"/>
    <cellStyle name="_Portfolio SPlan Base Case.xls Chart 3_Rebuttal Power Costs_Electric Rev Req Model (2009 GRC) Rebuttal 3" xfId="4284" xr:uid="{00000000-0005-0000-0000-0000B5100000}"/>
    <cellStyle name="_Portfolio SPlan Base Case.xls Chart 3_Rebuttal Power Costs_Electric Rev Req Model (2009 GRC) Rebuttal 4" xfId="4285" xr:uid="{00000000-0005-0000-0000-0000B6100000}"/>
    <cellStyle name="_Portfolio SPlan Base Case.xls Chart 3_Rebuttal Power Costs_Electric Rev Req Model (2009 GRC) Rebuttal REmoval of New  WH Solar AdjustMI" xfId="4286" xr:uid="{00000000-0005-0000-0000-0000B7100000}"/>
    <cellStyle name="_Portfolio SPlan Base Case.xls Chart 3_Rebuttal Power Costs_Electric Rev Req Model (2009 GRC) Rebuttal REmoval of New  WH Solar AdjustMI 2" xfId="4287" xr:uid="{00000000-0005-0000-0000-0000B8100000}"/>
    <cellStyle name="_Portfolio SPlan Base Case.xls Chart 3_Rebuttal Power Costs_Electric Rev Req Model (2009 GRC) Rebuttal REmoval of New  WH Solar AdjustMI 2 2" xfId="4288" xr:uid="{00000000-0005-0000-0000-0000B9100000}"/>
    <cellStyle name="_Portfolio SPlan Base Case.xls Chart 3_Rebuttal Power Costs_Electric Rev Req Model (2009 GRC) Rebuttal REmoval of New  WH Solar AdjustMI 3" xfId="4289" xr:uid="{00000000-0005-0000-0000-0000BA100000}"/>
    <cellStyle name="_Portfolio SPlan Base Case.xls Chart 3_Rebuttal Power Costs_Electric Rev Req Model (2009 GRC) Rebuttal REmoval of New  WH Solar AdjustMI 4" xfId="4290" xr:uid="{00000000-0005-0000-0000-0000BB100000}"/>
    <cellStyle name="_Portfolio SPlan Base Case.xls Chart 3_Rebuttal Power Costs_Electric Rev Req Model (2009 GRC) Revised 01-18-2010" xfId="4291" xr:uid="{00000000-0005-0000-0000-0000BC100000}"/>
    <cellStyle name="_Portfolio SPlan Base Case.xls Chart 3_Rebuttal Power Costs_Electric Rev Req Model (2009 GRC) Revised 01-18-2010 2" xfId="4292" xr:uid="{00000000-0005-0000-0000-0000BD100000}"/>
    <cellStyle name="_Portfolio SPlan Base Case.xls Chart 3_Rebuttal Power Costs_Electric Rev Req Model (2009 GRC) Revised 01-18-2010 2 2" xfId="4293" xr:uid="{00000000-0005-0000-0000-0000BE100000}"/>
    <cellStyle name="_Portfolio SPlan Base Case.xls Chart 3_Rebuttal Power Costs_Electric Rev Req Model (2009 GRC) Revised 01-18-2010 3" xfId="4294" xr:uid="{00000000-0005-0000-0000-0000BF100000}"/>
    <cellStyle name="_Portfolio SPlan Base Case.xls Chart 3_Rebuttal Power Costs_Electric Rev Req Model (2009 GRC) Revised 01-18-2010 4" xfId="4295" xr:uid="{00000000-0005-0000-0000-0000C0100000}"/>
    <cellStyle name="_Portfolio SPlan Base Case.xls Chart 3_Rebuttal Power Costs_Final Order Electric EXHIBIT A-1" xfId="4296" xr:uid="{00000000-0005-0000-0000-0000C1100000}"/>
    <cellStyle name="_Portfolio SPlan Base Case.xls Chart 3_Rebuttal Power Costs_Final Order Electric EXHIBIT A-1 2" xfId="4297" xr:uid="{00000000-0005-0000-0000-0000C2100000}"/>
    <cellStyle name="_Portfolio SPlan Base Case.xls Chart 3_Rebuttal Power Costs_Final Order Electric EXHIBIT A-1 2 2" xfId="4298" xr:uid="{00000000-0005-0000-0000-0000C3100000}"/>
    <cellStyle name="_Portfolio SPlan Base Case.xls Chart 3_Rebuttal Power Costs_Final Order Electric EXHIBIT A-1 3" xfId="4299" xr:uid="{00000000-0005-0000-0000-0000C4100000}"/>
    <cellStyle name="_Portfolio SPlan Base Case.xls Chart 3_Rebuttal Power Costs_Final Order Electric EXHIBIT A-1 4" xfId="4300" xr:uid="{00000000-0005-0000-0000-0000C5100000}"/>
    <cellStyle name="_Portfolio SPlan Base Case.xls Chart 3_TENASKA REGULATORY ASSET" xfId="4301" xr:uid="{00000000-0005-0000-0000-0000C6100000}"/>
    <cellStyle name="_Portfolio SPlan Base Case.xls Chart 3_TENASKA REGULATORY ASSET 2" xfId="4302" xr:uid="{00000000-0005-0000-0000-0000C7100000}"/>
    <cellStyle name="_Portfolio SPlan Base Case.xls Chart 3_TENASKA REGULATORY ASSET 2 2" xfId="4303" xr:uid="{00000000-0005-0000-0000-0000C8100000}"/>
    <cellStyle name="_Portfolio SPlan Base Case.xls Chart 3_TENASKA REGULATORY ASSET 3" xfId="4304" xr:uid="{00000000-0005-0000-0000-0000C9100000}"/>
    <cellStyle name="_Portfolio SPlan Base Case.xls Chart 3_TENASKA REGULATORY ASSET 4" xfId="4305" xr:uid="{00000000-0005-0000-0000-0000CA100000}"/>
    <cellStyle name="_Power Cost Value Copy 11.30.05 gas 1.09.06 AURORA at 1.10.06" xfId="4306" xr:uid="{00000000-0005-0000-0000-0000CB100000}"/>
    <cellStyle name="_Power Cost Value Copy 11.30.05 gas 1.09.06 AURORA at 1.10.06 2" xfId="4307" xr:uid="{00000000-0005-0000-0000-0000CC100000}"/>
    <cellStyle name="_Power Cost Value Copy 11.30.05 gas 1.09.06 AURORA at 1.10.06 2 2" xfId="4308" xr:uid="{00000000-0005-0000-0000-0000CD100000}"/>
    <cellStyle name="_Power Cost Value Copy 11.30.05 gas 1.09.06 AURORA at 1.10.06 2 2 2" xfId="4309" xr:uid="{00000000-0005-0000-0000-0000CE100000}"/>
    <cellStyle name="_Power Cost Value Copy 11.30.05 gas 1.09.06 AURORA at 1.10.06 2 3" xfId="4310" xr:uid="{00000000-0005-0000-0000-0000CF100000}"/>
    <cellStyle name="_Power Cost Value Copy 11.30.05 gas 1.09.06 AURORA at 1.10.06 3" xfId="4311" xr:uid="{00000000-0005-0000-0000-0000D0100000}"/>
    <cellStyle name="_Power Cost Value Copy 11.30.05 gas 1.09.06 AURORA at 1.10.06 3 2" xfId="4312" xr:uid="{00000000-0005-0000-0000-0000D1100000}"/>
    <cellStyle name="_Power Cost Value Copy 11.30.05 gas 1.09.06 AURORA at 1.10.06 4" xfId="4313" xr:uid="{00000000-0005-0000-0000-0000D2100000}"/>
    <cellStyle name="_Power Cost Value Copy 11.30.05 gas 1.09.06 AURORA at 1.10.06 4 2" xfId="4314" xr:uid="{00000000-0005-0000-0000-0000D3100000}"/>
    <cellStyle name="_Power Cost Value Copy 11.30.05 gas 1.09.06 AURORA at 1.10.06 5" xfId="4315" xr:uid="{00000000-0005-0000-0000-0000D4100000}"/>
    <cellStyle name="_Power Cost Value Copy 11.30.05 gas 1.09.06 AURORA at 1.10.06_04 07E Wild Horse Wind Expansion (C) (2)" xfId="4316" xr:uid="{00000000-0005-0000-0000-0000D5100000}"/>
    <cellStyle name="_Power Cost Value Copy 11.30.05 gas 1.09.06 AURORA at 1.10.06_04 07E Wild Horse Wind Expansion (C) (2) 2" xfId="4317" xr:uid="{00000000-0005-0000-0000-0000D6100000}"/>
    <cellStyle name="_Power Cost Value Copy 11.30.05 gas 1.09.06 AURORA at 1.10.06_04 07E Wild Horse Wind Expansion (C) (2) 2 2" xfId="4318" xr:uid="{00000000-0005-0000-0000-0000D7100000}"/>
    <cellStyle name="_Power Cost Value Copy 11.30.05 gas 1.09.06 AURORA at 1.10.06_04 07E Wild Horse Wind Expansion (C) (2) 3" xfId="4319" xr:uid="{00000000-0005-0000-0000-0000D8100000}"/>
    <cellStyle name="_Power Cost Value Copy 11.30.05 gas 1.09.06 AURORA at 1.10.06_04 07E Wild Horse Wind Expansion (C) (2) 4" xfId="4320" xr:uid="{00000000-0005-0000-0000-0000D9100000}"/>
    <cellStyle name="_Power Cost Value Copy 11.30.05 gas 1.09.06 AURORA at 1.10.06_04 07E Wild Horse Wind Expansion (C) (2)_Adj Bench DR 3 for Initial Briefs (Electric)" xfId="4321" xr:uid="{00000000-0005-0000-0000-0000DA100000}"/>
    <cellStyle name="_Power Cost Value Copy 11.30.05 gas 1.09.06 AURORA at 1.10.06_04 07E Wild Horse Wind Expansion (C) (2)_Adj Bench DR 3 for Initial Briefs (Electric) 2" xfId="4322" xr:uid="{00000000-0005-0000-0000-0000DB100000}"/>
    <cellStyle name="_Power Cost Value Copy 11.30.05 gas 1.09.06 AURORA at 1.10.06_04 07E Wild Horse Wind Expansion (C) (2)_Adj Bench DR 3 for Initial Briefs (Electric) 2 2" xfId="4323" xr:uid="{00000000-0005-0000-0000-0000DC100000}"/>
    <cellStyle name="_Power Cost Value Copy 11.30.05 gas 1.09.06 AURORA at 1.10.06_04 07E Wild Horse Wind Expansion (C) (2)_Adj Bench DR 3 for Initial Briefs (Electric) 3" xfId="4324" xr:uid="{00000000-0005-0000-0000-0000DD100000}"/>
    <cellStyle name="_Power Cost Value Copy 11.30.05 gas 1.09.06 AURORA at 1.10.06_04 07E Wild Horse Wind Expansion (C) (2)_Adj Bench DR 3 for Initial Briefs (Electric) 4" xfId="4325" xr:uid="{00000000-0005-0000-0000-0000DE100000}"/>
    <cellStyle name="_Power Cost Value Copy 11.30.05 gas 1.09.06 AURORA at 1.10.06_04 07E Wild Horse Wind Expansion (C) (2)_Book1" xfId="4326" xr:uid="{00000000-0005-0000-0000-0000DF100000}"/>
    <cellStyle name="_Power Cost Value Copy 11.30.05 gas 1.09.06 AURORA at 1.10.06_04 07E Wild Horse Wind Expansion (C) (2)_Electric Rev Req Model (2009 GRC) " xfId="4327" xr:uid="{00000000-0005-0000-0000-0000E0100000}"/>
    <cellStyle name="_Power Cost Value Copy 11.30.05 gas 1.09.06 AURORA at 1.10.06_04 07E Wild Horse Wind Expansion (C) (2)_Electric Rev Req Model (2009 GRC)  2" xfId="4328" xr:uid="{00000000-0005-0000-0000-0000E1100000}"/>
    <cellStyle name="_Power Cost Value Copy 11.30.05 gas 1.09.06 AURORA at 1.10.06_04 07E Wild Horse Wind Expansion (C) (2)_Electric Rev Req Model (2009 GRC)  2 2" xfId="4329" xr:uid="{00000000-0005-0000-0000-0000E2100000}"/>
    <cellStyle name="_Power Cost Value Copy 11.30.05 gas 1.09.06 AURORA at 1.10.06_04 07E Wild Horse Wind Expansion (C) (2)_Electric Rev Req Model (2009 GRC)  3" xfId="4330" xr:uid="{00000000-0005-0000-0000-0000E3100000}"/>
    <cellStyle name="_Power Cost Value Copy 11.30.05 gas 1.09.06 AURORA at 1.10.06_04 07E Wild Horse Wind Expansion (C) (2)_Electric Rev Req Model (2009 GRC)  4" xfId="4331" xr:uid="{00000000-0005-0000-0000-0000E4100000}"/>
    <cellStyle name="_Power Cost Value Copy 11.30.05 gas 1.09.06 AURORA at 1.10.06_04 07E Wild Horse Wind Expansion (C) (2)_Electric Rev Req Model (2009 GRC) Rebuttal" xfId="4332" xr:uid="{00000000-0005-0000-0000-0000E5100000}"/>
    <cellStyle name="_Power Cost Value Copy 11.30.05 gas 1.09.06 AURORA at 1.10.06_04 07E Wild Horse Wind Expansion (C) (2)_Electric Rev Req Model (2009 GRC) Rebuttal 2" xfId="4333" xr:uid="{00000000-0005-0000-0000-0000E6100000}"/>
    <cellStyle name="_Power Cost Value Copy 11.30.05 gas 1.09.06 AURORA at 1.10.06_04 07E Wild Horse Wind Expansion (C) (2)_Electric Rev Req Model (2009 GRC) Rebuttal 2 2" xfId="4334" xr:uid="{00000000-0005-0000-0000-0000E7100000}"/>
    <cellStyle name="_Power Cost Value Copy 11.30.05 gas 1.09.06 AURORA at 1.10.06_04 07E Wild Horse Wind Expansion (C) (2)_Electric Rev Req Model (2009 GRC) Rebuttal 3" xfId="4335" xr:uid="{00000000-0005-0000-0000-0000E8100000}"/>
    <cellStyle name="_Power Cost Value Copy 11.30.05 gas 1.09.06 AURORA at 1.10.06_04 07E Wild Horse Wind Expansion (C) (2)_Electric Rev Req Model (2009 GRC) Rebuttal 4" xfId="4336" xr:uid="{00000000-0005-0000-0000-0000E9100000}"/>
    <cellStyle name="_Power Cost Value Copy 11.30.05 gas 1.09.06 AURORA at 1.10.06_04 07E Wild Horse Wind Expansion (C) (2)_Electric Rev Req Model (2009 GRC) Rebuttal REmoval of New  WH Solar AdjustMI" xfId="4337" xr:uid="{00000000-0005-0000-0000-0000EA100000}"/>
    <cellStyle name="_Power Cost Value Copy 11.30.05 gas 1.09.06 AURORA at 1.10.06_04 07E Wild Horse Wind Expansion (C) (2)_Electric Rev Req Model (2009 GRC) Rebuttal REmoval of New  WH Solar AdjustMI 2" xfId="4338" xr:uid="{00000000-0005-0000-0000-0000EB100000}"/>
    <cellStyle name="_Power Cost Value Copy 11.30.05 gas 1.09.06 AURORA at 1.10.06_04 07E Wild Horse Wind Expansion (C) (2)_Electric Rev Req Model (2009 GRC) Rebuttal REmoval of New  WH Solar AdjustMI 2 2" xfId="4339" xr:uid="{00000000-0005-0000-0000-0000EC100000}"/>
    <cellStyle name="_Power Cost Value Copy 11.30.05 gas 1.09.06 AURORA at 1.10.06_04 07E Wild Horse Wind Expansion (C) (2)_Electric Rev Req Model (2009 GRC) Rebuttal REmoval of New  WH Solar AdjustMI 3" xfId="4340" xr:uid="{00000000-0005-0000-0000-0000ED100000}"/>
    <cellStyle name="_Power Cost Value Copy 11.30.05 gas 1.09.06 AURORA at 1.10.06_04 07E Wild Horse Wind Expansion (C) (2)_Electric Rev Req Model (2009 GRC) Rebuttal REmoval of New  WH Solar AdjustMI 4" xfId="4341" xr:uid="{00000000-0005-0000-0000-0000EE100000}"/>
    <cellStyle name="_Power Cost Value Copy 11.30.05 gas 1.09.06 AURORA at 1.10.06_04 07E Wild Horse Wind Expansion (C) (2)_Electric Rev Req Model (2009 GRC) Revised 01-18-2010" xfId="4342" xr:uid="{00000000-0005-0000-0000-0000EF100000}"/>
    <cellStyle name="_Power Cost Value Copy 11.30.05 gas 1.09.06 AURORA at 1.10.06_04 07E Wild Horse Wind Expansion (C) (2)_Electric Rev Req Model (2009 GRC) Revised 01-18-2010 2" xfId="4343" xr:uid="{00000000-0005-0000-0000-0000F0100000}"/>
    <cellStyle name="_Power Cost Value Copy 11.30.05 gas 1.09.06 AURORA at 1.10.06_04 07E Wild Horse Wind Expansion (C) (2)_Electric Rev Req Model (2009 GRC) Revised 01-18-2010 2 2" xfId="4344" xr:uid="{00000000-0005-0000-0000-0000F1100000}"/>
    <cellStyle name="_Power Cost Value Copy 11.30.05 gas 1.09.06 AURORA at 1.10.06_04 07E Wild Horse Wind Expansion (C) (2)_Electric Rev Req Model (2009 GRC) Revised 01-18-2010 3" xfId="4345" xr:uid="{00000000-0005-0000-0000-0000F2100000}"/>
    <cellStyle name="_Power Cost Value Copy 11.30.05 gas 1.09.06 AURORA at 1.10.06_04 07E Wild Horse Wind Expansion (C) (2)_Electric Rev Req Model (2009 GRC) Revised 01-18-2010 4" xfId="4346" xr:uid="{00000000-0005-0000-0000-0000F3100000}"/>
    <cellStyle name="_Power Cost Value Copy 11.30.05 gas 1.09.06 AURORA at 1.10.06_04 07E Wild Horse Wind Expansion (C) (2)_Electric Rev Req Model (2010 GRC)" xfId="4347" xr:uid="{00000000-0005-0000-0000-0000F4100000}"/>
    <cellStyle name="_Power Cost Value Copy 11.30.05 gas 1.09.06 AURORA at 1.10.06_04 07E Wild Horse Wind Expansion (C) (2)_Electric Rev Req Model (2010 GRC) SF" xfId="4348" xr:uid="{00000000-0005-0000-0000-0000F5100000}"/>
    <cellStyle name="_Power Cost Value Copy 11.30.05 gas 1.09.06 AURORA at 1.10.06_04 07E Wild Horse Wind Expansion (C) (2)_Final Order Electric EXHIBIT A-1" xfId="4349" xr:uid="{00000000-0005-0000-0000-0000F6100000}"/>
    <cellStyle name="_Power Cost Value Copy 11.30.05 gas 1.09.06 AURORA at 1.10.06_04 07E Wild Horse Wind Expansion (C) (2)_Final Order Electric EXHIBIT A-1 2" xfId="4350" xr:uid="{00000000-0005-0000-0000-0000F7100000}"/>
    <cellStyle name="_Power Cost Value Copy 11.30.05 gas 1.09.06 AURORA at 1.10.06_04 07E Wild Horse Wind Expansion (C) (2)_Final Order Electric EXHIBIT A-1 2 2" xfId="4351" xr:uid="{00000000-0005-0000-0000-0000F8100000}"/>
    <cellStyle name="_Power Cost Value Copy 11.30.05 gas 1.09.06 AURORA at 1.10.06_04 07E Wild Horse Wind Expansion (C) (2)_Final Order Electric EXHIBIT A-1 3" xfId="4352" xr:uid="{00000000-0005-0000-0000-0000F9100000}"/>
    <cellStyle name="_Power Cost Value Copy 11.30.05 gas 1.09.06 AURORA at 1.10.06_04 07E Wild Horse Wind Expansion (C) (2)_Final Order Electric EXHIBIT A-1 4" xfId="4353" xr:uid="{00000000-0005-0000-0000-0000FA100000}"/>
    <cellStyle name="_Power Cost Value Copy 11.30.05 gas 1.09.06 AURORA at 1.10.06_04 07E Wild Horse Wind Expansion (C) (2)_TENASKA REGULATORY ASSET" xfId="4354" xr:uid="{00000000-0005-0000-0000-0000FB100000}"/>
    <cellStyle name="_Power Cost Value Copy 11.30.05 gas 1.09.06 AURORA at 1.10.06_04 07E Wild Horse Wind Expansion (C) (2)_TENASKA REGULATORY ASSET 2" xfId="4355" xr:uid="{00000000-0005-0000-0000-0000FC100000}"/>
    <cellStyle name="_Power Cost Value Copy 11.30.05 gas 1.09.06 AURORA at 1.10.06_04 07E Wild Horse Wind Expansion (C) (2)_TENASKA REGULATORY ASSET 2 2" xfId="4356" xr:uid="{00000000-0005-0000-0000-0000FD100000}"/>
    <cellStyle name="_Power Cost Value Copy 11.30.05 gas 1.09.06 AURORA at 1.10.06_04 07E Wild Horse Wind Expansion (C) (2)_TENASKA REGULATORY ASSET 3" xfId="4357" xr:uid="{00000000-0005-0000-0000-0000FE100000}"/>
    <cellStyle name="_Power Cost Value Copy 11.30.05 gas 1.09.06 AURORA at 1.10.06_04 07E Wild Horse Wind Expansion (C) (2)_TENASKA REGULATORY ASSET 4" xfId="4358" xr:uid="{00000000-0005-0000-0000-0000FF100000}"/>
    <cellStyle name="_Power Cost Value Copy 11.30.05 gas 1.09.06 AURORA at 1.10.06_16.37E Wild Horse Expansion DeferralRevwrkingfile SF" xfId="4359" xr:uid="{00000000-0005-0000-0000-000000110000}"/>
    <cellStyle name="_Power Cost Value Copy 11.30.05 gas 1.09.06 AURORA at 1.10.06_16.37E Wild Horse Expansion DeferralRevwrkingfile SF 2" xfId="4360" xr:uid="{00000000-0005-0000-0000-000001110000}"/>
    <cellStyle name="_Power Cost Value Copy 11.30.05 gas 1.09.06 AURORA at 1.10.06_16.37E Wild Horse Expansion DeferralRevwrkingfile SF 2 2" xfId="4361" xr:uid="{00000000-0005-0000-0000-000002110000}"/>
    <cellStyle name="_Power Cost Value Copy 11.30.05 gas 1.09.06 AURORA at 1.10.06_16.37E Wild Horse Expansion DeferralRevwrkingfile SF 3" xfId="4362" xr:uid="{00000000-0005-0000-0000-000003110000}"/>
    <cellStyle name="_Power Cost Value Copy 11.30.05 gas 1.09.06 AURORA at 1.10.06_16.37E Wild Horse Expansion DeferralRevwrkingfile SF 4" xfId="4363" xr:uid="{00000000-0005-0000-0000-000004110000}"/>
    <cellStyle name="_Power Cost Value Copy 11.30.05 gas 1.09.06 AURORA at 1.10.06_2009 Compliance Filing PCA Exhibits for GRC" xfId="4364" xr:uid="{00000000-0005-0000-0000-000005110000}"/>
    <cellStyle name="_Power Cost Value Copy 11.30.05 gas 1.09.06 AURORA at 1.10.06_2009 Compliance Filing PCA Exhibits for GRC 2" xfId="4365" xr:uid="{00000000-0005-0000-0000-000006110000}"/>
    <cellStyle name="_Power Cost Value Copy 11.30.05 gas 1.09.06 AURORA at 1.10.06_2009 GRC Compl Filing - Exhibit D" xfId="4366" xr:uid="{00000000-0005-0000-0000-000007110000}"/>
    <cellStyle name="_Power Cost Value Copy 11.30.05 gas 1.09.06 AURORA at 1.10.06_2009 GRC Compl Filing - Exhibit D 2" xfId="4367" xr:uid="{00000000-0005-0000-0000-000008110000}"/>
    <cellStyle name="_Power Cost Value Copy 11.30.05 gas 1.09.06 AURORA at 1.10.06_3.01 Income Statement" xfId="4368" xr:uid="{00000000-0005-0000-0000-000009110000}"/>
    <cellStyle name="_Power Cost Value Copy 11.30.05 gas 1.09.06 AURORA at 1.10.06_4 31 Regulatory Assets and Liabilities  7 06- Exhibit D" xfId="4369" xr:uid="{00000000-0005-0000-0000-00000A110000}"/>
    <cellStyle name="_Power Cost Value Copy 11.30.05 gas 1.09.06 AURORA at 1.10.06_4 31 Regulatory Assets and Liabilities  7 06- Exhibit D 2" xfId="4370" xr:uid="{00000000-0005-0000-0000-00000B110000}"/>
    <cellStyle name="_Power Cost Value Copy 11.30.05 gas 1.09.06 AURORA at 1.10.06_4 31 Regulatory Assets and Liabilities  7 06- Exhibit D 2 2" xfId="4371" xr:uid="{00000000-0005-0000-0000-00000C110000}"/>
    <cellStyle name="_Power Cost Value Copy 11.30.05 gas 1.09.06 AURORA at 1.10.06_4 31 Regulatory Assets and Liabilities  7 06- Exhibit D 3" xfId="4372" xr:uid="{00000000-0005-0000-0000-00000D110000}"/>
    <cellStyle name="_Power Cost Value Copy 11.30.05 gas 1.09.06 AURORA at 1.10.06_4 31 Regulatory Assets and Liabilities  7 06- Exhibit D 4" xfId="4373" xr:uid="{00000000-0005-0000-0000-00000E110000}"/>
    <cellStyle name="_Power Cost Value Copy 11.30.05 gas 1.09.06 AURORA at 1.10.06_4 31 Regulatory Assets and Liabilities  7 06- Exhibit D_NIM Summary" xfId="4374" xr:uid="{00000000-0005-0000-0000-00000F110000}"/>
    <cellStyle name="_Power Cost Value Copy 11.30.05 gas 1.09.06 AURORA at 1.10.06_4 31 Regulatory Assets and Liabilities  7 06- Exhibit D_NIM Summary 2" xfId="4375" xr:uid="{00000000-0005-0000-0000-000010110000}"/>
    <cellStyle name="_Power Cost Value Copy 11.30.05 gas 1.09.06 AURORA at 1.10.06_4 32 Regulatory Assets and Liabilities  7 06- Exhibit D" xfId="4376" xr:uid="{00000000-0005-0000-0000-000011110000}"/>
    <cellStyle name="_Power Cost Value Copy 11.30.05 gas 1.09.06 AURORA at 1.10.06_4 32 Regulatory Assets and Liabilities  7 06- Exhibit D 2" xfId="4377" xr:uid="{00000000-0005-0000-0000-000012110000}"/>
    <cellStyle name="_Power Cost Value Copy 11.30.05 gas 1.09.06 AURORA at 1.10.06_4 32 Regulatory Assets and Liabilities  7 06- Exhibit D 2 2" xfId="4378" xr:uid="{00000000-0005-0000-0000-000013110000}"/>
    <cellStyle name="_Power Cost Value Copy 11.30.05 gas 1.09.06 AURORA at 1.10.06_4 32 Regulatory Assets and Liabilities  7 06- Exhibit D 3" xfId="4379" xr:uid="{00000000-0005-0000-0000-000014110000}"/>
    <cellStyle name="_Power Cost Value Copy 11.30.05 gas 1.09.06 AURORA at 1.10.06_4 32 Regulatory Assets and Liabilities  7 06- Exhibit D 4" xfId="4380" xr:uid="{00000000-0005-0000-0000-000015110000}"/>
    <cellStyle name="_Power Cost Value Copy 11.30.05 gas 1.09.06 AURORA at 1.10.06_4 32 Regulatory Assets and Liabilities  7 06- Exhibit D_NIM Summary" xfId="4381" xr:uid="{00000000-0005-0000-0000-000016110000}"/>
    <cellStyle name="_Power Cost Value Copy 11.30.05 gas 1.09.06 AURORA at 1.10.06_4 32 Regulatory Assets and Liabilities  7 06- Exhibit D_NIM Summary 2" xfId="4382" xr:uid="{00000000-0005-0000-0000-000017110000}"/>
    <cellStyle name="_Power Cost Value Copy 11.30.05 gas 1.09.06 AURORA at 1.10.06_ACCOUNTS" xfId="4383" xr:uid="{00000000-0005-0000-0000-000018110000}"/>
    <cellStyle name="_Power Cost Value Copy 11.30.05 gas 1.09.06 AURORA at 1.10.06_AURORA Total New" xfId="4384" xr:uid="{00000000-0005-0000-0000-000019110000}"/>
    <cellStyle name="_Power Cost Value Copy 11.30.05 gas 1.09.06 AURORA at 1.10.06_AURORA Total New 2" xfId="4385" xr:uid="{00000000-0005-0000-0000-00001A110000}"/>
    <cellStyle name="_Power Cost Value Copy 11.30.05 gas 1.09.06 AURORA at 1.10.06_Book2" xfId="4386" xr:uid="{00000000-0005-0000-0000-00001B110000}"/>
    <cellStyle name="_Power Cost Value Copy 11.30.05 gas 1.09.06 AURORA at 1.10.06_Book2 2" xfId="4387" xr:uid="{00000000-0005-0000-0000-00001C110000}"/>
    <cellStyle name="_Power Cost Value Copy 11.30.05 gas 1.09.06 AURORA at 1.10.06_Book2 2 2" xfId="4388" xr:uid="{00000000-0005-0000-0000-00001D110000}"/>
    <cellStyle name="_Power Cost Value Copy 11.30.05 gas 1.09.06 AURORA at 1.10.06_Book2 3" xfId="4389" xr:uid="{00000000-0005-0000-0000-00001E110000}"/>
    <cellStyle name="_Power Cost Value Copy 11.30.05 gas 1.09.06 AURORA at 1.10.06_Book2 4" xfId="4390" xr:uid="{00000000-0005-0000-0000-00001F110000}"/>
    <cellStyle name="_Power Cost Value Copy 11.30.05 gas 1.09.06 AURORA at 1.10.06_Book2_Adj Bench DR 3 for Initial Briefs (Electric)" xfId="4391" xr:uid="{00000000-0005-0000-0000-000020110000}"/>
    <cellStyle name="_Power Cost Value Copy 11.30.05 gas 1.09.06 AURORA at 1.10.06_Book2_Adj Bench DR 3 for Initial Briefs (Electric) 2" xfId="4392" xr:uid="{00000000-0005-0000-0000-000021110000}"/>
    <cellStyle name="_Power Cost Value Copy 11.30.05 gas 1.09.06 AURORA at 1.10.06_Book2_Adj Bench DR 3 for Initial Briefs (Electric) 2 2" xfId="4393" xr:uid="{00000000-0005-0000-0000-000022110000}"/>
    <cellStyle name="_Power Cost Value Copy 11.30.05 gas 1.09.06 AURORA at 1.10.06_Book2_Adj Bench DR 3 for Initial Briefs (Electric) 3" xfId="4394" xr:uid="{00000000-0005-0000-0000-000023110000}"/>
    <cellStyle name="_Power Cost Value Copy 11.30.05 gas 1.09.06 AURORA at 1.10.06_Book2_Adj Bench DR 3 for Initial Briefs (Electric) 4" xfId="4395" xr:uid="{00000000-0005-0000-0000-000024110000}"/>
    <cellStyle name="_Power Cost Value Copy 11.30.05 gas 1.09.06 AURORA at 1.10.06_Book2_Electric Rev Req Model (2009 GRC) Rebuttal" xfId="4396" xr:uid="{00000000-0005-0000-0000-000025110000}"/>
    <cellStyle name="_Power Cost Value Copy 11.30.05 gas 1.09.06 AURORA at 1.10.06_Book2_Electric Rev Req Model (2009 GRC) Rebuttal 2" xfId="4397" xr:uid="{00000000-0005-0000-0000-000026110000}"/>
    <cellStyle name="_Power Cost Value Copy 11.30.05 gas 1.09.06 AURORA at 1.10.06_Book2_Electric Rev Req Model (2009 GRC) Rebuttal 2 2" xfId="4398" xr:uid="{00000000-0005-0000-0000-000027110000}"/>
    <cellStyle name="_Power Cost Value Copy 11.30.05 gas 1.09.06 AURORA at 1.10.06_Book2_Electric Rev Req Model (2009 GRC) Rebuttal 3" xfId="4399" xr:uid="{00000000-0005-0000-0000-000028110000}"/>
    <cellStyle name="_Power Cost Value Copy 11.30.05 gas 1.09.06 AURORA at 1.10.06_Book2_Electric Rev Req Model (2009 GRC) Rebuttal 4" xfId="4400" xr:uid="{00000000-0005-0000-0000-000029110000}"/>
    <cellStyle name="_Power Cost Value Copy 11.30.05 gas 1.09.06 AURORA at 1.10.06_Book2_Electric Rev Req Model (2009 GRC) Rebuttal REmoval of New  WH Solar AdjustMI" xfId="4401" xr:uid="{00000000-0005-0000-0000-00002A110000}"/>
    <cellStyle name="_Power Cost Value Copy 11.30.05 gas 1.09.06 AURORA at 1.10.06_Book2_Electric Rev Req Model (2009 GRC) Rebuttal REmoval of New  WH Solar AdjustMI 2" xfId="4402" xr:uid="{00000000-0005-0000-0000-00002B110000}"/>
    <cellStyle name="_Power Cost Value Copy 11.30.05 gas 1.09.06 AURORA at 1.10.06_Book2_Electric Rev Req Model (2009 GRC) Rebuttal REmoval of New  WH Solar AdjustMI 2 2" xfId="4403" xr:uid="{00000000-0005-0000-0000-00002C110000}"/>
    <cellStyle name="_Power Cost Value Copy 11.30.05 gas 1.09.06 AURORA at 1.10.06_Book2_Electric Rev Req Model (2009 GRC) Rebuttal REmoval of New  WH Solar AdjustMI 3" xfId="4404" xr:uid="{00000000-0005-0000-0000-00002D110000}"/>
    <cellStyle name="_Power Cost Value Copy 11.30.05 gas 1.09.06 AURORA at 1.10.06_Book2_Electric Rev Req Model (2009 GRC) Rebuttal REmoval of New  WH Solar AdjustMI 4" xfId="4405" xr:uid="{00000000-0005-0000-0000-00002E110000}"/>
    <cellStyle name="_Power Cost Value Copy 11.30.05 gas 1.09.06 AURORA at 1.10.06_Book2_Electric Rev Req Model (2009 GRC) Revised 01-18-2010" xfId="4406" xr:uid="{00000000-0005-0000-0000-00002F110000}"/>
    <cellStyle name="_Power Cost Value Copy 11.30.05 gas 1.09.06 AURORA at 1.10.06_Book2_Electric Rev Req Model (2009 GRC) Revised 01-18-2010 2" xfId="4407" xr:uid="{00000000-0005-0000-0000-000030110000}"/>
    <cellStyle name="_Power Cost Value Copy 11.30.05 gas 1.09.06 AURORA at 1.10.06_Book2_Electric Rev Req Model (2009 GRC) Revised 01-18-2010 2 2" xfId="4408" xr:uid="{00000000-0005-0000-0000-000031110000}"/>
    <cellStyle name="_Power Cost Value Copy 11.30.05 gas 1.09.06 AURORA at 1.10.06_Book2_Electric Rev Req Model (2009 GRC) Revised 01-18-2010 3" xfId="4409" xr:uid="{00000000-0005-0000-0000-000032110000}"/>
    <cellStyle name="_Power Cost Value Copy 11.30.05 gas 1.09.06 AURORA at 1.10.06_Book2_Electric Rev Req Model (2009 GRC) Revised 01-18-2010 4" xfId="4410" xr:uid="{00000000-0005-0000-0000-000033110000}"/>
    <cellStyle name="_Power Cost Value Copy 11.30.05 gas 1.09.06 AURORA at 1.10.06_Book2_Final Order Electric EXHIBIT A-1" xfId="4411" xr:uid="{00000000-0005-0000-0000-000034110000}"/>
    <cellStyle name="_Power Cost Value Copy 11.30.05 gas 1.09.06 AURORA at 1.10.06_Book2_Final Order Electric EXHIBIT A-1 2" xfId="4412" xr:uid="{00000000-0005-0000-0000-000035110000}"/>
    <cellStyle name="_Power Cost Value Copy 11.30.05 gas 1.09.06 AURORA at 1.10.06_Book2_Final Order Electric EXHIBIT A-1 2 2" xfId="4413" xr:uid="{00000000-0005-0000-0000-000036110000}"/>
    <cellStyle name="_Power Cost Value Copy 11.30.05 gas 1.09.06 AURORA at 1.10.06_Book2_Final Order Electric EXHIBIT A-1 3" xfId="4414" xr:uid="{00000000-0005-0000-0000-000037110000}"/>
    <cellStyle name="_Power Cost Value Copy 11.30.05 gas 1.09.06 AURORA at 1.10.06_Book2_Final Order Electric EXHIBIT A-1 4" xfId="4415" xr:uid="{00000000-0005-0000-0000-000038110000}"/>
    <cellStyle name="_Power Cost Value Copy 11.30.05 gas 1.09.06 AURORA at 1.10.06_Book4" xfId="4416" xr:uid="{00000000-0005-0000-0000-000039110000}"/>
    <cellStyle name="_Power Cost Value Copy 11.30.05 gas 1.09.06 AURORA at 1.10.06_Book4 2" xfId="4417" xr:uid="{00000000-0005-0000-0000-00003A110000}"/>
    <cellStyle name="_Power Cost Value Copy 11.30.05 gas 1.09.06 AURORA at 1.10.06_Book4 2 2" xfId="4418" xr:uid="{00000000-0005-0000-0000-00003B110000}"/>
    <cellStyle name="_Power Cost Value Copy 11.30.05 gas 1.09.06 AURORA at 1.10.06_Book4 3" xfId="4419" xr:uid="{00000000-0005-0000-0000-00003C110000}"/>
    <cellStyle name="_Power Cost Value Copy 11.30.05 gas 1.09.06 AURORA at 1.10.06_Book4 4" xfId="4420" xr:uid="{00000000-0005-0000-0000-00003D110000}"/>
    <cellStyle name="_Power Cost Value Copy 11.30.05 gas 1.09.06 AURORA at 1.10.06_Book9" xfId="4421" xr:uid="{00000000-0005-0000-0000-00003E110000}"/>
    <cellStyle name="_Power Cost Value Copy 11.30.05 gas 1.09.06 AURORA at 1.10.06_Book9 2" xfId="4422" xr:uid="{00000000-0005-0000-0000-00003F110000}"/>
    <cellStyle name="_Power Cost Value Copy 11.30.05 gas 1.09.06 AURORA at 1.10.06_Book9 2 2" xfId="4423" xr:uid="{00000000-0005-0000-0000-000040110000}"/>
    <cellStyle name="_Power Cost Value Copy 11.30.05 gas 1.09.06 AURORA at 1.10.06_Book9 3" xfId="4424" xr:uid="{00000000-0005-0000-0000-000041110000}"/>
    <cellStyle name="_Power Cost Value Copy 11.30.05 gas 1.09.06 AURORA at 1.10.06_Book9 4" xfId="4425" xr:uid="{00000000-0005-0000-0000-000042110000}"/>
    <cellStyle name="_Power Cost Value Copy 11.30.05 gas 1.09.06 AURORA at 1.10.06_Check the Interest Calculation" xfId="4426" xr:uid="{00000000-0005-0000-0000-000043110000}"/>
    <cellStyle name="_Power Cost Value Copy 11.30.05 gas 1.09.06 AURORA at 1.10.06_Check the Interest Calculation_Scenario 1 REC vs PTC Offset" xfId="4427" xr:uid="{00000000-0005-0000-0000-000044110000}"/>
    <cellStyle name="_Power Cost Value Copy 11.30.05 gas 1.09.06 AURORA at 1.10.06_Check the Interest Calculation_Scenario 3" xfId="4428" xr:uid="{00000000-0005-0000-0000-000045110000}"/>
    <cellStyle name="_Power Cost Value Copy 11.30.05 gas 1.09.06 AURORA at 1.10.06_Chelan PUD Power Costs (8-10)" xfId="4429" xr:uid="{00000000-0005-0000-0000-000046110000}"/>
    <cellStyle name="_Power Cost Value Copy 11.30.05 gas 1.09.06 AURORA at 1.10.06_Direct Assignment Distribution Plant 2008" xfId="4430" xr:uid="{00000000-0005-0000-0000-000047110000}"/>
    <cellStyle name="_Power Cost Value Copy 11.30.05 gas 1.09.06 AURORA at 1.10.06_Direct Assignment Distribution Plant 2008 2" xfId="4431" xr:uid="{00000000-0005-0000-0000-000048110000}"/>
    <cellStyle name="_Power Cost Value Copy 11.30.05 gas 1.09.06 AURORA at 1.10.06_Direct Assignment Distribution Plant 2008 2 2" xfId="4432" xr:uid="{00000000-0005-0000-0000-000049110000}"/>
    <cellStyle name="_Power Cost Value Copy 11.30.05 gas 1.09.06 AURORA at 1.10.06_Direct Assignment Distribution Plant 2008 2 2 2" xfId="4433" xr:uid="{00000000-0005-0000-0000-00004A110000}"/>
    <cellStyle name="_Power Cost Value Copy 11.30.05 gas 1.09.06 AURORA at 1.10.06_Direct Assignment Distribution Plant 2008 2 3" xfId="4434" xr:uid="{00000000-0005-0000-0000-00004B110000}"/>
    <cellStyle name="_Power Cost Value Copy 11.30.05 gas 1.09.06 AURORA at 1.10.06_Direct Assignment Distribution Plant 2008 2 3 2" xfId="4435" xr:uid="{00000000-0005-0000-0000-00004C110000}"/>
    <cellStyle name="_Power Cost Value Copy 11.30.05 gas 1.09.06 AURORA at 1.10.06_Direct Assignment Distribution Plant 2008 2 4" xfId="4436" xr:uid="{00000000-0005-0000-0000-00004D110000}"/>
    <cellStyle name="_Power Cost Value Copy 11.30.05 gas 1.09.06 AURORA at 1.10.06_Direct Assignment Distribution Plant 2008 2 4 2" xfId="4437" xr:uid="{00000000-0005-0000-0000-00004E110000}"/>
    <cellStyle name="_Power Cost Value Copy 11.30.05 gas 1.09.06 AURORA at 1.10.06_Direct Assignment Distribution Plant 2008 3" xfId="4438" xr:uid="{00000000-0005-0000-0000-00004F110000}"/>
    <cellStyle name="_Power Cost Value Copy 11.30.05 gas 1.09.06 AURORA at 1.10.06_Direct Assignment Distribution Plant 2008 3 2" xfId="4439" xr:uid="{00000000-0005-0000-0000-000050110000}"/>
    <cellStyle name="_Power Cost Value Copy 11.30.05 gas 1.09.06 AURORA at 1.10.06_Direct Assignment Distribution Plant 2008 4" xfId="4440" xr:uid="{00000000-0005-0000-0000-000051110000}"/>
    <cellStyle name="_Power Cost Value Copy 11.30.05 gas 1.09.06 AURORA at 1.10.06_Direct Assignment Distribution Plant 2008 4 2" xfId="4441" xr:uid="{00000000-0005-0000-0000-000052110000}"/>
    <cellStyle name="_Power Cost Value Copy 11.30.05 gas 1.09.06 AURORA at 1.10.06_Direct Assignment Distribution Plant 2008 5" xfId="4442" xr:uid="{00000000-0005-0000-0000-000053110000}"/>
    <cellStyle name="_Power Cost Value Copy 11.30.05 gas 1.09.06 AURORA at 1.10.06_Direct Assignment Distribution Plant 2008 6" xfId="4443" xr:uid="{00000000-0005-0000-0000-000054110000}"/>
    <cellStyle name="_Power Cost Value Copy 11.30.05 gas 1.09.06 AURORA at 1.10.06_Electric COS Inputs" xfId="4444" xr:uid="{00000000-0005-0000-0000-000055110000}"/>
    <cellStyle name="_Power Cost Value Copy 11.30.05 gas 1.09.06 AURORA at 1.10.06_Electric COS Inputs 2" xfId="4445" xr:uid="{00000000-0005-0000-0000-000056110000}"/>
    <cellStyle name="_Power Cost Value Copy 11.30.05 gas 1.09.06 AURORA at 1.10.06_Electric COS Inputs 2 2" xfId="4446" xr:uid="{00000000-0005-0000-0000-000057110000}"/>
    <cellStyle name="_Power Cost Value Copy 11.30.05 gas 1.09.06 AURORA at 1.10.06_Electric COS Inputs 2 2 2" xfId="4447" xr:uid="{00000000-0005-0000-0000-000058110000}"/>
    <cellStyle name="_Power Cost Value Copy 11.30.05 gas 1.09.06 AURORA at 1.10.06_Electric COS Inputs 2 3" xfId="4448" xr:uid="{00000000-0005-0000-0000-000059110000}"/>
    <cellStyle name="_Power Cost Value Copy 11.30.05 gas 1.09.06 AURORA at 1.10.06_Electric COS Inputs 2 3 2" xfId="4449" xr:uid="{00000000-0005-0000-0000-00005A110000}"/>
    <cellStyle name="_Power Cost Value Copy 11.30.05 gas 1.09.06 AURORA at 1.10.06_Electric COS Inputs 2 4" xfId="4450" xr:uid="{00000000-0005-0000-0000-00005B110000}"/>
    <cellStyle name="_Power Cost Value Copy 11.30.05 gas 1.09.06 AURORA at 1.10.06_Electric COS Inputs 2 4 2" xfId="4451" xr:uid="{00000000-0005-0000-0000-00005C110000}"/>
    <cellStyle name="_Power Cost Value Copy 11.30.05 gas 1.09.06 AURORA at 1.10.06_Electric COS Inputs 3" xfId="4452" xr:uid="{00000000-0005-0000-0000-00005D110000}"/>
    <cellStyle name="_Power Cost Value Copy 11.30.05 gas 1.09.06 AURORA at 1.10.06_Electric COS Inputs 3 2" xfId="4453" xr:uid="{00000000-0005-0000-0000-00005E110000}"/>
    <cellStyle name="_Power Cost Value Copy 11.30.05 gas 1.09.06 AURORA at 1.10.06_Electric COS Inputs 4" xfId="4454" xr:uid="{00000000-0005-0000-0000-00005F110000}"/>
    <cellStyle name="_Power Cost Value Copy 11.30.05 gas 1.09.06 AURORA at 1.10.06_Electric COS Inputs 4 2" xfId="4455" xr:uid="{00000000-0005-0000-0000-000060110000}"/>
    <cellStyle name="_Power Cost Value Copy 11.30.05 gas 1.09.06 AURORA at 1.10.06_Electric COS Inputs 5" xfId="4456" xr:uid="{00000000-0005-0000-0000-000061110000}"/>
    <cellStyle name="_Power Cost Value Copy 11.30.05 gas 1.09.06 AURORA at 1.10.06_Electric COS Inputs 6" xfId="4457" xr:uid="{00000000-0005-0000-0000-000062110000}"/>
    <cellStyle name="_Power Cost Value Copy 11.30.05 gas 1.09.06 AURORA at 1.10.06_Electric Rate Spread and Rate Design 3.23.09" xfId="4458" xr:uid="{00000000-0005-0000-0000-000063110000}"/>
    <cellStyle name="_Power Cost Value Copy 11.30.05 gas 1.09.06 AURORA at 1.10.06_Electric Rate Spread and Rate Design 3.23.09 2" xfId="4459" xr:uid="{00000000-0005-0000-0000-000064110000}"/>
    <cellStyle name="_Power Cost Value Copy 11.30.05 gas 1.09.06 AURORA at 1.10.06_Electric Rate Spread and Rate Design 3.23.09 2 2" xfId="4460" xr:uid="{00000000-0005-0000-0000-000065110000}"/>
    <cellStyle name="_Power Cost Value Copy 11.30.05 gas 1.09.06 AURORA at 1.10.06_Electric Rate Spread and Rate Design 3.23.09 2 2 2" xfId="4461" xr:uid="{00000000-0005-0000-0000-000066110000}"/>
    <cellStyle name="_Power Cost Value Copy 11.30.05 gas 1.09.06 AURORA at 1.10.06_Electric Rate Spread and Rate Design 3.23.09 2 3" xfId="4462" xr:uid="{00000000-0005-0000-0000-000067110000}"/>
    <cellStyle name="_Power Cost Value Copy 11.30.05 gas 1.09.06 AURORA at 1.10.06_Electric Rate Spread and Rate Design 3.23.09 2 3 2" xfId="4463" xr:uid="{00000000-0005-0000-0000-000068110000}"/>
    <cellStyle name="_Power Cost Value Copy 11.30.05 gas 1.09.06 AURORA at 1.10.06_Electric Rate Spread and Rate Design 3.23.09 2 4" xfId="4464" xr:uid="{00000000-0005-0000-0000-000069110000}"/>
    <cellStyle name="_Power Cost Value Copy 11.30.05 gas 1.09.06 AURORA at 1.10.06_Electric Rate Spread and Rate Design 3.23.09 2 4 2" xfId="4465" xr:uid="{00000000-0005-0000-0000-00006A110000}"/>
    <cellStyle name="_Power Cost Value Copy 11.30.05 gas 1.09.06 AURORA at 1.10.06_Electric Rate Spread and Rate Design 3.23.09 3" xfId="4466" xr:uid="{00000000-0005-0000-0000-00006B110000}"/>
    <cellStyle name="_Power Cost Value Copy 11.30.05 gas 1.09.06 AURORA at 1.10.06_Electric Rate Spread and Rate Design 3.23.09 3 2" xfId="4467" xr:uid="{00000000-0005-0000-0000-00006C110000}"/>
    <cellStyle name="_Power Cost Value Copy 11.30.05 gas 1.09.06 AURORA at 1.10.06_Electric Rate Spread and Rate Design 3.23.09 4" xfId="4468" xr:uid="{00000000-0005-0000-0000-00006D110000}"/>
    <cellStyle name="_Power Cost Value Copy 11.30.05 gas 1.09.06 AURORA at 1.10.06_Electric Rate Spread and Rate Design 3.23.09 4 2" xfId="4469" xr:uid="{00000000-0005-0000-0000-00006E110000}"/>
    <cellStyle name="_Power Cost Value Copy 11.30.05 gas 1.09.06 AURORA at 1.10.06_Electric Rate Spread and Rate Design 3.23.09 5" xfId="4470" xr:uid="{00000000-0005-0000-0000-00006F110000}"/>
    <cellStyle name="_Power Cost Value Copy 11.30.05 gas 1.09.06 AURORA at 1.10.06_Electric Rate Spread and Rate Design 3.23.09 6" xfId="4471" xr:uid="{00000000-0005-0000-0000-000070110000}"/>
    <cellStyle name="_Power Cost Value Copy 11.30.05 gas 1.09.06 AURORA at 1.10.06_Exhibit D fr R Gho 12-31-08" xfId="4472" xr:uid="{00000000-0005-0000-0000-000071110000}"/>
    <cellStyle name="_Power Cost Value Copy 11.30.05 gas 1.09.06 AURORA at 1.10.06_Exhibit D fr R Gho 12-31-08 2" xfId="4473" xr:uid="{00000000-0005-0000-0000-000072110000}"/>
    <cellStyle name="_Power Cost Value Copy 11.30.05 gas 1.09.06 AURORA at 1.10.06_Exhibit D fr R Gho 12-31-08 3" xfId="4474" xr:uid="{00000000-0005-0000-0000-000073110000}"/>
    <cellStyle name="_Power Cost Value Copy 11.30.05 gas 1.09.06 AURORA at 1.10.06_Exhibit D fr R Gho 12-31-08 v2" xfId="4475" xr:uid="{00000000-0005-0000-0000-000074110000}"/>
    <cellStyle name="_Power Cost Value Copy 11.30.05 gas 1.09.06 AURORA at 1.10.06_Exhibit D fr R Gho 12-31-08 v2 2" xfId="4476" xr:uid="{00000000-0005-0000-0000-000075110000}"/>
    <cellStyle name="_Power Cost Value Copy 11.30.05 gas 1.09.06 AURORA at 1.10.06_Exhibit D fr R Gho 12-31-08 v2 3" xfId="4477" xr:uid="{00000000-0005-0000-0000-000076110000}"/>
    <cellStyle name="_Power Cost Value Copy 11.30.05 gas 1.09.06 AURORA at 1.10.06_Exhibit D fr R Gho 12-31-08 v2_NIM Summary" xfId="4478" xr:uid="{00000000-0005-0000-0000-000077110000}"/>
    <cellStyle name="_Power Cost Value Copy 11.30.05 gas 1.09.06 AURORA at 1.10.06_Exhibit D fr R Gho 12-31-08 v2_NIM Summary 2" xfId="4479" xr:uid="{00000000-0005-0000-0000-000078110000}"/>
    <cellStyle name="_Power Cost Value Copy 11.30.05 gas 1.09.06 AURORA at 1.10.06_Exhibit D fr R Gho 12-31-08_NIM Summary" xfId="4480" xr:uid="{00000000-0005-0000-0000-000079110000}"/>
    <cellStyle name="_Power Cost Value Copy 11.30.05 gas 1.09.06 AURORA at 1.10.06_Exhibit D fr R Gho 12-31-08_NIM Summary 2" xfId="4481" xr:uid="{00000000-0005-0000-0000-00007A110000}"/>
    <cellStyle name="_Power Cost Value Copy 11.30.05 gas 1.09.06 AURORA at 1.10.06_Gas Rev Req Model (2010 GRC)" xfId="4482" xr:uid="{00000000-0005-0000-0000-00007B110000}"/>
    <cellStyle name="_Power Cost Value Copy 11.30.05 gas 1.09.06 AURORA at 1.10.06_Hopkins Ridge Prepaid Tran - Interest Earned RY 12ME Feb  '11" xfId="4483" xr:uid="{00000000-0005-0000-0000-00007C110000}"/>
    <cellStyle name="_Power Cost Value Copy 11.30.05 gas 1.09.06 AURORA at 1.10.06_Hopkins Ridge Prepaid Tran - Interest Earned RY 12ME Feb  '11 2" xfId="4484" xr:uid="{00000000-0005-0000-0000-00007D110000}"/>
    <cellStyle name="_Power Cost Value Copy 11.30.05 gas 1.09.06 AURORA at 1.10.06_Hopkins Ridge Prepaid Tran - Interest Earned RY 12ME Feb  '11_NIM Summary" xfId="4485" xr:uid="{00000000-0005-0000-0000-00007E110000}"/>
    <cellStyle name="_Power Cost Value Copy 11.30.05 gas 1.09.06 AURORA at 1.10.06_Hopkins Ridge Prepaid Tran - Interest Earned RY 12ME Feb  '11_NIM Summary 2" xfId="4486" xr:uid="{00000000-0005-0000-0000-00007F110000}"/>
    <cellStyle name="_Power Cost Value Copy 11.30.05 gas 1.09.06 AURORA at 1.10.06_Hopkins Ridge Prepaid Tran - Interest Earned RY 12ME Feb  '11_Transmission Workbook for May BOD" xfId="4487" xr:uid="{00000000-0005-0000-0000-000080110000}"/>
    <cellStyle name="_Power Cost Value Copy 11.30.05 gas 1.09.06 AURORA at 1.10.06_Hopkins Ridge Prepaid Tran - Interest Earned RY 12ME Feb  '11_Transmission Workbook for May BOD 2" xfId="4488" xr:uid="{00000000-0005-0000-0000-000081110000}"/>
    <cellStyle name="_Power Cost Value Copy 11.30.05 gas 1.09.06 AURORA at 1.10.06_INPUTS" xfId="4489" xr:uid="{00000000-0005-0000-0000-000082110000}"/>
    <cellStyle name="_Power Cost Value Copy 11.30.05 gas 1.09.06 AURORA at 1.10.06_INPUTS 2" xfId="4490" xr:uid="{00000000-0005-0000-0000-000083110000}"/>
    <cellStyle name="_Power Cost Value Copy 11.30.05 gas 1.09.06 AURORA at 1.10.06_INPUTS 2 2" xfId="4491" xr:uid="{00000000-0005-0000-0000-000084110000}"/>
    <cellStyle name="_Power Cost Value Copy 11.30.05 gas 1.09.06 AURORA at 1.10.06_INPUTS 2 2 2" xfId="4492" xr:uid="{00000000-0005-0000-0000-000085110000}"/>
    <cellStyle name="_Power Cost Value Copy 11.30.05 gas 1.09.06 AURORA at 1.10.06_INPUTS 2 3" xfId="4493" xr:uid="{00000000-0005-0000-0000-000086110000}"/>
    <cellStyle name="_Power Cost Value Copy 11.30.05 gas 1.09.06 AURORA at 1.10.06_INPUTS 2 3 2" xfId="4494" xr:uid="{00000000-0005-0000-0000-000087110000}"/>
    <cellStyle name="_Power Cost Value Copy 11.30.05 gas 1.09.06 AURORA at 1.10.06_INPUTS 2 4" xfId="4495" xr:uid="{00000000-0005-0000-0000-000088110000}"/>
    <cellStyle name="_Power Cost Value Copy 11.30.05 gas 1.09.06 AURORA at 1.10.06_INPUTS 2 4 2" xfId="4496" xr:uid="{00000000-0005-0000-0000-000089110000}"/>
    <cellStyle name="_Power Cost Value Copy 11.30.05 gas 1.09.06 AURORA at 1.10.06_INPUTS 3" xfId="4497" xr:uid="{00000000-0005-0000-0000-00008A110000}"/>
    <cellStyle name="_Power Cost Value Copy 11.30.05 gas 1.09.06 AURORA at 1.10.06_INPUTS 3 2" xfId="4498" xr:uid="{00000000-0005-0000-0000-00008B110000}"/>
    <cellStyle name="_Power Cost Value Copy 11.30.05 gas 1.09.06 AURORA at 1.10.06_INPUTS 4" xfId="4499" xr:uid="{00000000-0005-0000-0000-00008C110000}"/>
    <cellStyle name="_Power Cost Value Copy 11.30.05 gas 1.09.06 AURORA at 1.10.06_INPUTS 4 2" xfId="4500" xr:uid="{00000000-0005-0000-0000-00008D110000}"/>
    <cellStyle name="_Power Cost Value Copy 11.30.05 gas 1.09.06 AURORA at 1.10.06_INPUTS 5" xfId="4501" xr:uid="{00000000-0005-0000-0000-00008E110000}"/>
    <cellStyle name="_Power Cost Value Copy 11.30.05 gas 1.09.06 AURORA at 1.10.06_INPUTS 6" xfId="4502" xr:uid="{00000000-0005-0000-0000-00008F110000}"/>
    <cellStyle name="_Power Cost Value Copy 11.30.05 gas 1.09.06 AURORA at 1.10.06_Leased Transformer &amp; Substation Plant &amp; Rev 12-2009" xfId="4503" xr:uid="{00000000-0005-0000-0000-000090110000}"/>
    <cellStyle name="_Power Cost Value Copy 11.30.05 gas 1.09.06 AURORA at 1.10.06_Leased Transformer &amp; Substation Plant &amp; Rev 12-2009 2" xfId="4504" xr:uid="{00000000-0005-0000-0000-000091110000}"/>
    <cellStyle name="_Power Cost Value Copy 11.30.05 gas 1.09.06 AURORA at 1.10.06_Leased Transformer &amp; Substation Plant &amp; Rev 12-2009 2 2" xfId="4505" xr:uid="{00000000-0005-0000-0000-000092110000}"/>
    <cellStyle name="_Power Cost Value Copy 11.30.05 gas 1.09.06 AURORA at 1.10.06_Leased Transformer &amp; Substation Plant &amp; Rev 12-2009 2 2 2" xfId="4506" xr:uid="{00000000-0005-0000-0000-000093110000}"/>
    <cellStyle name="_Power Cost Value Copy 11.30.05 gas 1.09.06 AURORA at 1.10.06_Leased Transformer &amp; Substation Plant &amp; Rev 12-2009 2 3" xfId="4507" xr:uid="{00000000-0005-0000-0000-000094110000}"/>
    <cellStyle name="_Power Cost Value Copy 11.30.05 gas 1.09.06 AURORA at 1.10.06_Leased Transformer &amp; Substation Plant &amp; Rev 12-2009 2 3 2" xfId="4508" xr:uid="{00000000-0005-0000-0000-000095110000}"/>
    <cellStyle name="_Power Cost Value Copy 11.30.05 gas 1.09.06 AURORA at 1.10.06_Leased Transformer &amp; Substation Plant &amp; Rev 12-2009 2 4" xfId="4509" xr:uid="{00000000-0005-0000-0000-000096110000}"/>
    <cellStyle name="_Power Cost Value Copy 11.30.05 gas 1.09.06 AURORA at 1.10.06_Leased Transformer &amp; Substation Plant &amp; Rev 12-2009 2 4 2" xfId="4510" xr:uid="{00000000-0005-0000-0000-000097110000}"/>
    <cellStyle name="_Power Cost Value Copy 11.30.05 gas 1.09.06 AURORA at 1.10.06_Leased Transformer &amp; Substation Plant &amp; Rev 12-2009 3" xfId="4511" xr:uid="{00000000-0005-0000-0000-000098110000}"/>
    <cellStyle name="_Power Cost Value Copy 11.30.05 gas 1.09.06 AURORA at 1.10.06_Leased Transformer &amp; Substation Plant &amp; Rev 12-2009 3 2" xfId="4512" xr:uid="{00000000-0005-0000-0000-000099110000}"/>
    <cellStyle name="_Power Cost Value Copy 11.30.05 gas 1.09.06 AURORA at 1.10.06_Leased Transformer &amp; Substation Plant &amp; Rev 12-2009 4" xfId="4513" xr:uid="{00000000-0005-0000-0000-00009A110000}"/>
    <cellStyle name="_Power Cost Value Copy 11.30.05 gas 1.09.06 AURORA at 1.10.06_Leased Transformer &amp; Substation Plant &amp; Rev 12-2009 4 2" xfId="4514" xr:uid="{00000000-0005-0000-0000-00009B110000}"/>
    <cellStyle name="_Power Cost Value Copy 11.30.05 gas 1.09.06 AURORA at 1.10.06_Leased Transformer &amp; Substation Plant &amp; Rev 12-2009 5" xfId="4515" xr:uid="{00000000-0005-0000-0000-00009C110000}"/>
    <cellStyle name="_Power Cost Value Copy 11.30.05 gas 1.09.06 AURORA at 1.10.06_Leased Transformer &amp; Substation Plant &amp; Rev 12-2009 6" xfId="4516" xr:uid="{00000000-0005-0000-0000-00009D110000}"/>
    <cellStyle name="_Power Cost Value Copy 11.30.05 gas 1.09.06 AURORA at 1.10.06_NIM Summary" xfId="4517" xr:uid="{00000000-0005-0000-0000-00009E110000}"/>
    <cellStyle name="_Power Cost Value Copy 11.30.05 gas 1.09.06 AURORA at 1.10.06_NIM Summary 09GRC" xfId="4518" xr:uid="{00000000-0005-0000-0000-00009F110000}"/>
    <cellStyle name="_Power Cost Value Copy 11.30.05 gas 1.09.06 AURORA at 1.10.06_NIM Summary 09GRC 2" xfId="4519" xr:uid="{00000000-0005-0000-0000-0000A0110000}"/>
    <cellStyle name="_Power Cost Value Copy 11.30.05 gas 1.09.06 AURORA at 1.10.06_NIM Summary 2" xfId="4520" xr:uid="{00000000-0005-0000-0000-0000A1110000}"/>
    <cellStyle name="_Power Cost Value Copy 11.30.05 gas 1.09.06 AURORA at 1.10.06_NIM Summary 3" xfId="4521" xr:uid="{00000000-0005-0000-0000-0000A2110000}"/>
    <cellStyle name="_Power Cost Value Copy 11.30.05 gas 1.09.06 AURORA at 1.10.06_NIM Summary 4" xfId="4522" xr:uid="{00000000-0005-0000-0000-0000A3110000}"/>
    <cellStyle name="_Power Cost Value Copy 11.30.05 gas 1.09.06 AURORA at 1.10.06_NIM Summary 5" xfId="4523" xr:uid="{00000000-0005-0000-0000-0000A4110000}"/>
    <cellStyle name="_Power Cost Value Copy 11.30.05 gas 1.09.06 AURORA at 1.10.06_NIM Summary 6" xfId="4524" xr:uid="{00000000-0005-0000-0000-0000A5110000}"/>
    <cellStyle name="_Power Cost Value Copy 11.30.05 gas 1.09.06 AURORA at 1.10.06_NIM Summary 7" xfId="4525" xr:uid="{00000000-0005-0000-0000-0000A6110000}"/>
    <cellStyle name="_Power Cost Value Copy 11.30.05 gas 1.09.06 AURORA at 1.10.06_NIM Summary 8" xfId="4526" xr:uid="{00000000-0005-0000-0000-0000A7110000}"/>
    <cellStyle name="_Power Cost Value Copy 11.30.05 gas 1.09.06 AURORA at 1.10.06_NIM Summary 9" xfId="4527" xr:uid="{00000000-0005-0000-0000-0000A8110000}"/>
    <cellStyle name="_Power Cost Value Copy 11.30.05 gas 1.09.06 AURORA at 1.10.06_PCA 10 -  Exhibit D from A Kellogg Jan 2011" xfId="4528" xr:uid="{00000000-0005-0000-0000-0000A9110000}"/>
    <cellStyle name="_Power Cost Value Copy 11.30.05 gas 1.09.06 AURORA at 1.10.06_PCA 10 -  Exhibit D from A Kellogg July 2011" xfId="4529" xr:uid="{00000000-0005-0000-0000-0000AA110000}"/>
    <cellStyle name="_Power Cost Value Copy 11.30.05 gas 1.09.06 AURORA at 1.10.06_PCA 10 -  Exhibit D from S Free Rcv'd 12-11" xfId="4530" xr:uid="{00000000-0005-0000-0000-0000AB110000}"/>
    <cellStyle name="_Power Cost Value Copy 11.30.05 gas 1.09.06 AURORA at 1.10.06_PCA 7 - Exhibit D update 11_30_08 (2)" xfId="4531" xr:uid="{00000000-0005-0000-0000-0000AC110000}"/>
    <cellStyle name="_Power Cost Value Copy 11.30.05 gas 1.09.06 AURORA at 1.10.06_PCA 7 - Exhibit D update 11_30_08 (2) 2" xfId="4532" xr:uid="{00000000-0005-0000-0000-0000AD110000}"/>
    <cellStyle name="_Power Cost Value Copy 11.30.05 gas 1.09.06 AURORA at 1.10.06_PCA 7 - Exhibit D update 11_30_08 (2) 2 2" xfId="4533" xr:uid="{00000000-0005-0000-0000-0000AE110000}"/>
    <cellStyle name="_Power Cost Value Copy 11.30.05 gas 1.09.06 AURORA at 1.10.06_PCA 7 - Exhibit D update 11_30_08 (2) 3" xfId="4534" xr:uid="{00000000-0005-0000-0000-0000AF110000}"/>
    <cellStyle name="_Power Cost Value Copy 11.30.05 gas 1.09.06 AURORA at 1.10.06_PCA 7 - Exhibit D update 11_30_08 (2) 4" xfId="4535" xr:uid="{00000000-0005-0000-0000-0000B0110000}"/>
    <cellStyle name="_Power Cost Value Copy 11.30.05 gas 1.09.06 AURORA at 1.10.06_PCA 7 - Exhibit D update 11_30_08 (2)_NIM Summary" xfId="4536" xr:uid="{00000000-0005-0000-0000-0000B1110000}"/>
    <cellStyle name="_Power Cost Value Copy 11.30.05 gas 1.09.06 AURORA at 1.10.06_PCA 7 - Exhibit D update 11_30_08 (2)_NIM Summary 2" xfId="4537" xr:uid="{00000000-0005-0000-0000-0000B2110000}"/>
    <cellStyle name="_Power Cost Value Copy 11.30.05 gas 1.09.06 AURORA at 1.10.06_PCA 8 - Exhibit D update 12_31_09" xfId="4538" xr:uid="{00000000-0005-0000-0000-0000B3110000}"/>
    <cellStyle name="_Power Cost Value Copy 11.30.05 gas 1.09.06 AURORA at 1.10.06_PCA 8 - Exhibit D update 12_31_09 2" xfId="4539" xr:uid="{00000000-0005-0000-0000-0000B4110000}"/>
    <cellStyle name="_Power Cost Value Copy 11.30.05 gas 1.09.06 AURORA at 1.10.06_PCA 9 -  Exhibit D April 2010" xfId="4540" xr:uid="{00000000-0005-0000-0000-0000B5110000}"/>
    <cellStyle name="_Power Cost Value Copy 11.30.05 gas 1.09.06 AURORA at 1.10.06_PCA 9 -  Exhibit D April 2010 (3)" xfId="4541" xr:uid="{00000000-0005-0000-0000-0000B6110000}"/>
    <cellStyle name="_Power Cost Value Copy 11.30.05 gas 1.09.06 AURORA at 1.10.06_PCA 9 -  Exhibit D April 2010 (3) 2" xfId="4542" xr:uid="{00000000-0005-0000-0000-0000B7110000}"/>
    <cellStyle name="_Power Cost Value Copy 11.30.05 gas 1.09.06 AURORA at 1.10.06_PCA 9 -  Exhibit D April 2010 2" xfId="4543" xr:uid="{00000000-0005-0000-0000-0000B8110000}"/>
    <cellStyle name="_Power Cost Value Copy 11.30.05 gas 1.09.06 AURORA at 1.10.06_PCA 9 -  Exhibit D April 2010 3" xfId="4544" xr:uid="{00000000-0005-0000-0000-0000B9110000}"/>
    <cellStyle name="_Power Cost Value Copy 11.30.05 gas 1.09.06 AURORA at 1.10.06_PCA 9 -  Exhibit D Feb 2010" xfId="4545" xr:uid="{00000000-0005-0000-0000-0000BA110000}"/>
    <cellStyle name="_Power Cost Value Copy 11.30.05 gas 1.09.06 AURORA at 1.10.06_PCA 9 -  Exhibit D Feb 2010 2" xfId="4546" xr:uid="{00000000-0005-0000-0000-0000BB110000}"/>
    <cellStyle name="_Power Cost Value Copy 11.30.05 gas 1.09.06 AURORA at 1.10.06_PCA 9 -  Exhibit D Feb 2010 v2" xfId="4547" xr:uid="{00000000-0005-0000-0000-0000BC110000}"/>
    <cellStyle name="_Power Cost Value Copy 11.30.05 gas 1.09.06 AURORA at 1.10.06_PCA 9 -  Exhibit D Feb 2010 v2 2" xfId="4548" xr:uid="{00000000-0005-0000-0000-0000BD110000}"/>
    <cellStyle name="_Power Cost Value Copy 11.30.05 gas 1.09.06 AURORA at 1.10.06_PCA 9 -  Exhibit D Feb 2010 WF" xfId="4549" xr:uid="{00000000-0005-0000-0000-0000BE110000}"/>
    <cellStyle name="_Power Cost Value Copy 11.30.05 gas 1.09.06 AURORA at 1.10.06_PCA 9 -  Exhibit D Feb 2010 WF 2" xfId="4550" xr:uid="{00000000-0005-0000-0000-0000BF110000}"/>
    <cellStyle name="_Power Cost Value Copy 11.30.05 gas 1.09.06 AURORA at 1.10.06_PCA 9 -  Exhibit D Jan 2010" xfId="4551" xr:uid="{00000000-0005-0000-0000-0000C0110000}"/>
    <cellStyle name="_Power Cost Value Copy 11.30.05 gas 1.09.06 AURORA at 1.10.06_PCA 9 -  Exhibit D Jan 2010 2" xfId="4552" xr:uid="{00000000-0005-0000-0000-0000C1110000}"/>
    <cellStyle name="_Power Cost Value Copy 11.30.05 gas 1.09.06 AURORA at 1.10.06_PCA 9 -  Exhibit D March 2010 (2)" xfId="4553" xr:uid="{00000000-0005-0000-0000-0000C2110000}"/>
    <cellStyle name="_Power Cost Value Copy 11.30.05 gas 1.09.06 AURORA at 1.10.06_PCA 9 -  Exhibit D March 2010 (2) 2" xfId="4554" xr:uid="{00000000-0005-0000-0000-0000C3110000}"/>
    <cellStyle name="_Power Cost Value Copy 11.30.05 gas 1.09.06 AURORA at 1.10.06_PCA 9 -  Exhibit D Nov 2010" xfId="4555" xr:uid="{00000000-0005-0000-0000-0000C4110000}"/>
    <cellStyle name="_Power Cost Value Copy 11.30.05 gas 1.09.06 AURORA at 1.10.06_PCA 9 -  Exhibit D Nov 2010 2" xfId="4556" xr:uid="{00000000-0005-0000-0000-0000C5110000}"/>
    <cellStyle name="_Power Cost Value Copy 11.30.05 gas 1.09.06 AURORA at 1.10.06_PCA 9 - Exhibit D at August 2010" xfId="4557" xr:uid="{00000000-0005-0000-0000-0000C6110000}"/>
    <cellStyle name="_Power Cost Value Copy 11.30.05 gas 1.09.06 AURORA at 1.10.06_PCA 9 - Exhibit D at August 2010 2" xfId="4558" xr:uid="{00000000-0005-0000-0000-0000C7110000}"/>
    <cellStyle name="_Power Cost Value Copy 11.30.05 gas 1.09.06 AURORA at 1.10.06_PCA 9 - Exhibit D June 2010 GRC" xfId="4559" xr:uid="{00000000-0005-0000-0000-0000C8110000}"/>
    <cellStyle name="_Power Cost Value Copy 11.30.05 gas 1.09.06 AURORA at 1.10.06_PCA 9 - Exhibit D June 2010 GRC 2" xfId="4560" xr:uid="{00000000-0005-0000-0000-0000C9110000}"/>
    <cellStyle name="_Power Cost Value Copy 11.30.05 gas 1.09.06 AURORA at 1.10.06_Power Costs - Comparison bx Rbtl-Staff-Jt-PC" xfId="4561" xr:uid="{00000000-0005-0000-0000-0000CA110000}"/>
    <cellStyle name="_Power Cost Value Copy 11.30.05 gas 1.09.06 AURORA at 1.10.06_Power Costs - Comparison bx Rbtl-Staff-Jt-PC 2" xfId="4562" xr:uid="{00000000-0005-0000-0000-0000CB110000}"/>
    <cellStyle name="_Power Cost Value Copy 11.30.05 gas 1.09.06 AURORA at 1.10.06_Power Costs - Comparison bx Rbtl-Staff-Jt-PC 2 2" xfId="4563" xr:uid="{00000000-0005-0000-0000-0000CC110000}"/>
    <cellStyle name="_Power Cost Value Copy 11.30.05 gas 1.09.06 AURORA at 1.10.06_Power Costs - Comparison bx Rbtl-Staff-Jt-PC 3" xfId="4564" xr:uid="{00000000-0005-0000-0000-0000CD110000}"/>
    <cellStyle name="_Power Cost Value Copy 11.30.05 gas 1.09.06 AURORA at 1.10.06_Power Costs - Comparison bx Rbtl-Staff-Jt-PC 4" xfId="4565" xr:uid="{00000000-0005-0000-0000-0000CE110000}"/>
    <cellStyle name="_Power Cost Value Copy 11.30.05 gas 1.09.06 AURORA at 1.10.06_Power Costs - Comparison bx Rbtl-Staff-Jt-PC_Adj Bench DR 3 for Initial Briefs (Electric)" xfId="4566" xr:uid="{00000000-0005-0000-0000-0000CF110000}"/>
    <cellStyle name="_Power Cost Value Copy 11.30.05 gas 1.09.06 AURORA at 1.10.06_Power Costs - Comparison bx Rbtl-Staff-Jt-PC_Adj Bench DR 3 for Initial Briefs (Electric) 2" xfId="4567" xr:uid="{00000000-0005-0000-0000-0000D0110000}"/>
    <cellStyle name="_Power Cost Value Copy 11.30.05 gas 1.09.06 AURORA at 1.10.06_Power Costs - Comparison bx Rbtl-Staff-Jt-PC_Adj Bench DR 3 for Initial Briefs (Electric) 2 2" xfId="4568" xr:uid="{00000000-0005-0000-0000-0000D1110000}"/>
    <cellStyle name="_Power Cost Value Copy 11.30.05 gas 1.09.06 AURORA at 1.10.06_Power Costs - Comparison bx Rbtl-Staff-Jt-PC_Adj Bench DR 3 for Initial Briefs (Electric) 3" xfId="4569" xr:uid="{00000000-0005-0000-0000-0000D2110000}"/>
    <cellStyle name="_Power Cost Value Copy 11.30.05 gas 1.09.06 AURORA at 1.10.06_Power Costs - Comparison bx Rbtl-Staff-Jt-PC_Adj Bench DR 3 for Initial Briefs (Electric) 4" xfId="4570" xr:uid="{00000000-0005-0000-0000-0000D3110000}"/>
    <cellStyle name="_Power Cost Value Copy 11.30.05 gas 1.09.06 AURORA at 1.10.06_Power Costs - Comparison bx Rbtl-Staff-Jt-PC_Electric Rev Req Model (2009 GRC) Rebuttal" xfId="4571" xr:uid="{00000000-0005-0000-0000-0000D4110000}"/>
    <cellStyle name="_Power Cost Value Copy 11.30.05 gas 1.09.06 AURORA at 1.10.06_Power Costs - Comparison bx Rbtl-Staff-Jt-PC_Electric Rev Req Model (2009 GRC) Rebuttal 2" xfId="4572" xr:uid="{00000000-0005-0000-0000-0000D5110000}"/>
    <cellStyle name="_Power Cost Value Copy 11.30.05 gas 1.09.06 AURORA at 1.10.06_Power Costs - Comparison bx Rbtl-Staff-Jt-PC_Electric Rev Req Model (2009 GRC) Rebuttal 2 2" xfId="4573" xr:uid="{00000000-0005-0000-0000-0000D6110000}"/>
    <cellStyle name="_Power Cost Value Copy 11.30.05 gas 1.09.06 AURORA at 1.10.06_Power Costs - Comparison bx Rbtl-Staff-Jt-PC_Electric Rev Req Model (2009 GRC) Rebuttal 3" xfId="4574" xr:uid="{00000000-0005-0000-0000-0000D7110000}"/>
    <cellStyle name="_Power Cost Value Copy 11.30.05 gas 1.09.06 AURORA at 1.10.06_Power Costs - Comparison bx Rbtl-Staff-Jt-PC_Electric Rev Req Model (2009 GRC) Rebuttal 4" xfId="4575" xr:uid="{00000000-0005-0000-0000-0000D8110000}"/>
    <cellStyle name="_Power Cost Value Copy 11.30.05 gas 1.09.06 AURORA at 1.10.06_Power Costs - Comparison bx Rbtl-Staff-Jt-PC_Electric Rev Req Model (2009 GRC) Rebuttal REmoval of New  WH Solar AdjustMI" xfId="4576" xr:uid="{00000000-0005-0000-0000-0000D9110000}"/>
    <cellStyle name="_Power Cost Value Copy 11.30.05 gas 1.09.06 AURORA at 1.10.06_Power Costs - Comparison bx Rbtl-Staff-Jt-PC_Electric Rev Req Model (2009 GRC) Rebuttal REmoval of New  WH Solar AdjustMI 2" xfId="4577" xr:uid="{00000000-0005-0000-0000-0000DA110000}"/>
    <cellStyle name="_Power Cost Value Copy 11.30.05 gas 1.09.06 AURORA at 1.10.06_Power Costs - Comparison bx Rbtl-Staff-Jt-PC_Electric Rev Req Model (2009 GRC) Rebuttal REmoval of New  WH Solar AdjustMI 2 2" xfId="4578" xr:uid="{00000000-0005-0000-0000-0000DB110000}"/>
    <cellStyle name="_Power Cost Value Copy 11.30.05 gas 1.09.06 AURORA at 1.10.06_Power Costs - Comparison bx Rbtl-Staff-Jt-PC_Electric Rev Req Model (2009 GRC) Rebuttal REmoval of New  WH Solar AdjustMI 3" xfId="4579" xr:uid="{00000000-0005-0000-0000-0000DC110000}"/>
    <cellStyle name="_Power Cost Value Copy 11.30.05 gas 1.09.06 AURORA at 1.10.06_Power Costs - Comparison bx Rbtl-Staff-Jt-PC_Electric Rev Req Model (2009 GRC) Rebuttal REmoval of New  WH Solar AdjustMI 4" xfId="4580" xr:uid="{00000000-0005-0000-0000-0000DD110000}"/>
    <cellStyle name="_Power Cost Value Copy 11.30.05 gas 1.09.06 AURORA at 1.10.06_Power Costs - Comparison bx Rbtl-Staff-Jt-PC_Electric Rev Req Model (2009 GRC) Revised 01-18-2010" xfId="4581" xr:uid="{00000000-0005-0000-0000-0000DE110000}"/>
    <cellStyle name="_Power Cost Value Copy 11.30.05 gas 1.09.06 AURORA at 1.10.06_Power Costs - Comparison bx Rbtl-Staff-Jt-PC_Electric Rev Req Model (2009 GRC) Revised 01-18-2010 2" xfId="4582" xr:uid="{00000000-0005-0000-0000-0000DF110000}"/>
    <cellStyle name="_Power Cost Value Copy 11.30.05 gas 1.09.06 AURORA at 1.10.06_Power Costs - Comparison bx Rbtl-Staff-Jt-PC_Electric Rev Req Model (2009 GRC) Revised 01-18-2010 2 2" xfId="4583" xr:uid="{00000000-0005-0000-0000-0000E0110000}"/>
    <cellStyle name="_Power Cost Value Copy 11.30.05 gas 1.09.06 AURORA at 1.10.06_Power Costs - Comparison bx Rbtl-Staff-Jt-PC_Electric Rev Req Model (2009 GRC) Revised 01-18-2010 3" xfId="4584" xr:uid="{00000000-0005-0000-0000-0000E1110000}"/>
    <cellStyle name="_Power Cost Value Copy 11.30.05 gas 1.09.06 AURORA at 1.10.06_Power Costs - Comparison bx Rbtl-Staff-Jt-PC_Electric Rev Req Model (2009 GRC) Revised 01-18-2010 4" xfId="4585" xr:uid="{00000000-0005-0000-0000-0000E2110000}"/>
    <cellStyle name="_Power Cost Value Copy 11.30.05 gas 1.09.06 AURORA at 1.10.06_Power Costs - Comparison bx Rbtl-Staff-Jt-PC_Final Order Electric EXHIBIT A-1" xfId="4586" xr:uid="{00000000-0005-0000-0000-0000E3110000}"/>
    <cellStyle name="_Power Cost Value Copy 11.30.05 gas 1.09.06 AURORA at 1.10.06_Power Costs - Comparison bx Rbtl-Staff-Jt-PC_Final Order Electric EXHIBIT A-1 2" xfId="4587" xr:uid="{00000000-0005-0000-0000-0000E4110000}"/>
    <cellStyle name="_Power Cost Value Copy 11.30.05 gas 1.09.06 AURORA at 1.10.06_Power Costs - Comparison bx Rbtl-Staff-Jt-PC_Final Order Electric EXHIBIT A-1 2 2" xfId="4588" xr:uid="{00000000-0005-0000-0000-0000E5110000}"/>
    <cellStyle name="_Power Cost Value Copy 11.30.05 gas 1.09.06 AURORA at 1.10.06_Power Costs - Comparison bx Rbtl-Staff-Jt-PC_Final Order Electric EXHIBIT A-1 3" xfId="4589" xr:uid="{00000000-0005-0000-0000-0000E6110000}"/>
    <cellStyle name="_Power Cost Value Copy 11.30.05 gas 1.09.06 AURORA at 1.10.06_Power Costs - Comparison bx Rbtl-Staff-Jt-PC_Final Order Electric EXHIBIT A-1 4" xfId="4590" xr:uid="{00000000-0005-0000-0000-0000E7110000}"/>
    <cellStyle name="_Power Cost Value Copy 11.30.05 gas 1.09.06 AURORA at 1.10.06_Production Adj 4.37" xfId="4591" xr:uid="{00000000-0005-0000-0000-0000E8110000}"/>
    <cellStyle name="_Power Cost Value Copy 11.30.05 gas 1.09.06 AURORA at 1.10.06_Production Adj 4.37 2" xfId="4592" xr:uid="{00000000-0005-0000-0000-0000E9110000}"/>
    <cellStyle name="_Power Cost Value Copy 11.30.05 gas 1.09.06 AURORA at 1.10.06_Production Adj 4.37 2 2" xfId="4593" xr:uid="{00000000-0005-0000-0000-0000EA110000}"/>
    <cellStyle name="_Power Cost Value Copy 11.30.05 gas 1.09.06 AURORA at 1.10.06_Production Adj 4.37 3" xfId="4594" xr:uid="{00000000-0005-0000-0000-0000EB110000}"/>
    <cellStyle name="_Power Cost Value Copy 11.30.05 gas 1.09.06 AURORA at 1.10.06_Purchased Power Adj 4.03" xfId="4595" xr:uid="{00000000-0005-0000-0000-0000EC110000}"/>
    <cellStyle name="_Power Cost Value Copy 11.30.05 gas 1.09.06 AURORA at 1.10.06_Purchased Power Adj 4.03 2" xfId="4596" xr:uid="{00000000-0005-0000-0000-0000ED110000}"/>
    <cellStyle name="_Power Cost Value Copy 11.30.05 gas 1.09.06 AURORA at 1.10.06_Purchased Power Adj 4.03 2 2" xfId="4597" xr:uid="{00000000-0005-0000-0000-0000EE110000}"/>
    <cellStyle name="_Power Cost Value Copy 11.30.05 gas 1.09.06 AURORA at 1.10.06_Purchased Power Adj 4.03 3" xfId="4598" xr:uid="{00000000-0005-0000-0000-0000EF110000}"/>
    <cellStyle name="_Power Cost Value Copy 11.30.05 gas 1.09.06 AURORA at 1.10.06_Rate Design Sch 24" xfId="4599" xr:uid="{00000000-0005-0000-0000-0000F0110000}"/>
    <cellStyle name="_Power Cost Value Copy 11.30.05 gas 1.09.06 AURORA at 1.10.06_Rate Design Sch 24 2" xfId="4600" xr:uid="{00000000-0005-0000-0000-0000F1110000}"/>
    <cellStyle name="_Power Cost Value Copy 11.30.05 gas 1.09.06 AURORA at 1.10.06_Rate Design Sch 25" xfId="4601" xr:uid="{00000000-0005-0000-0000-0000F2110000}"/>
    <cellStyle name="_Power Cost Value Copy 11.30.05 gas 1.09.06 AURORA at 1.10.06_Rate Design Sch 25 2" xfId="4602" xr:uid="{00000000-0005-0000-0000-0000F3110000}"/>
    <cellStyle name="_Power Cost Value Copy 11.30.05 gas 1.09.06 AURORA at 1.10.06_Rate Design Sch 25 2 2" xfId="4603" xr:uid="{00000000-0005-0000-0000-0000F4110000}"/>
    <cellStyle name="_Power Cost Value Copy 11.30.05 gas 1.09.06 AURORA at 1.10.06_Rate Design Sch 25 3" xfId="4604" xr:uid="{00000000-0005-0000-0000-0000F5110000}"/>
    <cellStyle name="_Power Cost Value Copy 11.30.05 gas 1.09.06 AURORA at 1.10.06_Rate Design Sch 26" xfId="4605" xr:uid="{00000000-0005-0000-0000-0000F6110000}"/>
    <cellStyle name="_Power Cost Value Copy 11.30.05 gas 1.09.06 AURORA at 1.10.06_Rate Design Sch 26 2" xfId="4606" xr:uid="{00000000-0005-0000-0000-0000F7110000}"/>
    <cellStyle name="_Power Cost Value Copy 11.30.05 gas 1.09.06 AURORA at 1.10.06_Rate Design Sch 26 2 2" xfId="4607" xr:uid="{00000000-0005-0000-0000-0000F8110000}"/>
    <cellStyle name="_Power Cost Value Copy 11.30.05 gas 1.09.06 AURORA at 1.10.06_Rate Design Sch 26 3" xfId="4608" xr:uid="{00000000-0005-0000-0000-0000F9110000}"/>
    <cellStyle name="_Power Cost Value Copy 11.30.05 gas 1.09.06 AURORA at 1.10.06_Rate Design Sch 31" xfId="4609" xr:uid="{00000000-0005-0000-0000-0000FA110000}"/>
    <cellStyle name="_Power Cost Value Copy 11.30.05 gas 1.09.06 AURORA at 1.10.06_Rate Design Sch 31 2" xfId="4610" xr:uid="{00000000-0005-0000-0000-0000FB110000}"/>
    <cellStyle name="_Power Cost Value Copy 11.30.05 gas 1.09.06 AURORA at 1.10.06_Rate Design Sch 31 2 2" xfId="4611" xr:uid="{00000000-0005-0000-0000-0000FC110000}"/>
    <cellStyle name="_Power Cost Value Copy 11.30.05 gas 1.09.06 AURORA at 1.10.06_Rate Design Sch 31 3" xfId="4612" xr:uid="{00000000-0005-0000-0000-0000FD110000}"/>
    <cellStyle name="_Power Cost Value Copy 11.30.05 gas 1.09.06 AURORA at 1.10.06_Rate Design Sch 43" xfId="4613" xr:uid="{00000000-0005-0000-0000-0000FE110000}"/>
    <cellStyle name="_Power Cost Value Copy 11.30.05 gas 1.09.06 AURORA at 1.10.06_Rate Design Sch 43 2" xfId="4614" xr:uid="{00000000-0005-0000-0000-0000FF110000}"/>
    <cellStyle name="_Power Cost Value Copy 11.30.05 gas 1.09.06 AURORA at 1.10.06_Rate Design Sch 43 2 2" xfId="4615" xr:uid="{00000000-0005-0000-0000-000000120000}"/>
    <cellStyle name="_Power Cost Value Copy 11.30.05 gas 1.09.06 AURORA at 1.10.06_Rate Design Sch 43 3" xfId="4616" xr:uid="{00000000-0005-0000-0000-000001120000}"/>
    <cellStyle name="_Power Cost Value Copy 11.30.05 gas 1.09.06 AURORA at 1.10.06_Rate Design Sch 448-449" xfId="4617" xr:uid="{00000000-0005-0000-0000-000002120000}"/>
    <cellStyle name="_Power Cost Value Copy 11.30.05 gas 1.09.06 AURORA at 1.10.06_Rate Design Sch 448-449 2" xfId="4618" xr:uid="{00000000-0005-0000-0000-000003120000}"/>
    <cellStyle name="_Power Cost Value Copy 11.30.05 gas 1.09.06 AURORA at 1.10.06_Rate Design Sch 46" xfId="4619" xr:uid="{00000000-0005-0000-0000-000004120000}"/>
    <cellStyle name="_Power Cost Value Copy 11.30.05 gas 1.09.06 AURORA at 1.10.06_Rate Design Sch 46 2" xfId="4620" xr:uid="{00000000-0005-0000-0000-000005120000}"/>
    <cellStyle name="_Power Cost Value Copy 11.30.05 gas 1.09.06 AURORA at 1.10.06_Rate Design Sch 46 2 2" xfId="4621" xr:uid="{00000000-0005-0000-0000-000006120000}"/>
    <cellStyle name="_Power Cost Value Copy 11.30.05 gas 1.09.06 AURORA at 1.10.06_Rate Design Sch 46 3" xfId="4622" xr:uid="{00000000-0005-0000-0000-000007120000}"/>
    <cellStyle name="_Power Cost Value Copy 11.30.05 gas 1.09.06 AURORA at 1.10.06_Rate Spread" xfId="4623" xr:uid="{00000000-0005-0000-0000-000008120000}"/>
    <cellStyle name="_Power Cost Value Copy 11.30.05 gas 1.09.06 AURORA at 1.10.06_Rate Spread 2" xfId="4624" xr:uid="{00000000-0005-0000-0000-000009120000}"/>
    <cellStyle name="_Power Cost Value Copy 11.30.05 gas 1.09.06 AURORA at 1.10.06_Rate Spread 2 2" xfId="4625" xr:uid="{00000000-0005-0000-0000-00000A120000}"/>
    <cellStyle name="_Power Cost Value Copy 11.30.05 gas 1.09.06 AURORA at 1.10.06_Rate Spread 3" xfId="4626" xr:uid="{00000000-0005-0000-0000-00000B120000}"/>
    <cellStyle name="_Power Cost Value Copy 11.30.05 gas 1.09.06 AURORA at 1.10.06_Rebuttal Power Costs" xfId="4627" xr:uid="{00000000-0005-0000-0000-00000C120000}"/>
    <cellStyle name="_Power Cost Value Copy 11.30.05 gas 1.09.06 AURORA at 1.10.06_Rebuttal Power Costs 2" xfId="4628" xr:uid="{00000000-0005-0000-0000-00000D120000}"/>
    <cellStyle name="_Power Cost Value Copy 11.30.05 gas 1.09.06 AURORA at 1.10.06_Rebuttal Power Costs 2 2" xfId="4629" xr:uid="{00000000-0005-0000-0000-00000E120000}"/>
    <cellStyle name="_Power Cost Value Copy 11.30.05 gas 1.09.06 AURORA at 1.10.06_Rebuttal Power Costs 3" xfId="4630" xr:uid="{00000000-0005-0000-0000-00000F120000}"/>
    <cellStyle name="_Power Cost Value Copy 11.30.05 gas 1.09.06 AURORA at 1.10.06_Rebuttal Power Costs 4" xfId="4631" xr:uid="{00000000-0005-0000-0000-000010120000}"/>
    <cellStyle name="_Power Cost Value Copy 11.30.05 gas 1.09.06 AURORA at 1.10.06_Rebuttal Power Costs_Adj Bench DR 3 for Initial Briefs (Electric)" xfId="4632" xr:uid="{00000000-0005-0000-0000-000011120000}"/>
    <cellStyle name="_Power Cost Value Copy 11.30.05 gas 1.09.06 AURORA at 1.10.06_Rebuttal Power Costs_Adj Bench DR 3 for Initial Briefs (Electric) 2" xfId="4633" xr:uid="{00000000-0005-0000-0000-000012120000}"/>
    <cellStyle name="_Power Cost Value Copy 11.30.05 gas 1.09.06 AURORA at 1.10.06_Rebuttal Power Costs_Adj Bench DR 3 for Initial Briefs (Electric) 2 2" xfId="4634" xr:uid="{00000000-0005-0000-0000-000013120000}"/>
    <cellStyle name="_Power Cost Value Copy 11.30.05 gas 1.09.06 AURORA at 1.10.06_Rebuttal Power Costs_Adj Bench DR 3 for Initial Briefs (Electric) 3" xfId="4635" xr:uid="{00000000-0005-0000-0000-000014120000}"/>
    <cellStyle name="_Power Cost Value Copy 11.30.05 gas 1.09.06 AURORA at 1.10.06_Rebuttal Power Costs_Adj Bench DR 3 for Initial Briefs (Electric) 4" xfId="4636" xr:uid="{00000000-0005-0000-0000-000015120000}"/>
    <cellStyle name="_Power Cost Value Copy 11.30.05 gas 1.09.06 AURORA at 1.10.06_Rebuttal Power Costs_Electric Rev Req Model (2009 GRC) Rebuttal" xfId="4637" xr:uid="{00000000-0005-0000-0000-000016120000}"/>
    <cellStyle name="_Power Cost Value Copy 11.30.05 gas 1.09.06 AURORA at 1.10.06_Rebuttal Power Costs_Electric Rev Req Model (2009 GRC) Rebuttal 2" xfId="4638" xr:uid="{00000000-0005-0000-0000-000017120000}"/>
    <cellStyle name="_Power Cost Value Copy 11.30.05 gas 1.09.06 AURORA at 1.10.06_Rebuttal Power Costs_Electric Rev Req Model (2009 GRC) Rebuttal 2 2" xfId="4639" xr:uid="{00000000-0005-0000-0000-000018120000}"/>
    <cellStyle name="_Power Cost Value Copy 11.30.05 gas 1.09.06 AURORA at 1.10.06_Rebuttal Power Costs_Electric Rev Req Model (2009 GRC) Rebuttal 3" xfId="4640" xr:uid="{00000000-0005-0000-0000-000019120000}"/>
    <cellStyle name="_Power Cost Value Copy 11.30.05 gas 1.09.06 AURORA at 1.10.06_Rebuttal Power Costs_Electric Rev Req Model (2009 GRC) Rebuttal 4" xfId="4641" xr:uid="{00000000-0005-0000-0000-00001A120000}"/>
    <cellStyle name="_Power Cost Value Copy 11.30.05 gas 1.09.06 AURORA at 1.10.06_Rebuttal Power Costs_Electric Rev Req Model (2009 GRC) Rebuttal REmoval of New  WH Solar AdjustMI" xfId="4642" xr:uid="{00000000-0005-0000-0000-00001B120000}"/>
    <cellStyle name="_Power Cost Value Copy 11.30.05 gas 1.09.06 AURORA at 1.10.06_Rebuttal Power Costs_Electric Rev Req Model (2009 GRC) Rebuttal REmoval of New  WH Solar AdjustMI 2" xfId="4643" xr:uid="{00000000-0005-0000-0000-00001C120000}"/>
    <cellStyle name="_Power Cost Value Copy 11.30.05 gas 1.09.06 AURORA at 1.10.06_Rebuttal Power Costs_Electric Rev Req Model (2009 GRC) Rebuttal REmoval of New  WH Solar AdjustMI 2 2" xfId="4644" xr:uid="{00000000-0005-0000-0000-00001D120000}"/>
    <cellStyle name="_Power Cost Value Copy 11.30.05 gas 1.09.06 AURORA at 1.10.06_Rebuttal Power Costs_Electric Rev Req Model (2009 GRC) Rebuttal REmoval of New  WH Solar AdjustMI 3" xfId="4645" xr:uid="{00000000-0005-0000-0000-00001E120000}"/>
    <cellStyle name="_Power Cost Value Copy 11.30.05 gas 1.09.06 AURORA at 1.10.06_Rebuttal Power Costs_Electric Rev Req Model (2009 GRC) Rebuttal REmoval of New  WH Solar AdjustMI 4" xfId="4646" xr:uid="{00000000-0005-0000-0000-00001F120000}"/>
    <cellStyle name="_Power Cost Value Copy 11.30.05 gas 1.09.06 AURORA at 1.10.06_Rebuttal Power Costs_Electric Rev Req Model (2009 GRC) Revised 01-18-2010" xfId="4647" xr:uid="{00000000-0005-0000-0000-000020120000}"/>
    <cellStyle name="_Power Cost Value Copy 11.30.05 gas 1.09.06 AURORA at 1.10.06_Rebuttal Power Costs_Electric Rev Req Model (2009 GRC) Revised 01-18-2010 2" xfId="4648" xr:uid="{00000000-0005-0000-0000-000021120000}"/>
    <cellStyle name="_Power Cost Value Copy 11.30.05 gas 1.09.06 AURORA at 1.10.06_Rebuttal Power Costs_Electric Rev Req Model (2009 GRC) Revised 01-18-2010 2 2" xfId="4649" xr:uid="{00000000-0005-0000-0000-000022120000}"/>
    <cellStyle name="_Power Cost Value Copy 11.30.05 gas 1.09.06 AURORA at 1.10.06_Rebuttal Power Costs_Electric Rev Req Model (2009 GRC) Revised 01-18-2010 3" xfId="4650" xr:uid="{00000000-0005-0000-0000-000023120000}"/>
    <cellStyle name="_Power Cost Value Copy 11.30.05 gas 1.09.06 AURORA at 1.10.06_Rebuttal Power Costs_Electric Rev Req Model (2009 GRC) Revised 01-18-2010 4" xfId="4651" xr:uid="{00000000-0005-0000-0000-000024120000}"/>
    <cellStyle name="_Power Cost Value Copy 11.30.05 gas 1.09.06 AURORA at 1.10.06_Rebuttal Power Costs_Final Order Electric EXHIBIT A-1" xfId="4652" xr:uid="{00000000-0005-0000-0000-000025120000}"/>
    <cellStyle name="_Power Cost Value Copy 11.30.05 gas 1.09.06 AURORA at 1.10.06_Rebuttal Power Costs_Final Order Electric EXHIBIT A-1 2" xfId="4653" xr:uid="{00000000-0005-0000-0000-000026120000}"/>
    <cellStyle name="_Power Cost Value Copy 11.30.05 gas 1.09.06 AURORA at 1.10.06_Rebuttal Power Costs_Final Order Electric EXHIBIT A-1 2 2" xfId="4654" xr:uid="{00000000-0005-0000-0000-000027120000}"/>
    <cellStyle name="_Power Cost Value Copy 11.30.05 gas 1.09.06 AURORA at 1.10.06_Rebuttal Power Costs_Final Order Electric EXHIBIT A-1 3" xfId="4655" xr:uid="{00000000-0005-0000-0000-000028120000}"/>
    <cellStyle name="_Power Cost Value Copy 11.30.05 gas 1.09.06 AURORA at 1.10.06_Rebuttal Power Costs_Final Order Electric EXHIBIT A-1 4" xfId="4656" xr:uid="{00000000-0005-0000-0000-000029120000}"/>
    <cellStyle name="_Power Cost Value Copy 11.30.05 gas 1.09.06 AURORA at 1.10.06_ROR 5.02" xfId="4657" xr:uid="{00000000-0005-0000-0000-00002A120000}"/>
    <cellStyle name="_Power Cost Value Copy 11.30.05 gas 1.09.06 AURORA at 1.10.06_ROR 5.02 2" xfId="4658" xr:uid="{00000000-0005-0000-0000-00002B120000}"/>
    <cellStyle name="_Power Cost Value Copy 11.30.05 gas 1.09.06 AURORA at 1.10.06_ROR 5.02 2 2" xfId="4659" xr:uid="{00000000-0005-0000-0000-00002C120000}"/>
    <cellStyle name="_Power Cost Value Copy 11.30.05 gas 1.09.06 AURORA at 1.10.06_ROR 5.02 3" xfId="4660" xr:uid="{00000000-0005-0000-0000-00002D120000}"/>
    <cellStyle name="_Power Cost Value Copy 11.30.05 gas 1.09.06 AURORA at 1.10.06_Sch 40 Feeder OH 2008" xfId="4661" xr:uid="{00000000-0005-0000-0000-00002E120000}"/>
    <cellStyle name="_Power Cost Value Copy 11.30.05 gas 1.09.06 AURORA at 1.10.06_Sch 40 Feeder OH 2008 2" xfId="4662" xr:uid="{00000000-0005-0000-0000-00002F120000}"/>
    <cellStyle name="_Power Cost Value Copy 11.30.05 gas 1.09.06 AURORA at 1.10.06_Sch 40 Feeder OH 2008 2 2" xfId="4663" xr:uid="{00000000-0005-0000-0000-000030120000}"/>
    <cellStyle name="_Power Cost Value Copy 11.30.05 gas 1.09.06 AURORA at 1.10.06_Sch 40 Feeder OH 2008 3" xfId="4664" xr:uid="{00000000-0005-0000-0000-000031120000}"/>
    <cellStyle name="_Power Cost Value Copy 11.30.05 gas 1.09.06 AURORA at 1.10.06_Sch 40 Interim Energy Rates " xfId="4665" xr:uid="{00000000-0005-0000-0000-000032120000}"/>
    <cellStyle name="_Power Cost Value Copy 11.30.05 gas 1.09.06 AURORA at 1.10.06_Sch 40 Interim Energy Rates  2" xfId="4666" xr:uid="{00000000-0005-0000-0000-000033120000}"/>
    <cellStyle name="_Power Cost Value Copy 11.30.05 gas 1.09.06 AURORA at 1.10.06_Sch 40 Interim Energy Rates  2 2" xfId="4667" xr:uid="{00000000-0005-0000-0000-000034120000}"/>
    <cellStyle name="_Power Cost Value Copy 11.30.05 gas 1.09.06 AURORA at 1.10.06_Sch 40 Interim Energy Rates  3" xfId="4668" xr:uid="{00000000-0005-0000-0000-000035120000}"/>
    <cellStyle name="_Power Cost Value Copy 11.30.05 gas 1.09.06 AURORA at 1.10.06_Sch 40 Substation A&amp;G 2008" xfId="4669" xr:uid="{00000000-0005-0000-0000-000036120000}"/>
    <cellStyle name="_Power Cost Value Copy 11.30.05 gas 1.09.06 AURORA at 1.10.06_Sch 40 Substation A&amp;G 2008 2" xfId="4670" xr:uid="{00000000-0005-0000-0000-000037120000}"/>
    <cellStyle name="_Power Cost Value Copy 11.30.05 gas 1.09.06 AURORA at 1.10.06_Sch 40 Substation A&amp;G 2008 2 2" xfId="4671" xr:uid="{00000000-0005-0000-0000-000038120000}"/>
    <cellStyle name="_Power Cost Value Copy 11.30.05 gas 1.09.06 AURORA at 1.10.06_Sch 40 Substation A&amp;G 2008 3" xfId="4672" xr:uid="{00000000-0005-0000-0000-000039120000}"/>
    <cellStyle name="_Power Cost Value Copy 11.30.05 gas 1.09.06 AURORA at 1.10.06_Sch 40 Substation O&amp;M 2008" xfId="4673" xr:uid="{00000000-0005-0000-0000-00003A120000}"/>
    <cellStyle name="_Power Cost Value Copy 11.30.05 gas 1.09.06 AURORA at 1.10.06_Sch 40 Substation O&amp;M 2008 2" xfId="4674" xr:uid="{00000000-0005-0000-0000-00003B120000}"/>
    <cellStyle name="_Power Cost Value Copy 11.30.05 gas 1.09.06 AURORA at 1.10.06_Sch 40 Substation O&amp;M 2008 2 2" xfId="4675" xr:uid="{00000000-0005-0000-0000-00003C120000}"/>
    <cellStyle name="_Power Cost Value Copy 11.30.05 gas 1.09.06 AURORA at 1.10.06_Sch 40 Substation O&amp;M 2008 3" xfId="4676" xr:uid="{00000000-0005-0000-0000-00003D120000}"/>
    <cellStyle name="_Power Cost Value Copy 11.30.05 gas 1.09.06 AURORA at 1.10.06_Subs 2008" xfId="4677" xr:uid="{00000000-0005-0000-0000-00003E120000}"/>
    <cellStyle name="_Power Cost Value Copy 11.30.05 gas 1.09.06 AURORA at 1.10.06_Subs 2008 2" xfId="4678" xr:uid="{00000000-0005-0000-0000-00003F120000}"/>
    <cellStyle name="_Power Cost Value Copy 11.30.05 gas 1.09.06 AURORA at 1.10.06_Subs 2008 2 2" xfId="4679" xr:uid="{00000000-0005-0000-0000-000040120000}"/>
    <cellStyle name="_Power Cost Value Copy 11.30.05 gas 1.09.06 AURORA at 1.10.06_Subs 2008 3" xfId="4680" xr:uid="{00000000-0005-0000-0000-000041120000}"/>
    <cellStyle name="_Power Cost Value Copy 11.30.05 gas 1.09.06 AURORA at 1.10.06_Transmission Workbook for May BOD" xfId="4681" xr:uid="{00000000-0005-0000-0000-000042120000}"/>
    <cellStyle name="_Power Cost Value Copy 11.30.05 gas 1.09.06 AURORA at 1.10.06_Transmission Workbook for May BOD 2" xfId="4682" xr:uid="{00000000-0005-0000-0000-000043120000}"/>
    <cellStyle name="_Power Cost Value Copy 11.30.05 gas 1.09.06 AURORA at 1.10.06_Wind Integration 10GRC" xfId="4683" xr:uid="{00000000-0005-0000-0000-000044120000}"/>
    <cellStyle name="_Power Cost Value Copy 11.30.05 gas 1.09.06 AURORA at 1.10.06_Wind Integration 10GRC 2" xfId="4684" xr:uid="{00000000-0005-0000-0000-000045120000}"/>
    <cellStyle name="_Power Costs Rate Year 11-13-07" xfId="4685" xr:uid="{00000000-0005-0000-0000-000046120000}"/>
    <cellStyle name="_Price Output" xfId="4686" xr:uid="{00000000-0005-0000-0000-000047120000}"/>
    <cellStyle name="_Price Output 2" xfId="4687" xr:uid="{00000000-0005-0000-0000-000048120000}"/>
    <cellStyle name="_Price Output_NIM Summary" xfId="4688" xr:uid="{00000000-0005-0000-0000-000049120000}"/>
    <cellStyle name="_Price Output_NIM Summary 2" xfId="4689" xr:uid="{00000000-0005-0000-0000-00004A120000}"/>
    <cellStyle name="_Price Output_Wind Integration 10GRC" xfId="4690" xr:uid="{00000000-0005-0000-0000-00004B120000}"/>
    <cellStyle name="_Price Output_Wind Integration 10GRC 2" xfId="4691" xr:uid="{00000000-0005-0000-0000-00004C120000}"/>
    <cellStyle name="_Prices" xfId="4692" xr:uid="{00000000-0005-0000-0000-00004D120000}"/>
    <cellStyle name="_Prices 2" xfId="4693" xr:uid="{00000000-0005-0000-0000-00004E120000}"/>
    <cellStyle name="_Prices_NIM Summary" xfId="4694" xr:uid="{00000000-0005-0000-0000-00004F120000}"/>
    <cellStyle name="_Prices_NIM Summary 2" xfId="4695" xr:uid="{00000000-0005-0000-0000-000050120000}"/>
    <cellStyle name="_Prices_Wind Integration 10GRC" xfId="4696" xr:uid="{00000000-0005-0000-0000-000051120000}"/>
    <cellStyle name="_Prices_Wind Integration 10GRC 2" xfId="4697" xr:uid="{00000000-0005-0000-0000-000052120000}"/>
    <cellStyle name="_Pro Forma Rev 07 GRC" xfId="4698" xr:uid="{00000000-0005-0000-0000-000053120000}"/>
    <cellStyle name="_x0013__Rebuttal Power Costs" xfId="4699" xr:uid="{00000000-0005-0000-0000-000054120000}"/>
    <cellStyle name="_x0013__Rebuttal Power Costs 2" xfId="4700" xr:uid="{00000000-0005-0000-0000-000055120000}"/>
    <cellStyle name="_x0013__Rebuttal Power Costs 2 2" xfId="4701" xr:uid="{00000000-0005-0000-0000-000056120000}"/>
    <cellStyle name="_x0013__Rebuttal Power Costs 3" xfId="4702" xr:uid="{00000000-0005-0000-0000-000057120000}"/>
    <cellStyle name="_x0013__Rebuttal Power Costs 4" xfId="4703" xr:uid="{00000000-0005-0000-0000-000058120000}"/>
    <cellStyle name="_x0013__Rebuttal Power Costs_Adj Bench DR 3 for Initial Briefs (Electric)" xfId="4704" xr:uid="{00000000-0005-0000-0000-000059120000}"/>
    <cellStyle name="_x0013__Rebuttal Power Costs_Adj Bench DR 3 for Initial Briefs (Electric) 2" xfId="4705" xr:uid="{00000000-0005-0000-0000-00005A120000}"/>
    <cellStyle name="_x0013__Rebuttal Power Costs_Adj Bench DR 3 for Initial Briefs (Electric) 2 2" xfId="4706" xr:uid="{00000000-0005-0000-0000-00005B120000}"/>
    <cellStyle name="_x0013__Rebuttal Power Costs_Adj Bench DR 3 for Initial Briefs (Electric) 3" xfId="4707" xr:uid="{00000000-0005-0000-0000-00005C120000}"/>
    <cellStyle name="_x0013__Rebuttal Power Costs_Adj Bench DR 3 for Initial Briefs (Electric) 4" xfId="4708" xr:uid="{00000000-0005-0000-0000-00005D120000}"/>
    <cellStyle name="_x0013__Rebuttal Power Costs_Electric Rev Req Model (2009 GRC) Rebuttal" xfId="4709" xr:uid="{00000000-0005-0000-0000-00005E120000}"/>
    <cellStyle name="_x0013__Rebuttal Power Costs_Electric Rev Req Model (2009 GRC) Rebuttal 2" xfId="4710" xr:uid="{00000000-0005-0000-0000-00005F120000}"/>
    <cellStyle name="_x0013__Rebuttal Power Costs_Electric Rev Req Model (2009 GRC) Rebuttal 2 2" xfId="4711" xr:uid="{00000000-0005-0000-0000-000060120000}"/>
    <cellStyle name="_x0013__Rebuttal Power Costs_Electric Rev Req Model (2009 GRC) Rebuttal 3" xfId="4712" xr:uid="{00000000-0005-0000-0000-000061120000}"/>
    <cellStyle name="_x0013__Rebuttal Power Costs_Electric Rev Req Model (2009 GRC) Rebuttal 4" xfId="4713" xr:uid="{00000000-0005-0000-0000-000062120000}"/>
    <cellStyle name="_x0013__Rebuttal Power Costs_Electric Rev Req Model (2009 GRC) Rebuttal REmoval of New  WH Solar AdjustMI" xfId="4714" xr:uid="{00000000-0005-0000-0000-000063120000}"/>
    <cellStyle name="_x0013__Rebuttal Power Costs_Electric Rev Req Model (2009 GRC) Rebuttal REmoval of New  WH Solar AdjustMI 2" xfId="4715" xr:uid="{00000000-0005-0000-0000-000064120000}"/>
    <cellStyle name="_x0013__Rebuttal Power Costs_Electric Rev Req Model (2009 GRC) Rebuttal REmoval of New  WH Solar AdjustMI 2 2" xfId="4716" xr:uid="{00000000-0005-0000-0000-000065120000}"/>
    <cellStyle name="_x0013__Rebuttal Power Costs_Electric Rev Req Model (2009 GRC) Rebuttal REmoval of New  WH Solar AdjustMI 3" xfId="4717" xr:uid="{00000000-0005-0000-0000-000066120000}"/>
    <cellStyle name="_x0013__Rebuttal Power Costs_Electric Rev Req Model (2009 GRC) Rebuttal REmoval of New  WH Solar AdjustMI 4" xfId="4718" xr:uid="{00000000-0005-0000-0000-000067120000}"/>
    <cellStyle name="_x0013__Rebuttal Power Costs_Electric Rev Req Model (2009 GRC) Revised 01-18-2010" xfId="4719" xr:uid="{00000000-0005-0000-0000-000068120000}"/>
    <cellStyle name="_x0013__Rebuttal Power Costs_Electric Rev Req Model (2009 GRC) Revised 01-18-2010 2" xfId="4720" xr:uid="{00000000-0005-0000-0000-000069120000}"/>
    <cellStyle name="_x0013__Rebuttal Power Costs_Electric Rev Req Model (2009 GRC) Revised 01-18-2010 2 2" xfId="4721" xr:uid="{00000000-0005-0000-0000-00006A120000}"/>
    <cellStyle name="_x0013__Rebuttal Power Costs_Electric Rev Req Model (2009 GRC) Revised 01-18-2010 3" xfId="4722" xr:uid="{00000000-0005-0000-0000-00006B120000}"/>
    <cellStyle name="_x0013__Rebuttal Power Costs_Electric Rev Req Model (2009 GRC) Revised 01-18-2010 4" xfId="4723" xr:uid="{00000000-0005-0000-0000-00006C120000}"/>
    <cellStyle name="_x0013__Rebuttal Power Costs_Final Order Electric EXHIBIT A-1" xfId="4724" xr:uid="{00000000-0005-0000-0000-00006D120000}"/>
    <cellStyle name="_x0013__Rebuttal Power Costs_Final Order Electric EXHIBIT A-1 2" xfId="4725" xr:uid="{00000000-0005-0000-0000-00006E120000}"/>
    <cellStyle name="_x0013__Rebuttal Power Costs_Final Order Electric EXHIBIT A-1 2 2" xfId="4726" xr:uid="{00000000-0005-0000-0000-00006F120000}"/>
    <cellStyle name="_x0013__Rebuttal Power Costs_Final Order Electric EXHIBIT A-1 3" xfId="4727" xr:uid="{00000000-0005-0000-0000-000070120000}"/>
    <cellStyle name="_x0013__Rebuttal Power Costs_Final Order Electric EXHIBIT A-1 4" xfId="4728" xr:uid="{00000000-0005-0000-0000-000071120000}"/>
    <cellStyle name="_recommendation" xfId="4729" xr:uid="{00000000-0005-0000-0000-000072120000}"/>
    <cellStyle name="_recommendation 2" xfId="4730" xr:uid="{00000000-0005-0000-0000-000073120000}"/>
    <cellStyle name="_recommendation_DEM-WP(C) Wind Integration Summary 2010GRC" xfId="4731" xr:uid="{00000000-0005-0000-0000-000074120000}"/>
    <cellStyle name="_recommendation_DEM-WP(C) Wind Integration Summary 2010GRC 2" xfId="4732" xr:uid="{00000000-0005-0000-0000-000075120000}"/>
    <cellStyle name="_recommendation_NIM Summary" xfId="4733" xr:uid="{00000000-0005-0000-0000-000076120000}"/>
    <cellStyle name="_recommendation_NIM Summary 2" xfId="4734" xr:uid="{00000000-0005-0000-0000-000077120000}"/>
    <cellStyle name="_Recon to Darrin's 5.11.05 proforma" xfId="4735" xr:uid="{00000000-0005-0000-0000-000078120000}"/>
    <cellStyle name="_Recon to Darrin's 5.11.05 proforma 2" xfId="4736" xr:uid="{00000000-0005-0000-0000-000079120000}"/>
    <cellStyle name="_Recon to Darrin's 5.11.05 proforma 2 2" xfId="4737" xr:uid="{00000000-0005-0000-0000-00007A120000}"/>
    <cellStyle name="_Recon to Darrin's 5.11.05 proforma 2 2 2" xfId="4738" xr:uid="{00000000-0005-0000-0000-00007B120000}"/>
    <cellStyle name="_Recon to Darrin's 5.11.05 proforma 2 3" xfId="4739" xr:uid="{00000000-0005-0000-0000-00007C120000}"/>
    <cellStyle name="_Recon to Darrin's 5.11.05 proforma 3" xfId="4740" xr:uid="{00000000-0005-0000-0000-00007D120000}"/>
    <cellStyle name="_Recon to Darrin's 5.11.05 proforma 3 2" xfId="4741" xr:uid="{00000000-0005-0000-0000-00007E120000}"/>
    <cellStyle name="_Recon to Darrin's 5.11.05 proforma 3 2 2" xfId="4742" xr:uid="{00000000-0005-0000-0000-00007F120000}"/>
    <cellStyle name="_Recon to Darrin's 5.11.05 proforma 3 3" xfId="4743" xr:uid="{00000000-0005-0000-0000-000080120000}"/>
    <cellStyle name="_Recon to Darrin's 5.11.05 proforma 3 3 2" xfId="4744" xr:uid="{00000000-0005-0000-0000-000081120000}"/>
    <cellStyle name="_Recon to Darrin's 5.11.05 proforma 3 4" xfId="4745" xr:uid="{00000000-0005-0000-0000-000082120000}"/>
    <cellStyle name="_Recon to Darrin's 5.11.05 proforma 3 4 2" xfId="4746" xr:uid="{00000000-0005-0000-0000-000083120000}"/>
    <cellStyle name="_Recon to Darrin's 5.11.05 proforma 4" xfId="4747" xr:uid="{00000000-0005-0000-0000-000084120000}"/>
    <cellStyle name="_Recon to Darrin's 5.11.05 proforma 4 2" xfId="4748" xr:uid="{00000000-0005-0000-0000-000085120000}"/>
    <cellStyle name="_Recon to Darrin's 5.11.05 proforma 5" xfId="4749" xr:uid="{00000000-0005-0000-0000-000086120000}"/>
    <cellStyle name="_Recon to Darrin's 5.11.05 proforma 6" xfId="4750" xr:uid="{00000000-0005-0000-0000-000087120000}"/>
    <cellStyle name="_Recon to Darrin's 5.11.05 proforma 7" xfId="4751" xr:uid="{00000000-0005-0000-0000-000088120000}"/>
    <cellStyle name="_Recon to Darrin's 5.11.05 proforma_(C) WHE Proforma with ITC cash grant 10 Yr Amort_for deferral_102809" xfId="4752" xr:uid="{00000000-0005-0000-0000-000089120000}"/>
    <cellStyle name="_Recon to Darrin's 5.11.05 proforma_(C) WHE Proforma with ITC cash grant 10 Yr Amort_for deferral_102809 2" xfId="4753" xr:uid="{00000000-0005-0000-0000-00008A120000}"/>
    <cellStyle name="_Recon to Darrin's 5.11.05 proforma_(C) WHE Proforma with ITC cash grant 10 Yr Amort_for deferral_102809 2 2" xfId="4754" xr:uid="{00000000-0005-0000-0000-00008B120000}"/>
    <cellStyle name="_Recon to Darrin's 5.11.05 proforma_(C) WHE Proforma with ITC cash grant 10 Yr Amort_for deferral_102809 3" xfId="4755" xr:uid="{00000000-0005-0000-0000-00008C120000}"/>
    <cellStyle name="_Recon to Darrin's 5.11.05 proforma_(C) WHE Proforma with ITC cash grant 10 Yr Amort_for deferral_102809 4" xfId="4756" xr:uid="{00000000-0005-0000-0000-00008D120000}"/>
    <cellStyle name="_Recon to Darrin's 5.11.05 proforma_(C) WHE Proforma with ITC cash grant 10 Yr Amort_for deferral_102809_16.07E Wild Horse Wind Expansionwrkingfile" xfId="4757" xr:uid="{00000000-0005-0000-0000-00008E120000}"/>
    <cellStyle name="_Recon to Darrin's 5.11.05 proforma_(C) WHE Proforma with ITC cash grant 10 Yr Amort_for deferral_102809_16.07E Wild Horse Wind Expansionwrkingfile 2" xfId="4758" xr:uid="{00000000-0005-0000-0000-00008F120000}"/>
    <cellStyle name="_Recon to Darrin's 5.11.05 proforma_(C) WHE Proforma with ITC cash grant 10 Yr Amort_for deferral_102809_16.07E Wild Horse Wind Expansionwrkingfile 2 2" xfId="4759" xr:uid="{00000000-0005-0000-0000-000090120000}"/>
    <cellStyle name="_Recon to Darrin's 5.11.05 proforma_(C) WHE Proforma with ITC cash grant 10 Yr Amort_for deferral_102809_16.07E Wild Horse Wind Expansionwrkingfile 3" xfId="4760" xr:uid="{00000000-0005-0000-0000-000091120000}"/>
    <cellStyle name="_Recon to Darrin's 5.11.05 proforma_(C) WHE Proforma with ITC cash grant 10 Yr Amort_for deferral_102809_16.07E Wild Horse Wind Expansionwrkingfile 4" xfId="4761" xr:uid="{00000000-0005-0000-0000-000092120000}"/>
    <cellStyle name="_Recon to Darrin's 5.11.05 proforma_(C) WHE Proforma with ITC cash grant 10 Yr Amort_for deferral_102809_16.07E Wild Horse Wind Expansionwrkingfile SF" xfId="4762" xr:uid="{00000000-0005-0000-0000-000093120000}"/>
    <cellStyle name="_Recon to Darrin's 5.11.05 proforma_(C) WHE Proforma with ITC cash grant 10 Yr Amort_for deferral_102809_16.07E Wild Horse Wind Expansionwrkingfile SF 2" xfId="4763" xr:uid="{00000000-0005-0000-0000-000094120000}"/>
    <cellStyle name="_Recon to Darrin's 5.11.05 proforma_(C) WHE Proforma with ITC cash grant 10 Yr Amort_for deferral_102809_16.07E Wild Horse Wind Expansionwrkingfile SF 2 2" xfId="4764" xr:uid="{00000000-0005-0000-0000-000095120000}"/>
    <cellStyle name="_Recon to Darrin's 5.11.05 proforma_(C) WHE Proforma with ITC cash grant 10 Yr Amort_for deferral_102809_16.07E Wild Horse Wind Expansionwrkingfile SF 3" xfId="4765" xr:uid="{00000000-0005-0000-0000-000096120000}"/>
    <cellStyle name="_Recon to Darrin's 5.11.05 proforma_(C) WHE Proforma with ITC cash grant 10 Yr Amort_for deferral_102809_16.07E Wild Horse Wind Expansionwrkingfile SF 4" xfId="4766" xr:uid="{00000000-0005-0000-0000-000097120000}"/>
    <cellStyle name="_Recon to Darrin's 5.11.05 proforma_(C) WHE Proforma with ITC cash grant 10 Yr Amort_for deferral_102809_16.37E Wild Horse Expansion DeferralRevwrkingfile SF" xfId="4767" xr:uid="{00000000-0005-0000-0000-000098120000}"/>
    <cellStyle name="_Recon to Darrin's 5.11.05 proforma_(C) WHE Proforma with ITC cash grant 10 Yr Amort_for deferral_102809_16.37E Wild Horse Expansion DeferralRevwrkingfile SF 2" xfId="4768" xr:uid="{00000000-0005-0000-0000-000099120000}"/>
    <cellStyle name="_Recon to Darrin's 5.11.05 proforma_(C) WHE Proforma with ITC cash grant 10 Yr Amort_for deferral_102809_16.37E Wild Horse Expansion DeferralRevwrkingfile SF 2 2" xfId="4769" xr:uid="{00000000-0005-0000-0000-00009A120000}"/>
    <cellStyle name="_Recon to Darrin's 5.11.05 proforma_(C) WHE Proforma with ITC cash grant 10 Yr Amort_for deferral_102809_16.37E Wild Horse Expansion DeferralRevwrkingfile SF 3" xfId="4770" xr:uid="{00000000-0005-0000-0000-00009B120000}"/>
    <cellStyle name="_Recon to Darrin's 5.11.05 proforma_(C) WHE Proforma with ITC cash grant 10 Yr Amort_for deferral_102809_16.37E Wild Horse Expansion DeferralRevwrkingfile SF 4" xfId="4771" xr:uid="{00000000-0005-0000-0000-00009C120000}"/>
    <cellStyle name="_Recon to Darrin's 5.11.05 proforma_(C) WHE Proforma with ITC cash grant 10 Yr Amort_for rebuttal_120709" xfId="4772" xr:uid="{00000000-0005-0000-0000-00009D120000}"/>
    <cellStyle name="_Recon to Darrin's 5.11.05 proforma_(C) WHE Proforma with ITC cash grant 10 Yr Amort_for rebuttal_120709 2" xfId="4773" xr:uid="{00000000-0005-0000-0000-00009E120000}"/>
    <cellStyle name="_Recon to Darrin's 5.11.05 proforma_(C) WHE Proforma with ITC cash grant 10 Yr Amort_for rebuttal_120709 2 2" xfId="4774" xr:uid="{00000000-0005-0000-0000-00009F120000}"/>
    <cellStyle name="_Recon to Darrin's 5.11.05 proforma_(C) WHE Proforma with ITC cash grant 10 Yr Amort_for rebuttal_120709 3" xfId="4775" xr:uid="{00000000-0005-0000-0000-0000A0120000}"/>
    <cellStyle name="_Recon to Darrin's 5.11.05 proforma_(C) WHE Proforma with ITC cash grant 10 Yr Amort_for rebuttal_120709 4" xfId="4776" xr:uid="{00000000-0005-0000-0000-0000A1120000}"/>
    <cellStyle name="_Recon to Darrin's 5.11.05 proforma_04.07E Wild Horse Wind Expansion" xfId="4777" xr:uid="{00000000-0005-0000-0000-0000A2120000}"/>
    <cellStyle name="_Recon to Darrin's 5.11.05 proforma_04.07E Wild Horse Wind Expansion 2" xfId="4778" xr:uid="{00000000-0005-0000-0000-0000A3120000}"/>
    <cellStyle name="_Recon to Darrin's 5.11.05 proforma_04.07E Wild Horse Wind Expansion 2 2" xfId="4779" xr:uid="{00000000-0005-0000-0000-0000A4120000}"/>
    <cellStyle name="_Recon to Darrin's 5.11.05 proforma_04.07E Wild Horse Wind Expansion 3" xfId="4780" xr:uid="{00000000-0005-0000-0000-0000A5120000}"/>
    <cellStyle name="_Recon to Darrin's 5.11.05 proforma_04.07E Wild Horse Wind Expansion 4" xfId="4781" xr:uid="{00000000-0005-0000-0000-0000A6120000}"/>
    <cellStyle name="_Recon to Darrin's 5.11.05 proforma_04.07E Wild Horse Wind Expansion_16.07E Wild Horse Wind Expansionwrkingfile" xfId="4782" xr:uid="{00000000-0005-0000-0000-0000A7120000}"/>
    <cellStyle name="_Recon to Darrin's 5.11.05 proforma_04.07E Wild Horse Wind Expansion_16.07E Wild Horse Wind Expansionwrkingfile 2" xfId="4783" xr:uid="{00000000-0005-0000-0000-0000A8120000}"/>
    <cellStyle name="_Recon to Darrin's 5.11.05 proforma_04.07E Wild Horse Wind Expansion_16.07E Wild Horse Wind Expansionwrkingfile 2 2" xfId="4784" xr:uid="{00000000-0005-0000-0000-0000A9120000}"/>
    <cellStyle name="_Recon to Darrin's 5.11.05 proforma_04.07E Wild Horse Wind Expansion_16.07E Wild Horse Wind Expansionwrkingfile 3" xfId="4785" xr:uid="{00000000-0005-0000-0000-0000AA120000}"/>
    <cellStyle name="_Recon to Darrin's 5.11.05 proforma_04.07E Wild Horse Wind Expansion_16.07E Wild Horse Wind Expansionwrkingfile 4" xfId="4786" xr:uid="{00000000-0005-0000-0000-0000AB120000}"/>
    <cellStyle name="_Recon to Darrin's 5.11.05 proforma_04.07E Wild Horse Wind Expansion_16.07E Wild Horse Wind Expansionwrkingfile SF" xfId="4787" xr:uid="{00000000-0005-0000-0000-0000AC120000}"/>
    <cellStyle name="_Recon to Darrin's 5.11.05 proforma_04.07E Wild Horse Wind Expansion_16.07E Wild Horse Wind Expansionwrkingfile SF 2" xfId="4788" xr:uid="{00000000-0005-0000-0000-0000AD120000}"/>
    <cellStyle name="_Recon to Darrin's 5.11.05 proforma_04.07E Wild Horse Wind Expansion_16.07E Wild Horse Wind Expansionwrkingfile SF 2 2" xfId="4789" xr:uid="{00000000-0005-0000-0000-0000AE120000}"/>
    <cellStyle name="_Recon to Darrin's 5.11.05 proforma_04.07E Wild Horse Wind Expansion_16.07E Wild Horse Wind Expansionwrkingfile SF 3" xfId="4790" xr:uid="{00000000-0005-0000-0000-0000AF120000}"/>
    <cellStyle name="_Recon to Darrin's 5.11.05 proforma_04.07E Wild Horse Wind Expansion_16.07E Wild Horse Wind Expansionwrkingfile SF 4" xfId="4791" xr:uid="{00000000-0005-0000-0000-0000B0120000}"/>
    <cellStyle name="_Recon to Darrin's 5.11.05 proforma_04.07E Wild Horse Wind Expansion_16.37E Wild Horse Expansion DeferralRevwrkingfile SF" xfId="4792" xr:uid="{00000000-0005-0000-0000-0000B1120000}"/>
    <cellStyle name="_Recon to Darrin's 5.11.05 proforma_04.07E Wild Horse Wind Expansion_16.37E Wild Horse Expansion DeferralRevwrkingfile SF 2" xfId="4793" xr:uid="{00000000-0005-0000-0000-0000B2120000}"/>
    <cellStyle name="_Recon to Darrin's 5.11.05 proforma_04.07E Wild Horse Wind Expansion_16.37E Wild Horse Expansion DeferralRevwrkingfile SF 2 2" xfId="4794" xr:uid="{00000000-0005-0000-0000-0000B3120000}"/>
    <cellStyle name="_Recon to Darrin's 5.11.05 proforma_04.07E Wild Horse Wind Expansion_16.37E Wild Horse Expansion DeferralRevwrkingfile SF 3" xfId="4795" xr:uid="{00000000-0005-0000-0000-0000B4120000}"/>
    <cellStyle name="_Recon to Darrin's 5.11.05 proforma_04.07E Wild Horse Wind Expansion_16.37E Wild Horse Expansion DeferralRevwrkingfile SF 4" xfId="4796" xr:uid="{00000000-0005-0000-0000-0000B5120000}"/>
    <cellStyle name="_Recon to Darrin's 5.11.05 proforma_16.07E Wild Horse Wind Expansionwrkingfile" xfId="4797" xr:uid="{00000000-0005-0000-0000-0000B6120000}"/>
    <cellStyle name="_Recon to Darrin's 5.11.05 proforma_16.07E Wild Horse Wind Expansionwrkingfile 2" xfId="4798" xr:uid="{00000000-0005-0000-0000-0000B7120000}"/>
    <cellStyle name="_Recon to Darrin's 5.11.05 proforma_16.07E Wild Horse Wind Expansionwrkingfile 2 2" xfId="4799" xr:uid="{00000000-0005-0000-0000-0000B8120000}"/>
    <cellStyle name="_Recon to Darrin's 5.11.05 proforma_16.07E Wild Horse Wind Expansionwrkingfile 3" xfId="4800" xr:uid="{00000000-0005-0000-0000-0000B9120000}"/>
    <cellStyle name="_Recon to Darrin's 5.11.05 proforma_16.07E Wild Horse Wind Expansionwrkingfile 4" xfId="4801" xr:uid="{00000000-0005-0000-0000-0000BA120000}"/>
    <cellStyle name="_Recon to Darrin's 5.11.05 proforma_16.07E Wild Horse Wind Expansionwrkingfile SF" xfId="4802" xr:uid="{00000000-0005-0000-0000-0000BB120000}"/>
    <cellStyle name="_Recon to Darrin's 5.11.05 proforma_16.07E Wild Horse Wind Expansionwrkingfile SF 2" xfId="4803" xr:uid="{00000000-0005-0000-0000-0000BC120000}"/>
    <cellStyle name="_Recon to Darrin's 5.11.05 proforma_16.07E Wild Horse Wind Expansionwrkingfile SF 2 2" xfId="4804" xr:uid="{00000000-0005-0000-0000-0000BD120000}"/>
    <cellStyle name="_Recon to Darrin's 5.11.05 proforma_16.07E Wild Horse Wind Expansionwrkingfile SF 3" xfId="4805" xr:uid="{00000000-0005-0000-0000-0000BE120000}"/>
    <cellStyle name="_Recon to Darrin's 5.11.05 proforma_16.07E Wild Horse Wind Expansionwrkingfile SF 4" xfId="4806" xr:uid="{00000000-0005-0000-0000-0000BF120000}"/>
    <cellStyle name="_Recon to Darrin's 5.11.05 proforma_16.37E Wild Horse Expansion DeferralRevwrkingfile SF" xfId="4807" xr:uid="{00000000-0005-0000-0000-0000C0120000}"/>
    <cellStyle name="_Recon to Darrin's 5.11.05 proforma_16.37E Wild Horse Expansion DeferralRevwrkingfile SF 2" xfId="4808" xr:uid="{00000000-0005-0000-0000-0000C1120000}"/>
    <cellStyle name="_Recon to Darrin's 5.11.05 proforma_16.37E Wild Horse Expansion DeferralRevwrkingfile SF 2 2" xfId="4809" xr:uid="{00000000-0005-0000-0000-0000C2120000}"/>
    <cellStyle name="_Recon to Darrin's 5.11.05 proforma_16.37E Wild Horse Expansion DeferralRevwrkingfile SF 3" xfId="4810" xr:uid="{00000000-0005-0000-0000-0000C3120000}"/>
    <cellStyle name="_Recon to Darrin's 5.11.05 proforma_16.37E Wild Horse Expansion DeferralRevwrkingfile SF 4" xfId="4811" xr:uid="{00000000-0005-0000-0000-0000C4120000}"/>
    <cellStyle name="_Recon to Darrin's 5.11.05 proforma_2009 Compliance Filing PCA Exhibits for GRC" xfId="4812" xr:uid="{00000000-0005-0000-0000-0000C5120000}"/>
    <cellStyle name="_Recon to Darrin's 5.11.05 proforma_2009 Compliance Filing PCA Exhibits for GRC 2" xfId="4813" xr:uid="{00000000-0005-0000-0000-0000C6120000}"/>
    <cellStyle name="_Recon to Darrin's 5.11.05 proforma_2009 GRC Compl Filing - Exhibit D" xfId="4814" xr:uid="{00000000-0005-0000-0000-0000C7120000}"/>
    <cellStyle name="_Recon to Darrin's 5.11.05 proforma_2009 GRC Compl Filing - Exhibit D 2" xfId="4815" xr:uid="{00000000-0005-0000-0000-0000C8120000}"/>
    <cellStyle name="_Recon to Darrin's 5.11.05 proforma_3.01 Income Statement" xfId="4816" xr:uid="{00000000-0005-0000-0000-0000C9120000}"/>
    <cellStyle name="_Recon to Darrin's 5.11.05 proforma_4 31 Regulatory Assets and Liabilities  7 06- Exhibit D" xfId="4817" xr:uid="{00000000-0005-0000-0000-0000CA120000}"/>
    <cellStyle name="_Recon to Darrin's 5.11.05 proforma_4 31 Regulatory Assets and Liabilities  7 06- Exhibit D 2" xfId="4818" xr:uid="{00000000-0005-0000-0000-0000CB120000}"/>
    <cellStyle name="_Recon to Darrin's 5.11.05 proforma_4 31 Regulatory Assets and Liabilities  7 06- Exhibit D 2 2" xfId="4819" xr:uid="{00000000-0005-0000-0000-0000CC120000}"/>
    <cellStyle name="_Recon to Darrin's 5.11.05 proforma_4 31 Regulatory Assets and Liabilities  7 06- Exhibit D 3" xfId="4820" xr:uid="{00000000-0005-0000-0000-0000CD120000}"/>
    <cellStyle name="_Recon to Darrin's 5.11.05 proforma_4 31 Regulatory Assets and Liabilities  7 06- Exhibit D 4" xfId="4821" xr:uid="{00000000-0005-0000-0000-0000CE120000}"/>
    <cellStyle name="_Recon to Darrin's 5.11.05 proforma_4 31 Regulatory Assets and Liabilities  7 06- Exhibit D_NIM Summary" xfId="4822" xr:uid="{00000000-0005-0000-0000-0000CF120000}"/>
    <cellStyle name="_Recon to Darrin's 5.11.05 proforma_4 31 Regulatory Assets and Liabilities  7 06- Exhibit D_NIM Summary 2" xfId="4823" xr:uid="{00000000-0005-0000-0000-0000D0120000}"/>
    <cellStyle name="_Recon to Darrin's 5.11.05 proforma_4 32 Regulatory Assets and Liabilities  7 06- Exhibit D" xfId="4824" xr:uid="{00000000-0005-0000-0000-0000D1120000}"/>
    <cellStyle name="_Recon to Darrin's 5.11.05 proforma_4 32 Regulatory Assets and Liabilities  7 06- Exhibit D 2" xfId="4825" xr:uid="{00000000-0005-0000-0000-0000D2120000}"/>
    <cellStyle name="_Recon to Darrin's 5.11.05 proforma_4 32 Regulatory Assets and Liabilities  7 06- Exhibit D 2 2" xfId="4826" xr:uid="{00000000-0005-0000-0000-0000D3120000}"/>
    <cellStyle name="_Recon to Darrin's 5.11.05 proforma_4 32 Regulatory Assets and Liabilities  7 06- Exhibit D 3" xfId="4827" xr:uid="{00000000-0005-0000-0000-0000D4120000}"/>
    <cellStyle name="_Recon to Darrin's 5.11.05 proforma_4 32 Regulatory Assets and Liabilities  7 06- Exhibit D 4" xfId="4828" xr:uid="{00000000-0005-0000-0000-0000D5120000}"/>
    <cellStyle name="_Recon to Darrin's 5.11.05 proforma_4 32 Regulatory Assets and Liabilities  7 06- Exhibit D_NIM Summary" xfId="4829" xr:uid="{00000000-0005-0000-0000-0000D6120000}"/>
    <cellStyle name="_Recon to Darrin's 5.11.05 proforma_4 32 Regulatory Assets and Liabilities  7 06- Exhibit D_NIM Summary 2" xfId="4830" xr:uid="{00000000-0005-0000-0000-0000D7120000}"/>
    <cellStyle name="_Recon to Darrin's 5.11.05 proforma_ACCOUNTS" xfId="4831" xr:uid="{00000000-0005-0000-0000-0000D8120000}"/>
    <cellStyle name="_Recon to Darrin's 5.11.05 proforma_AURORA Total New" xfId="4832" xr:uid="{00000000-0005-0000-0000-0000D9120000}"/>
    <cellStyle name="_Recon to Darrin's 5.11.05 proforma_AURORA Total New 2" xfId="4833" xr:uid="{00000000-0005-0000-0000-0000DA120000}"/>
    <cellStyle name="_Recon to Darrin's 5.11.05 proforma_Book2" xfId="4834" xr:uid="{00000000-0005-0000-0000-0000DB120000}"/>
    <cellStyle name="_Recon to Darrin's 5.11.05 proforma_Book2 2" xfId="4835" xr:uid="{00000000-0005-0000-0000-0000DC120000}"/>
    <cellStyle name="_Recon to Darrin's 5.11.05 proforma_Book2 2 2" xfId="4836" xr:uid="{00000000-0005-0000-0000-0000DD120000}"/>
    <cellStyle name="_Recon to Darrin's 5.11.05 proforma_Book2 3" xfId="4837" xr:uid="{00000000-0005-0000-0000-0000DE120000}"/>
    <cellStyle name="_Recon to Darrin's 5.11.05 proforma_Book2 4" xfId="4838" xr:uid="{00000000-0005-0000-0000-0000DF120000}"/>
    <cellStyle name="_Recon to Darrin's 5.11.05 proforma_Book2_Adj Bench DR 3 for Initial Briefs (Electric)" xfId="4839" xr:uid="{00000000-0005-0000-0000-0000E0120000}"/>
    <cellStyle name="_Recon to Darrin's 5.11.05 proforma_Book2_Adj Bench DR 3 for Initial Briefs (Electric) 2" xfId="4840" xr:uid="{00000000-0005-0000-0000-0000E1120000}"/>
    <cellStyle name="_Recon to Darrin's 5.11.05 proforma_Book2_Adj Bench DR 3 for Initial Briefs (Electric) 2 2" xfId="4841" xr:uid="{00000000-0005-0000-0000-0000E2120000}"/>
    <cellStyle name="_Recon to Darrin's 5.11.05 proforma_Book2_Adj Bench DR 3 for Initial Briefs (Electric) 3" xfId="4842" xr:uid="{00000000-0005-0000-0000-0000E3120000}"/>
    <cellStyle name="_Recon to Darrin's 5.11.05 proforma_Book2_Adj Bench DR 3 for Initial Briefs (Electric) 4" xfId="4843" xr:uid="{00000000-0005-0000-0000-0000E4120000}"/>
    <cellStyle name="_Recon to Darrin's 5.11.05 proforma_Book2_Electric Rev Req Model (2009 GRC) Rebuttal" xfId="4844" xr:uid="{00000000-0005-0000-0000-0000E5120000}"/>
    <cellStyle name="_Recon to Darrin's 5.11.05 proforma_Book2_Electric Rev Req Model (2009 GRC) Rebuttal 2" xfId="4845" xr:uid="{00000000-0005-0000-0000-0000E6120000}"/>
    <cellStyle name="_Recon to Darrin's 5.11.05 proforma_Book2_Electric Rev Req Model (2009 GRC) Rebuttal 2 2" xfId="4846" xr:uid="{00000000-0005-0000-0000-0000E7120000}"/>
    <cellStyle name="_Recon to Darrin's 5.11.05 proforma_Book2_Electric Rev Req Model (2009 GRC) Rebuttal 3" xfId="4847" xr:uid="{00000000-0005-0000-0000-0000E8120000}"/>
    <cellStyle name="_Recon to Darrin's 5.11.05 proforma_Book2_Electric Rev Req Model (2009 GRC) Rebuttal 4" xfId="4848" xr:uid="{00000000-0005-0000-0000-0000E9120000}"/>
    <cellStyle name="_Recon to Darrin's 5.11.05 proforma_Book2_Electric Rev Req Model (2009 GRC) Rebuttal REmoval of New  WH Solar AdjustMI" xfId="4849" xr:uid="{00000000-0005-0000-0000-0000EA120000}"/>
    <cellStyle name="_Recon to Darrin's 5.11.05 proforma_Book2_Electric Rev Req Model (2009 GRC) Rebuttal REmoval of New  WH Solar AdjustMI 2" xfId="4850" xr:uid="{00000000-0005-0000-0000-0000EB120000}"/>
    <cellStyle name="_Recon to Darrin's 5.11.05 proforma_Book2_Electric Rev Req Model (2009 GRC) Rebuttal REmoval of New  WH Solar AdjustMI 2 2" xfId="4851" xr:uid="{00000000-0005-0000-0000-0000EC120000}"/>
    <cellStyle name="_Recon to Darrin's 5.11.05 proforma_Book2_Electric Rev Req Model (2009 GRC) Rebuttal REmoval of New  WH Solar AdjustMI 3" xfId="4852" xr:uid="{00000000-0005-0000-0000-0000ED120000}"/>
    <cellStyle name="_Recon to Darrin's 5.11.05 proforma_Book2_Electric Rev Req Model (2009 GRC) Rebuttal REmoval of New  WH Solar AdjustMI 4" xfId="4853" xr:uid="{00000000-0005-0000-0000-0000EE120000}"/>
    <cellStyle name="_Recon to Darrin's 5.11.05 proforma_Book2_Electric Rev Req Model (2009 GRC) Revised 01-18-2010" xfId="4854" xr:uid="{00000000-0005-0000-0000-0000EF120000}"/>
    <cellStyle name="_Recon to Darrin's 5.11.05 proforma_Book2_Electric Rev Req Model (2009 GRC) Revised 01-18-2010 2" xfId="4855" xr:uid="{00000000-0005-0000-0000-0000F0120000}"/>
    <cellStyle name="_Recon to Darrin's 5.11.05 proforma_Book2_Electric Rev Req Model (2009 GRC) Revised 01-18-2010 2 2" xfId="4856" xr:uid="{00000000-0005-0000-0000-0000F1120000}"/>
    <cellStyle name="_Recon to Darrin's 5.11.05 proforma_Book2_Electric Rev Req Model (2009 GRC) Revised 01-18-2010 3" xfId="4857" xr:uid="{00000000-0005-0000-0000-0000F2120000}"/>
    <cellStyle name="_Recon to Darrin's 5.11.05 proforma_Book2_Electric Rev Req Model (2009 GRC) Revised 01-18-2010 4" xfId="4858" xr:uid="{00000000-0005-0000-0000-0000F3120000}"/>
    <cellStyle name="_Recon to Darrin's 5.11.05 proforma_Book2_Final Order Electric EXHIBIT A-1" xfId="4859" xr:uid="{00000000-0005-0000-0000-0000F4120000}"/>
    <cellStyle name="_Recon to Darrin's 5.11.05 proforma_Book2_Final Order Electric EXHIBIT A-1 2" xfId="4860" xr:uid="{00000000-0005-0000-0000-0000F5120000}"/>
    <cellStyle name="_Recon to Darrin's 5.11.05 proforma_Book2_Final Order Electric EXHIBIT A-1 2 2" xfId="4861" xr:uid="{00000000-0005-0000-0000-0000F6120000}"/>
    <cellStyle name="_Recon to Darrin's 5.11.05 proforma_Book2_Final Order Electric EXHIBIT A-1 3" xfId="4862" xr:uid="{00000000-0005-0000-0000-0000F7120000}"/>
    <cellStyle name="_Recon to Darrin's 5.11.05 proforma_Book2_Final Order Electric EXHIBIT A-1 4" xfId="4863" xr:uid="{00000000-0005-0000-0000-0000F8120000}"/>
    <cellStyle name="_Recon to Darrin's 5.11.05 proforma_Book4" xfId="4864" xr:uid="{00000000-0005-0000-0000-0000F9120000}"/>
    <cellStyle name="_Recon to Darrin's 5.11.05 proforma_Book4 2" xfId="4865" xr:uid="{00000000-0005-0000-0000-0000FA120000}"/>
    <cellStyle name="_Recon to Darrin's 5.11.05 proforma_Book4 2 2" xfId="4866" xr:uid="{00000000-0005-0000-0000-0000FB120000}"/>
    <cellStyle name="_Recon to Darrin's 5.11.05 proforma_Book4 3" xfId="4867" xr:uid="{00000000-0005-0000-0000-0000FC120000}"/>
    <cellStyle name="_Recon to Darrin's 5.11.05 proforma_Book4 4" xfId="4868" xr:uid="{00000000-0005-0000-0000-0000FD120000}"/>
    <cellStyle name="_Recon to Darrin's 5.11.05 proforma_Book9" xfId="4869" xr:uid="{00000000-0005-0000-0000-0000FE120000}"/>
    <cellStyle name="_Recon to Darrin's 5.11.05 proforma_Book9 2" xfId="4870" xr:uid="{00000000-0005-0000-0000-0000FF120000}"/>
    <cellStyle name="_Recon to Darrin's 5.11.05 proforma_Book9 2 2" xfId="4871" xr:uid="{00000000-0005-0000-0000-000000130000}"/>
    <cellStyle name="_Recon to Darrin's 5.11.05 proforma_Book9 3" xfId="4872" xr:uid="{00000000-0005-0000-0000-000001130000}"/>
    <cellStyle name="_Recon to Darrin's 5.11.05 proforma_Book9 4" xfId="4873" xr:uid="{00000000-0005-0000-0000-000002130000}"/>
    <cellStyle name="_Recon to Darrin's 5.11.05 proforma_Check the Interest Calculation" xfId="4874" xr:uid="{00000000-0005-0000-0000-000003130000}"/>
    <cellStyle name="_Recon to Darrin's 5.11.05 proforma_Check the Interest Calculation_Scenario 1 REC vs PTC Offset" xfId="4875" xr:uid="{00000000-0005-0000-0000-000004130000}"/>
    <cellStyle name="_Recon to Darrin's 5.11.05 proforma_Check the Interest Calculation_Scenario 3" xfId="4876" xr:uid="{00000000-0005-0000-0000-000005130000}"/>
    <cellStyle name="_Recon to Darrin's 5.11.05 proforma_Chelan PUD Power Costs (8-10)" xfId="4877" xr:uid="{00000000-0005-0000-0000-000006130000}"/>
    <cellStyle name="_Recon to Darrin's 5.11.05 proforma_Exhibit D fr R Gho 12-31-08" xfId="4878" xr:uid="{00000000-0005-0000-0000-000007130000}"/>
    <cellStyle name="_Recon to Darrin's 5.11.05 proforma_Exhibit D fr R Gho 12-31-08 2" xfId="4879" xr:uid="{00000000-0005-0000-0000-000008130000}"/>
    <cellStyle name="_Recon to Darrin's 5.11.05 proforma_Exhibit D fr R Gho 12-31-08 3" xfId="4880" xr:uid="{00000000-0005-0000-0000-000009130000}"/>
    <cellStyle name="_Recon to Darrin's 5.11.05 proforma_Exhibit D fr R Gho 12-31-08 v2" xfId="4881" xr:uid="{00000000-0005-0000-0000-00000A130000}"/>
    <cellStyle name="_Recon to Darrin's 5.11.05 proforma_Exhibit D fr R Gho 12-31-08 v2 2" xfId="4882" xr:uid="{00000000-0005-0000-0000-00000B130000}"/>
    <cellStyle name="_Recon to Darrin's 5.11.05 proforma_Exhibit D fr R Gho 12-31-08 v2 3" xfId="4883" xr:uid="{00000000-0005-0000-0000-00000C130000}"/>
    <cellStyle name="_Recon to Darrin's 5.11.05 proforma_Exhibit D fr R Gho 12-31-08 v2_NIM Summary" xfId="4884" xr:uid="{00000000-0005-0000-0000-00000D130000}"/>
    <cellStyle name="_Recon to Darrin's 5.11.05 proforma_Exhibit D fr R Gho 12-31-08 v2_NIM Summary 2" xfId="4885" xr:uid="{00000000-0005-0000-0000-00000E130000}"/>
    <cellStyle name="_Recon to Darrin's 5.11.05 proforma_Exhibit D fr R Gho 12-31-08_NIM Summary" xfId="4886" xr:uid="{00000000-0005-0000-0000-00000F130000}"/>
    <cellStyle name="_Recon to Darrin's 5.11.05 proforma_Exhibit D fr R Gho 12-31-08_NIM Summary 2" xfId="4887" xr:uid="{00000000-0005-0000-0000-000010130000}"/>
    <cellStyle name="_Recon to Darrin's 5.11.05 proforma_Gas Rev Req Model (2010 GRC)" xfId="4888" xr:uid="{00000000-0005-0000-0000-000011130000}"/>
    <cellStyle name="_Recon to Darrin's 5.11.05 proforma_Hopkins Ridge Prepaid Tran - Interest Earned RY 12ME Feb  '11" xfId="4889" xr:uid="{00000000-0005-0000-0000-000012130000}"/>
    <cellStyle name="_Recon to Darrin's 5.11.05 proforma_Hopkins Ridge Prepaid Tran - Interest Earned RY 12ME Feb  '11 2" xfId="4890" xr:uid="{00000000-0005-0000-0000-000013130000}"/>
    <cellStyle name="_Recon to Darrin's 5.11.05 proforma_Hopkins Ridge Prepaid Tran - Interest Earned RY 12ME Feb  '11_NIM Summary" xfId="4891" xr:uid="{00000000-0005-0000-0000-000014130000}"/>
    <cellStyle name="_Recon to Darrin's 5.11.05 proforma_Hopkins Ridge Prepaid Tran - Interest Earned RY 12ME Feb  '11_NIM Summary 2" xfId="4892" xr:uid="{00000000-0005-0000-0000-000015130000}"/>
    <cellStyle name="_Recon to Darrin's 5.11.05 proforma_Hopkins Ridge Prepaid Tran - Interest Earned RY 12ME Feb  '11_Transmission Workbook for May BOD" xfId="4893" xr:uid="{00000000-0005-0000-0000-000016130000}"/>
    <cellStyle name="_Recon to Darrin's 5.11.05 proforma_Hopkins Ridge Prepaid Tran - Interest Earned RY 12ME Feb  '11_Transmission Workbook for May BOD 2" xfId="4894" xr:uid="{00000000-0005-0000-0000-000017130000}"/>
    <cellStyle name="_Recon to Darrin's 5.11.05 proforma_INPUTS" xfId="4895" xr:uid="{00000000-0005-0000-0000-000018130000}"/>
    <cellStyle name="_Recon to Darrin's 5.11.05 proforma_INPUTS 2" xfId="4896" xr:uid="{00000000-0005-0000-0000-000019130000}"/>
    <cellStyle name="_Recon to Darrin's 5.11.05 proforma_INPUTS 2 2" xfId="4897" xr:uid="{00000000-0005-0000-0000-00001A130000}"/>
    <cellStyle name="_Recon to Darrin's 5.11.05 proforma_INPUTS 3" xfId="4898" xr:uid="{00000000-0005-0000-0000-00001B130000}"/>
    <cellStyle name="_Recon to Darrin's 5.11.05 proforma_NIM Summary" xfId="4899" xr:uid="{00000000-0005-0000-0000-00001C130000}"/>
    <cellStyle name="_Recon to Darrin's 5.11.05 proforma_NIM Summary 09GRC" xfId="4900" xr:uid="{00000000-0005-0000-0000-00001D130000}"/>
    <cellStyle name="_Recon to Darrin's 5.11.05 proforma_NIM Summary 09GRC 2" xfId="4901" xr:uid="{00000000-0005-0000-0000-00001E130000}"/>
    <cellStyle name="_Recon to Darrin's 5.11.05 proforma_NIM Summary 2" xfId="4902" xr:uid="{00000000-0005-0000-0000-00001F130000}"/>
    <cellStyle name="_Recon to Darrin's 5.11.05 proforma_NIM Summary 3" xfId="4903" xr:uid="{00000000-0005-0000-0000-000020130000}"/>
    <cellStyle name="_Recon to Darrin's 5.11.05 proforma_NIM Summary 4" xfId="4904" xr:uid="{00000000-0005-0000-0000-000021130000}"/>
    <cellStyle name="_Recon to Darrin's 5.11.05 proforma_NIM Summary 5" xfId="4905" xr:uid="{00000000-0005-0000-0000-000022130000}"/>
    <cellStyle name="_Recon to Darrin's 5.11.05 proforma_NIM Summary 6" xfId="4906" xr:uid="{00000000-0005-0000-0000-000023130000}"/>
    <cellStyle name="_Recon to Darrin's 5.11.05 proforma_NIM Summary 7" xfId="4907" xr:uid="{00000000-0005-0000-0000-000024130000}"/>
    <cellStyle name="_Recon to Darrin's 5.11.05 proforma_NIM Summary 8" xfId="4908" xr:uid="{00000000-0005-0000-0000-000025130000}"/>
    <cellStyle name="_Recon to Darrin's 5.11.05 proforma_NIM Summary 9" xfId="4909" xr:uid="{00000000-0005-0000-0000-000026130000}"/>
    <cellStyle name="_Recon to Darrin's 5.11.05 proforma_PCA 10 -  Exhibit D from A Kellogg Jan 2011" xfId="4910" xr:uid="{00000000-0005-0000-0000-000027130000}"/>
    <cellStyle name="_Recon to Darrin's 5.11.05 proforma_PCA 10 -  Exhibit D from A Kellogg July 2011" xfId="4911" xr:uid="{00000000-0005-0000-0000-000028130000}"/>
    <cellStyle name="_Recon to Darrin's 5.11.05 proforma_PCA 10 -  Exhibit D from S Free Rcv'd 12-11" xfId="4912" xr:uid="{00000000-0005-0000-0000-000029130000}"/>
    <cellStyle name="_Recon to Darrin's 5.11.05 proforma_PCA 7 - Exhibit D update 11_30_08 (2)" xfId="4913" xr:uid="{00000000-0005-0000-0000-00002A130000}"/>
    <cellStyle name="_Recon to Darrin's 5.11.05 proforma_PCA 7 - Exhibit D update 11_30_08 (2) 2" xfId="4914" xr:uid="{00000000-0005-0000-0000-00002B130000}"/>
    <cellStyle name="_Recon to Darrin's 5.11.05 proforma_PCA 7 - Exhibit D update 11_30_08 (2) 2 2" xfId="4915" xr:uid="{00000000-0005-0000-0000-00002C130000}"/>
    <cellStyle name="_Recon to Darrin's 5.11.05 proforma_PCA 7 - Exhibit D update 11_30_08 (2) 3" xfId="4916" xr:uid="{00000000-0005-0000-0000-00002D130000}"/>
    <cellStyle name="_Recon to Darrin's 5.11.05 proforma_PCA 7 - Exhibit D update 11_30_08 (2) 4" xfId="4917" xr:uid="{00000000-0005-0000-0000-00002E130000}"/>
    <cellStyle name="_Recon to Darrin's 5.11.05 proforma_PCA 7 - Exhibit D update 11_30_08 (2)_NIM Summary" xfId="4918" xr:uid="{00000000-0005-0000-0000-00002F130000}"/>
    <cellStyle name="_Recon to Darrin's 5.11.05 proforma_PCA 7 - Exhibit D update 11_30_08 (2)_NIM Summary 2" xfId="4919" xr:uid="{00000000-0005-0000-0000-000030130000}"/>
    <cellStyle name="_Recon to Darrin's 5.11.05 proforma_PCA 8 - Exhibit D update 12_31_09" xfId="4920" xr:uid="{00000000-0005-0000-0000-000031130000}"/>
    <cellStyle name="_Recon to Darrin's 5.11.05 proforma_PCA 8 - Exhibit D update 12_31_09 2" xfId="4921" xr:uid="{00000000-0005-0000-0000-000032130000}"/>
    <cellStyle name="_Recon to Darrin's 5.11.05 proforma_PCA 9 -  Exhibit D April 2010" xfId="4922" xr:uid="{00000000-0005-0000-0000-000033130000}"/>
    <cellStyle name="_Recon to Darrin's 5.11.05 proforma_PCA 9 -  Exhibit D April 2010 (3)" xfId="4923" xr:uid="{00000000-0005-0000-0000-000034130000}"/>
    <cellStyle name="_Recon to Darrin's 5.11.05 proforma_PCA 9 -  Exhibit D April 2010 (3) 2" xfId="4924" xr:uid="{00000000-0005-0000-0000-000035130000}"/>
    <cellStyle name="_Recon to Darrin's 5.11.05 proforma_PCA 9 -  Exhibit D April 2010 2" xfId="4925" xr:uid="{00000000-0005-0000-0000-000036130000}"/>
    <cellStyle name="_Recon to Darrin's 5.11.05 proforma_PCA 9 -  Exhibit D April 2010 3" xfId="4926" xr:uid="{00000000-0005-0000-0000-000037130000}"/>
    <cellStyle name="_Recon to Darrin's 5.11.05 proforma_PCA 9 -  Exhibit D Feb 2010" xfId="4927" xr:uid="{00000000-0005-0000-0000-000038130000}"/>
    <cellStyle name="_Recon to Darrin's 5.11.05 proforma_PCA 9 -  Exhibit D Feb 2010 2" xfId="4928" xr:uid="{00000000-0005-0000-0000-000039130000}"/>
    <cellStyle name="_Recon to Darrin's 5.11.05 proforma_PCA 9 -  Exhibit D Feb 2010 v2" xfId="4929" xr:uid="{00000000-0005-0000-0000-00003A130000}"/>
    <cellStyle name="_Recon to Darrin's 5.11.05 proforma_PCA 9 -  Exhibit D Feb 2010 v2 2" xfId="4930" xr:uid="{00000000-0005-0000-0000-00003B130000}"/>
    <cellStyle name="_Recon to Darrin's 5.11.05 proforma_PCA 9 -  Exhibit D Feb 2010 WF" xfId="4931" xr:uid="{00000000-0005-0000-0000-00003C130000}"/>
    <cellStyle name="_Recon to Darrin's 5.11.05 proforma_PCA 9 -  Exhibit D Feb 2010 WF 2" xfId="4932" xr:uid="{00000000-0005-0000-0000-00003D130000}"/>
    <cellStyle name="_Recon to Darrin's 5.11.05 proforma_PCA 9 -  Exhibit D Jan 2010" xfId="4933" xr:uid="{00000000-0005-0000-0000-00003E130000}"/>
    <cellStyle name="_Recon to Darrin's 5.11.05 proforma_PCA 9 -  Exhibit D Jan 2010 2" xfId="4934" xr:uid="{00000000-0005-0000-0000-00003F130000}"/>
    <cellStyle name="_Recon to Darrin's 5.11.05 proforma_PCA 9 -  Exhibit D March 2010 (2)" xfId="4935" xr:uid="{00000000-0005-0000-0000-000040130000}"/>
    <cellStyle name="_Recon to Darrin's 5.11.05 proforma_PCA 9 -  Exhibit D March 2010 (2) 2" xfId="4936" xr:uid="{00000000-0005-0000-0000-000041130000}"/>
    <cellStyle name="_Recon to Darrin's 5.11.05 proforma_PCA 9 -  Exhibit D Nov 2010" xfId="4937" xr:uid="{00000000-0005-0000-0000-000042130000}"/>
    <cellStyle name="_Recon to Darrin's 5.11.05 proforma_PCA 9 -  Exhibit D Nov 2010 2" xfId="4938" xr:uid="{00000000-0005-0000-0000-000043130000}"/>
    <cellStyle name="_Recon to Darrin's 5.11.05 proforma_PCA 9 - Exhibit D at August 2010" xfId="4939" xr:uid="{00000000-0005-0000-0000-000044130000}"/>
    <cellStyle name="_Recon to Darrin's 5.11.05 proforma_PCA 9 - Exhibit D at August 2010 2" xfId="4940" xr:uid="{00000000-0005-0000-0000-000045130000}"/>
    <cellStyle name="_Recon to Darrin's 5.11.05 proforma_PCA 9 - Exhibit D June 2010 GRC" xfId="4941" xr:uid="{00000000-0005-0000-0000-000046130000}"/>
    <cellStyle name="_Recon to Darrin's 5.11.05 proforma_PCA 9 - Exhibit D June 2010 GRC 2" xfId="4942" xr:uid="{00000000-0005-0000-0000-000047130000}"/>
    <cellStyle name="_Recon to Darrin's 5.11.05 proforma_Power Costs - Comparison bx Rbtl-Staff-Jt-PC" xfId="4943" xr:uid="{00000000-0005-0000-0000-000048130000}"/>
    <cellStyle name="_Recon to Darrin's 5.11.05 proforma_Power Costs - Comparison bx Rbtl-Staff-Jt-PC 2" xfId="4944" xr:uid="{00000000-0005-0000-0000-000049130000}"/>
    <cellStyle name="_Recon to Darrin's 5.11.05 proforma_Power Costs - Comparison bx Rbtl-Staff-Jt-PC 2 2" xfId="4945" xr:uid="{00000000-0005-0000-0000-00004A130000}"/>
    <cellStyle name="_Recon to Darrin's 5.11.05 proforma_Power Costs - Comparison bx Rbtl-Staff-Jt-PC 3" xfId="4946" xr:uid="{00000000-0005-0000-0000-00004B130000}"/>
    <cellStyle name="_Recon to Darrin's 5.11.05 proforma_Power Costs - Comparison bx Rbtl-Staff-Jt-PC 4" xfId="4947" xr:uid="{00000000-0005-0000-0000-00004C130000}"/>
    <cellStyle name="_Recon to Darrin's 5.11.05 proforma_Power Costs - Comparison bx Rbtl-Staff-Jt-PC_Adj Bench DR 3 for Initial Briefs (Electric)" xfId="4948" xr:uid="{00000000-0005-0000-0000-00004D130000}"/>
    <cellStyle name="_Recon to Darrin's 5.11.05 proforma_Power Costs - Comparison bx Rbtl-Staff-Jt-PC_Adj Bench DR 3 for Initial Briefs (Electric) 2" xfId="4949" xr:uid="{00000000-0005-0000-0000-00004E130000}"/>
    <cellStyle name="_Recon to Darrin's 5.11.05 proforma_Power Costs - Comparison bx Rbtl-Staff-Jt-PC_Adj Bench DR 3 for Initial Briefs (Electric) 2 2" xfId="4950" xr:uid="{00000000-0005-0000-0000-00004F130000}"/>
    <cellStyle name="_Recon to Darrin's 5.11.05 proforma_Power Costs - Comparison bx Rbtl-Staff-Jt-PC_Adj Bench DR 3 for Initial Briefs (Electric) 3" xfId="4951" xr:uid="{00000000-0005-0000-0000-000050130000}"/>
    <cellStyle name="_Recon to Darrin's 5.11.05 proforma_Power Costs - Comparison bx Rbtl-Staff-Jt-PC_Adj Bench DR 3 for Initial Briefs (Electric) 4" xfId="4952" xr:uid="{00000000-0005-0000-0000-000051130000}"/>
    <cellStyle name="_Recon to Darrin's 5.11.05 proforma_Power Costs - Comparison bx Rbtl-Staff-Jt-PC_Electric Rev Req Model (2009 GRC) Rebuttal" xfId="4953" xr:uid="{00000000-0005-0000-0000-000052130000}"/>
    <cellStyle name="_Recon to Darrin's 5.11.05 proforma_Power Costs - Comparison bx Rbtl-Staff-Jt-PC_Electric Rev Req Model (2009 GRC) Rebuttal 2" xfId="4954" xr:uid="{00000000-0005-0000-0000-000053130000}"/>
    <cellStyle name="_Recon to Darrin's 5.11.05 proforma_Power Costs - Comparison bx Rbtl-Staff-Jt-PC_Electric Rev Req Model (2009 GRC) Rebuttal 2 2" xfId="4955" xr:uid="{00000000-0005-0000-0000-000054130000}"/>
    <cellStyle name="_Recon to Darrin's 5.11.05 proforma_Power Costs - Comparison bx Rbtl-Staff-Jt-PC_Electric Rev Req Model (2009 GRC) Rebuttal 3" xfId="4956" xr:uid="{00000000-0005-0000-0000-000055130000}"/>
    <cellStyle name="_Recon to Darrin's 5.11.05 proforma_Power Costs - Comparison bx Rbtl-Staff-Jt-PC_Electric Rev Req Model (2009 GRC) Rebuttal 4" xfId="4957" xr:uid="{00000000-0005-0000-0000-000056130000}"/>
    <cellStyle name="_Recon to Darrin's 5.11.05 proforma_Power Costs - Comparison bx Rbtl-Staff-Jt-PC_Electric Rev Req Model (2009 GRC) Rebuttal REmoval of New  WH Solar AdjustMI" xfId="4958" xr:uid="{00000000-0005-0000-0000-000057130000}"/>
    <cellStyle name="_Recon to Darrin's 5.11.05 proforma_Power Costs - Comparison bx Rbtl-Staff-Jt-PC_Electric Rev Req Model (2009 GRC) Rebuttal REmoval of New  WH Solar AdjustMI 2" xfId="4959" xr:uid="{00000000-0005-0000-0000-000058130000}"/>
    <cellStyle name="_Recon to Darrin's 5.11.05 proforma_Power Costs - Comparison bx Rbtl-Staff-Jt-PC_Electric Rev Req Model (2009 GRC) Rebuttal REmoval of New  WH Solar AdjustMI 2 2" xfId="4960" xr:uid="{00000000-0005-0000-0000-000059130000}"/>
    <cellStyle name="_Recon to Darrin's 5.11.05 proforma_Power Costs - Comparison bx Rbtl-Staff-Jt-PC_Electric Rev Req Model (2009 GRC) Rebuttal REmoval of New  WH Solar AdjustMI 3" xfId="4961" xr:uid="{00000000-0005-0000-0000-00005A130000}"/>
    <cellStyle name="_Recon to Darrin's 5.11.05 proforma_Power Costs - Comparison bx Rbtl-Staff-Jt-PC_Electric Rev Req Model (2009 GRC) Rebuttal REmoval of New  WH Solar AdjustMI 4" xfId="4962" xr:uid="{00000000-0005-0000-0000-00005B130000}"/>
    <cellStyle name="_Recon to Darrin's 5.11.05 proforma_Power Costs - Comparison bx Rbtl-Staff-Jt-PC_Electric Rev Req Model (2009 GRC) Revised 01-18-2010" xfId="4963" xr:uid="{00000000-0005-0000-0000-00005C130000}"/>
    <cellStyle name="_Recon to Darrin's 5.11.05 proforma_Power Costs - Comparison bx Rbtl-Staff-Jt-PC_Electric Rev Req Model (2009 GRC) Revised 01-18-2010 2" xfId="4964" xr:uid="{00000000-0005-0000-0000-00005D130000}"/>
    <cellStyle name="_Recon to Darrin's 5.11.05 proforma_Power Costs - Comparison bx Rbtl-Staff-Jt-PC_Electric Rev Req Model (2009 GRC) Revised 01-18-2010 2 2" xfId="4965" xr:uid="{00000000-0005-0000-0000-00005E130000}"/>
    <cellStyle name="_Recon to Darrin's 5.11.05 proforma_Power Costs - Comparison bx Rbtl-Staff-Jt-PC_Electric Rev Req Model (2009 GRC) Revised 01-18-2010 3" xfId="4966" xr:uid="{00000000-0005-0000-0000-00005F130000}"/>
    <cellStyle name="_Recon to Darrin's 5.11.05 proforma_Power Costs - Comparison bx Rbtl-Staff-Jt-PC_Electric Rev Req Model (2009 GRC) Revised 01-18-2010 4" xfId="4967" xr:uid="{00000000-0005-0000-0000-000060130000}"/>
    <cellStyle name="_Recon to Darrin's 5.11.05 proforma_Power Costs - Comparison bx Rbtl-Staff-Jt-PC_Final Order Electric EXHIBIT A-1" xfId="4968" xr:uid="{00000000-0005-0000-0000-000061130000}"/>
    <cellStyle name="_Recon to Darrin's 5.11.05 proforma_Power Costs - Comparison bx Rbtl-Staff-Jt-PC_Final Order Electric EXHIBIT A-1 2" xfId="4969" xr:uid="{00000000-0005-0000-0000-000062130000}"/>
    <cellStyle name="_Recon to Darrin's 5.11.05 proforma_Power Costs - Comparison bx Rbtl-Staff-Jt-PC_Final Order Electric EXHIBIT A-1 2 2" xfId="4970" xr:uid="{00000000-0005-0000-0000-000063130000}"/>
    <cellStyle name="_Recon to Darrin's 5.11.05 proforma_Power Costs - Comparison bx Rbtl-Staff-Jt-PC_Final Order Electric EXHIBIT A-1 3" xfId="4971" xr:uid="{00000000-0005-0000-0000-000064130000}"/>
    <cellStyle name="_Recon to Darrin's 5.11.05 proforma_Power Costs - Comparison bx Rbtl-Staff-Jt-PC_Final Order Electric EXHIBIT A-1 4" xfId="4972" xr:uid="{00000000-0005-0000-0000-000065130000}"/>
    <cellStyle name="_Recon to Darrin's 5.11.05 proforma_Production Adj 4.37" xfId="4973" xr:uid="{00000000-0005-0000-0000-000066130000}"/>
    <cellStyle name="_Recon to Darrin's 5.11.05 proforma_Production Adj 4.37 2" xfId="4974" xr:uid="{00000000-0005-0000-0000-000067130000}"/>
    <cellStyle name="_Recon to Darrin's 5.11.05 proforma_Production Adj 4.37 2 2" xfId="4975" xr:uid="{00000000-0005-0000-0000-000068130000}"/>
    <cellStyle name="_Recon to Darrin's 5.11.05 proforma_Production Adj 4.37 3" xfId="4976" xr:uid="{00000000-0005-0000-0000-000069130000}"/>
    <cellStyle name="_Recon to Darrin's 5.11.05 proforma_Purchased Power Adj 4.03" xfId="4977" xr:uid="{00000000-0005-0000-0000-00006A130000}"/>
    <cellStyle name="_Recon to Darrin's 5.11.05 proforma_Purchased Power Adj 4.03 2" xfId="4978" xr:uid="{00000000-0005-0000-0000-00006B130000}"/>
    <cellStyle name="_Recon to Darrin's 5.11.05 proforma_Purchased Power Adj 4.03 2 2" xfId="4979" xr:uid="{00000000-0005-0000-0000-00006C130000}"/>
    <cellStyle name="_Recon to Darrin's 5.11.05 proforma_Purchased Power Adj 4.03 3" xfId="4980" xr:uid="{00000000-0005-0000-0000-00006D130000}"/>
    <cellStyle name="_Recon to Darrin's 5.11.05 proforma_Rebuttal Power Costs" xfId="4981" xr:uid="{00000000-0005-0000-0000-00006E130000}"/>
    <cellStyle name="_Recon to Darrin's 5.11.05 proforma_Rebuttal Power Costs 2" xfId="4982" xr:uid="{00000000-0005-0000-0000-00006F130000}"/>
    <cellStyle name="_Recon to Darrin's 5.11.05 proforma_Rebuttal Power Costs 2 2" xfId="4983" xr:uid="{00000000-0005-0000-0000-000070130000}"/>
    <cellStyle name="_Recon to Darrin's 5.11.05 proforma_Rebuttal Power Costs 3" xfId="4984" xr:uid="{00000000-0005-0000-0000-000071130000}"/>
    <cellStyle name="_Recon to Darrin's 5.11.05 proforma_Rebuttal Power Costs 4" xfId="4985" xr:uid="{00000000-0005-0000-0000-000072130000}"/>
    <cellStyle name="_Recon to Darrin's 5.11.05 proforma_Rebuttal Power Costs_Adj Bench DR 3 for Initial Briefs (Electric)" xfId="4986" xr:uid="{00000000-0005-0000-0000-000073130000}"/>
    <cellStyle name="_Recon to Darrin's 5.11.05 proforma_Rebuttal Power Costs_Adj Bench DR 3 for Initial Briefs (Electric) 2" xfId="4987" xr:uid="{00000000-0005-0000-0000-000074130000}"/>
    <cellStyle name="_Recon to Darrin's 5.11.05 proforma_Rebuttal Power Costs_Adj Bench DR 3 for Initial Briefs (Electric) 2 2" xfId="4988" xr:uid="{00000000-0005-0000-0000-000075130000}"/>
    <cellStyle name="_Recon to Darrin's 5.11.05 proforma_Rebuttal Power Costs_Adj Bench DR 3 for Initial Briefs (Electric) 3" xfId="4989" xr:uid="{00000000-0005-0000-0000-000076130000}"/>
    <cellStyle name="_Recon to Darrin's 5.11.05 proforma_Rebuttal Power Costs_Adj Bench DR 3 for Initial Briefs (Electric) 4" xfId="4990" xr:uid="{00000000-0005-0000-0000-000077130000}"/>
    <cellStyle name="_Recon to Darrin's 5.11.05 proforma_Rebuttal Power Costs_Electric Rev Req Model (2009 GRC) Rebuttal" xfId="4991" xr:uid="{00000000-0005-0000-0000-000078130000}"/>
    <cellStyle name="_Recon to Darrin's 5.11.05 proforma_Rebuttal Power Costs_Electric Rev Req Model (2009 GRC) Rebuttal 2" xfId="4992" xr:uid="{00000000-0005-0000-0000-000079130000}"/>
    <cellStyle name="_Recon to Darrin's 5.11.05 proforma_Rebuttal Power Costs_Electric Rev Req Model (2009 GRC) Rebuttal 2 2" xfId="4993" xr:uid="{00000000-0005-0000-0000-00007A130000}"/>
    <cellStyle name="_Recon to Darrin's 5.11.05 proforma_Rebuttal Power Costs_Electric Rev Req Model (2009 GRC) Rebuttal 3" xfId="4994" xr:uid="{00000000-0005-0000-0000-00007B130000}"/>
    <cellStyle name="_Recon to Darrin's 5.11.05 proforma_Rebuttal Power Costs_Electric Rev Req Model (2009 GRC) Rebuttal 4" xfId="4995" xr:uid="{00000000-0005-0000-0000-00007C130000}"/>
    <cellStyle name="_Recon to Darrin's 5.11.05 proforma_Rebuttal Power Costs_Electric Rev Req Model (2009 GRC) Rebuttal REmoval of New  WH Solar AdjustMI" xfId="4996" xr:uid="{00000000-0005-0000-0000-00007D130000}"/>
    <cellStyle name="_Recon to Darrin's 5.11.05 proforma_Rebuttal Power Costs_Electric Rev Req Model (2009 GRC) Rebuttal REmoval of New  WH Solar AdjustMI 2" xfId="4997" xr:uid="{00000000-0005-0000-0000-00007E130000}"/>
    <cellStyle name="_Recon to Darrin's 5.11.05 proforma_Rebuttal Power Costs_Electric Rev Req Model (2009 GRC) Rebuttal REmoval of New  WH Solar AdjustMI 2 2" xfId="4998" xr:uid="{00000000-0005-0000-0000-00007F130000}"/>
    <cellStyle name="_Recon to Darrin's 5.11.05 proforma_Rebuttal Power Costs_Electric Rev Req Model (2009 GRC) Rebuttal REmoval of New  WH Solar AdjustMI 3" xfId="4999" xr:uid="{00000000-0005-0000-0000-000080130000}"/>
    <cellStyle name="_Recon to Darrin's 5.11.05 proforma_Rebuttal Power Costs_Electric Rev Req Model (2009 GRC) Rebuttal REmoval of New  WH Solar AdjustMI 4" xfId="5000" xr:uid="{00000000-0005-0000-0000-000081130000}"/>
    <cellStyle name="_Recon to Darrin's 5.11.05 proforma_Rebuttal Power Costs_Electric Rev Req Model (2009 GRC) Revised 01-18-2010" xfId="5001" xr:uid="{00000000-0005-0000-0000-000082130000}"/>
    <cellStyle name="_Recon to Darrin's 5.11.05 proforma_Rebuttal Power Costs_Electric Rev Req Model (2009 GRC) Revised 01-18-2010 2" xfId="5002" xr:uid="{00000000-0005-0000-0000-000083130000}"/>
    <cellStyle name="_Recon to Darrin's 5.11.05 proforma_Rebuttal Power Costs_Electric Rev Req Model (2009 GRC) Revised 01-18-2010 2 2" xfId="5003" xr:uid="{00000000-0005-0000-0000-000084130000}"/>
    <cellStyle name="_Recon to Darrin's 5.11.05 proforma_Rebuttal Power Costs_Electric Rev Req Model (2009 GRC) Revised 01-18-2010 3" xfId="5004" xr:uid="{00000000-0005-0000-0000-000085130000}"/>
    <cellStyle name="_Recon to Darrin's 5.11.05 proforma_Rebuttal Power Costs_Electric Rev Req Model (2009 GRC) Revised 01-18-2010 4" xfId="5005" xr:uid="{00000000-0005-0000-0000-000086130000}"/>
    <cellStyle name="_Recon to Darrin's 5.11.05 proforma_Rebuttal Power Costs_Final Order Electric EXHIBIT A-1" xfId="5006" xr:uid="{00000000-0005-0000-0000-000087130000}"/>
    <cellStyle name="_Recon to Darrin's 5.11.05 proforma_Rebuttal Power Costs_Final Order Electric EXHIBIT A-1 2" xfId="5007" xr:uid="{00000000-0005-0000-0000-000088130000}"/>
    <cellStyle name="_Recon to Darrin's 5.11.05 proforma_Rebuttal Power Costs_Final Order Electric EXHIBIT A-1 2 2" xfId="5008" xr:uid="{00000000-0005-0000-0000-000089130000}"/>
    <cellStyle name="_Recon to Darrin's 5.11.05 proforma_Rebuttal Power Costs_Final Order Electric EXHIBIT A-1 3" xfId="5009" xr:uid="{00000000-0005-0000-0000-00008A130000}"/>
    <cellStyle name="_Recon to Darrin's 5.11.05 proforma_Rebuttal Power Costs_Final Order Electric EXHIBIT A-1 4" xfId="5010" xr:uid="{00000000-0005-0000-0000-00008B130000}"/>
    <cellStyle name="_Recon to Darrin's 5.11.05 proforma_ROR &amp; CONV FACTOR" xfId="5011" xr:uid="{00000000-0005-0000-0000-00008C130000}"/>
    <cellStyle name="_Recon to Darrin's 5.11.05 proforma_ROR &amp; CONV FACTOR 2" xfId="5012" xr:uid="{00000000-0005-0000-0000-00008D130000}"/>
    <cellStyle name="_Recon to Darrin's 5.11.05 proforma_ROR &amp; CONV FACTOR 2 2" xfId="5013" xr:uid="{00000000-0005-0000-0000-00008E130000}"/>
    <cellStyle name="_Recon to Darrin's 5.11.05 proforma_ROR &amp; CONV FACTOR 3" xfId="5014" xr:uid="{00000000-0005-0000-0000-00008F130000}"/>
    <cellStyle name="_Recon to Darrin's 5.11.05 proforma_ROR 5.02" xfId="5015" xr:uid="{00000000-0005-0000-0000-000090130000}"/>
    <cellStyle name="_Recon to Darrin's 5.11.05 proforma_ROR 5.02 2" xfId="5016" xr:uid="{00000000-0005-0000-0000-000091130000}"/>
    <cellStyle name="_Recon to Darrin's 5.11.05 proforma_ROR 5.02 2 2" xfId="5017" xr:uid="{00000000-0005-0000-0000-000092130000}"/>
    <cellStyle name="_Recon to Darrin's 5.11.05 proforma_ROR 5.02 3" xfId="5018" xr:uid="{00000000-0005-0000-0000-000093130000}"/>
    <cellStyle name="_Recon to Darrin's 5.11.05 proforma_Transmission Workbook for May BOD" xfId="5019" xr:uid="{00000000-0005-0000-0000-000094130000}"/>
    <cellStyle name="_Recon to Darrin's 5.11.05 proforma_Transmission Workbook for May BOD 2" xfId="5020" xr:uid="{00000000-0005-0000-0000-000095130000}"/>
    <cellStyle name="_Recon to Darrin's 5.11.05 proforma_Wind Integration 10GRC" xfId="5021" xr:uid="{00000000-0005-0000-0000-000096130000}"/>
    <cellStyle name="_Recon to Darrin's 5.11.05 proforma_Wind Integration 10GRC 2" xfId="5022" xr:uid="{00000000-0005-0000-0000-000097130000}"/>
    <cellStyle name="_Revenue" xfId="5023" xr:uid="{00000000-0005-0000-0000-000098130000}"/>
    <cellStyle name="_Revenue_2.01G Temp Normalization(C) NEW WAY DM" xfId="5024" xr:uid="{00000000-0005-0000-0000-000099130000}"/>
    <cellStyle name="_Revenue_2.02G Revenues and Expenses NEW WAY DM" xfId="5025" xr:uid="{00000000-0005-0000-0000-00009A130000}"/>
    <cellStyle name="_Revenue_4.01G Temp Normalization (C)" xfId="5026" xr:uid="{00000000-0005-0000-0000-00009B130000}"/>
    <cellStyle name="_Revenue_4.01G Temp Normalization(HC)" xfId="5027" xr:uid="{00000000-0005-0000-0000-00009C130000}"/>
    <cellStyle name="_Revenue_4.01G Temp Normalization(HC)new" xfId="5028" xr:uid="{00000000-0005-0000-0000-00009D130000}"/>
    <cellStyle name="_Revenue_4.01G Temp Normalization(not used)" xfId="5029" xr:uid="{00000000-0005-0000-0000-00009E130000}"/>
    <cellStyle name="_Revenue_Book1" xfId="5030" xr:uid="{00000000-0005-0000-0000-00009F130000}"/>
    <cellStyle name="_Revenue_Data" xfId="5031" xr:uid="{00000000-0005-0000-0000-0000A0130000}"/>
    <cellStyle name="_Revenue_Data_1" xfId="5032" xr:uid="{00000000-0005-0000-0000-0000A1130000}"/>
    <cellStyle name="_Revenue_Data_Pro Forma Rev 09 GRC" xfId="5033" xr:uid="{00000000-0005-0000-0000-0000A2130000}"/>
    <cellStyle name="_Revenue_Data_Pro Forma Rev 2010 GRC" xfId="5034" xr:uid="{00000000-0005-0000-0000-0000A3130000}"/>
    <cellStyle name="_Revenue_Data_Pro Forma Rev 2010 GRC_Preliminary" xfId="5035" xr:uid="{00000000-0005-0000-0000-0000A4130000}"/>
    <cellStyle name="_Revenue_Data_Revenue (Feb 09 - Jan 10)" xfId="5036" xr:uid="{00000000-0005-0000-0000-0000A5130000}"/>
    <cellStyle name="_Revenue_Data_Revenue (Jan 09 - Dec 09)" xfId="5037" xr:uid="{00000000-0005-0000-0000-0000A6130000}"/>
    <cellStyle name="_Revenue_Data_Revenue (Mar 09 - Feb 10)" xfId="5038" xr:uid="{00000000-0005-0000-0000-0000A7130000}"/>
    <cellStyle name="_Revenue_Data_Volume Exhibit (Jan09 - Dec09)" xfId="5039" xr:uid="{00000000-0005-0000-0000-0000A8130000}"/>
    <cellStyle name="_Revenue_Mins" xfId="5040" xr:uid="{00000000-0005-0000-0000-0000A9130000}"/>
    <cellStyle name="_Revenue_Pro Forma Rev 07 GRC" xfId="5041" xr:uid="{00000000-0005-0000-0000-0000AA130000}"/>
    <cellStyle name="_Revenue_Pro Forma Rev 08 GRC" xfId="5042" xr:uid="{00000000-0005-0000-0000-0000AB130000}"/>
    <cellStyle name="_Revenue_Pro Forma Rev 09 GRC" xfId="5043" xr:uid="{00000000-0005-0000-0000-0000AC130000}"/>
    <cellStyle name="_Revenue_Pro Forma Rev 2010 GRC" xfId="5044" xr:uid="{00000000-0005-0000-0000-0000AD130000}"/>
    <cellStyle name="_Revenue_Pro Forma Rev 2010 GRC_Preliminary" xfId="5045" xr:uid="{00000000-0005-0000-0000-0000AE130000}"/>
    <cellStyle name="_Revenue_Revenue (Feb 09 - Jan 10)" xfId="5046" xr:uid="{00000000-0005-0000-0000-0000AF130000}"/>
    <cellStyle name="_Revenue_Revenue (Jan 09 - Dec 09)" xfId="5047" xr:uid="{00000000-0005-0000-0000-0000B0130000}"/>
    <cellStyle name="_Revenue_Revenue (Mar 09 - Feb 10)" xfId="5048" xr:uid="{00000000-0005-0000-0000-0000B1130000}"/>
    <cellStyle name="_Revenue_Revenue Proforma_Restating Gas 11-16-07" xfId="5049" xr:uid="{00000000-0005-0000-0000-0000B2130000}"/>
    <cellStyle name="_Revenue_Sheet2" xfId="5050" xr:uid="{00000000-0005-0000-0000-0000B3130000}"/>
    <cellStyle name="_Revenue_Therms Data" xfId="5051" xr:uid="{00000000-0005-0000-0000-0000B4130000}"/>
    <cellStyle name="_Revenue_Therms Data Rerun" xfId="5052" xr:uid="{00000000-0005-0000-0000-0000B5130000}"/>
    <cellStyle name="_Revenue_Volume Exhibit (Jan09 - Dec09)" xfId="5053" xr:uid="{00000000-0005-0000-0000-0000B6130000}"/>
    <cellStyle name="_x0013__Scenario 1 REC vs PTC Offset" xfId="5054" xr:uid="{00000000-0005-0000-0000-0000B7130000}"/>
    <cellStyle name="_x0013__Scenario 3" xfId="5055" xr:uid="{00000000-0005-0000-0000-0000B8130000}"/>
    <cellStyle name="_Sumas Proforma - 11-09-07" xfId="5056" xr:uid="{00000000-0005-0000-0000-0000B9130000}"/>
    <cellStyle name="_Sumas Proforma - 11-09-07 2" xfId="5057" xr:uid="{00000000-0005-0000-0000-0000BA130000}"/>
    <cellStyle name="_Sumas Property Taxes v1" xfId="5058" xr:uid="{00000000-0005-0000-0000-0000BB130000}"/>
    <cellStyle name="_Sumas Property Taxes v1 2" xfId="5059" xr:uid="{00000000-0005-0000-0000-0000BC130000}"/>
    <cellStyle name="_Tenaska Comparison" xfId="5060" xr:uid="{00000000-0005-0000-0000-0000BD130000}"/>
    <cellStyle name="_Tenaska Comparison 2" xfId="5061" xr:uid="{00000000-0005-0000-0000-0000BE130000}"/>
    <cellStyle name="_Tenaska Comparison 2 2" xfId="5062" xr:uid="{00000000-0005-0000-0000-0000BF130000}"/>
    <cellStyle name="_Tenaska Comparison 2 2 2" xfId="5063" xr:uid="{00000000-0005-0000-0000-0000C0130000}"/>
    <cellStyle name="_Tenaska Comparison 2 3" xfId="5064" xr:uid="{00000000-0005-0000-0000-0000C1130000}"/>
    <cellStyle name="_Tenaska Comparison 3" xfId="5065" xr:uid="{00000000-0005-0000-0000-0000C2130000}"/>
    <cellStyle name="_Tenaska Comparison 3 2" xfId="5066" xr:uid="{00000000-0005-0000-0000-0000C3130000}"/>
    <cellStyle name="_Tenaska Comparison 4" xfId="5067" xr:uid="{00000000-0005-0000-0000-0000C4130000}"/>
    <cellStyle name="_Tenaska Comparison 4 2" xfId="5068" xr:uid="{00000000-0005-0000-0000-0000C5130000}"/>
    <cellStyle name="_Tenaska Comparison 5" xfId="5069" xr:uid="{00000000-0005-0000-0000-0000C6130000}"/>
    <cellStyle name="_Tenaska Comparison_(C) WHE Proforma with ITC cash grant 10 Yr Amort_for deferral_102809" xfId="5070" xr:uid="{00000000-0005-0000-0000-0000C7130000}"/>
    <cellStyle name="_Tenaska Comparison_(C) WHE Proforma with ITC cash grant 10 Yr Amort_for deferral_102809 2" xfId="5071" xr:uid="{00000000-0005-0000-0000-0000C8130000}"/>
    <cellStyle name="_Tenaska Comparison_(C) WHE Proforma with ITC cash grant 10 Yr Amort_for deferral_102809 2 2" xfId="5072" xr:uid="{00000000-0005-0000-0000-0000C9130000}"/>
    <cellStyle name="_Tenaska Comparison_(C) WHE Proforma with ITC cash grant 10 Yr Amort_for deferral_102809 3" xfId="5073" xr:uid="{00000000-0005-0000-0000-0000CA130000}"/>
    <cellStyle name="_Tenaska Comparison_(C) WHE Proforma with ITC cash grant 10 Yr Amort_for deferral_102809 4" xfId="5074" xr:uid="{00000000-0005-0000-0000-0000CB130000}"/>
    <cellStyle name="_Tenaska Comparison_(C) WHE Proforma with ITC cash grant 10 Yr Amort_for deferral_102809_16.07E Wild Horse Wind Expansionwrkingfile" xfId="5075" xr:uid="{00000000-0005-0000-0000-0000CC130000}"/>
    <cellStyle name="_Tenaska Comparison_(C) WHE Proforma with ITC cash grant 10 Yr Amort_for deferral_102809_16.07E Wild Horse Wind Expansionwrkingfile 2" xfId="5076" xr:uid="{00000000-0005-0000-0000-0000CD130000}"/>
    <cellStyle name="_Tenaska Comparison_(C) WHE Proforma with ITC cash grant 10 Yr Amort_for deferral_102809_16.07E Wild Horse Wind Expansionwrkingfile 2 2" xfId="5077" xr:uid="{00000000-0005-0000-0000-0000CE130000}"/>
    <cellStyle name="_Tenaska Comparison_(C) WHE Proforma with ITC cash grant 10 Yr Amort_for deferral_102809_16.07E Wild Horse Wind Expansionwrkingfile 3" xfId="5078" xr:uid="{00000000-0005-0000-0000-0000CF130000}"/>
    <cellStyle name="_Tenaska Comparison_(C) WHE Proforma with ITC cash grant 10 Yr Amort_for deferral_102809_16.07E Wild Horse Wind Expansionwrkingfile 4" xfId="5079" xr:uid="{00000000-0005-0000-0000-0000D0130000}"/>
    <cellStyle name="_Tenaska Comparison_(C) WHE Proforma with ITC cash grant 10 Yr Amort_for deferral_102809_16.07E Wild Horse Wind Expansionwrkingfile SF" xfId="5080" xr:uid="{00000000-0005-0000-0000-0000D1130000}"/>
    <cellStyle name="_Tenaska Comparison_(C) WHE Proforma with ITC cash grant 10 Yr Amort_for deferral_102809_16.07E Wild Horse Wind Expansionwrkingfile SF 2" xfId="5081" xr:uid="{00000000-0005-0000-0000-0000D2130000}"/>
    <cellStyle name="_Tenaska Comparison_(C) WHE Proforma with ITC cash grant 10 Yr Amort_for deferral_102809_16.07E Wild Horse Wind Expansionwrkingfile SF 2 2" xfId="5082" xr:uid="{00000000-0005-0000-0000-0000D3130000}"/>
    <cellStyle name="_Tenaska Comparison_(C) WHE Proforma with ITC cash grant 10 Yr Amort_for deferral_102809_16.07E Wild Horse Wind Expansionwrkingfile SF 3" xfId="5083" xr:uid="{00000000-0005-0000-0000-0000D4130000}"/>
    <cellStyle name="_Tenaska Comparison_(C) WHE Proforma with ITC cash grant 10 Yr Amort_for deferral_102809_16.07E Wild Horse Wind Expansionwrkingfile SF 4" xfId="5084" xr:uid="{00000000-0005-0000-0000-0000D5130000}"/>
    <cellStyle name="_Tenaska Comparison_(C) WHE Proforma with ITC cash grant 10 Yr Amort_for deferral_102809_16.37E Wild Horse Expansion DeferralRevwrkingfile SF" xfId="5085" xr:uid="{00000000-0005-0000-0000-0000D6130000}"/>
    <cellStyle name="_Tenaska Comparison_(C) WHE Proforma with ITC cash grant 10 Yr Amort_for deferral_102809_16.37E Wild Horse Expansion DeferralRevwrkingfile SF 2" xfId="5086" xr:uid="{00000000-0005-0000-0000-0000D7130000}"/>
    <cellStyle name="_Tenaska Comparison_(C) WHE Proforma with ITC cash grant 10 Yr Amort_for deferral_102809_16.37E Wild Horse Expansion DeferralRevwrkingfile SF 2 2" xfId="5087" xr:uid="{00000000-0005-0000-0000-0000D8130000}"/>
    <cellStyle name="_Tenaska Comparison_(C) WHE Proforma with ITC cash grant 10 Yr Amort_for deferral_102809_16.37E Wild Horse Expansion DeferralRevwrkingfile SF 3" xfId="5088" xr:uid="{00000000-0005-0000-0000-0000D9130000}"/>
    <cellStyle name="_Tenaska Comparison_(C) WHE Proforma with ITC cash grant 10 Yr Amort_for deferral_102809_16.37E Wild Horse Expansion DeferralRevwrkingfile SF 4" xfId="5089" xr:uid="{00000000-0005-0000-0000-0000DA130000}"/>
    <cellStyle name="_Tenaska Comparison_(C) WHE Proforma with ITC cash grant 10 Yr Amort_for rebuttal_120709" xfId="5090" xr:uid="{00000000-0005-0000-0000-0000DB130000}"/>
    <cellStyle name="_Tenaska Comparison_(C) WHE Proforma with ITC cash grant 10 Yr Amort_for rebuttal_120709 2" xfId="5091" xr:uid="{00000000-0005-0000-0000-0000DC130000}"/>
    <cellStyle name="_Tenaska Comparison_(C) WHE Proforma with ITC cash grant 10 Yr Amort_for rebuttal_120709 2 2" xfId="5092" xr:uid="{00000000-0005-0000-0000-0000DD130000}"/>
    <cellStyle name="_Tenaska Comparison_(C) WHE Proforma with ITC cash grant 10 Yr Amort_for rebuttal_120709 3" xfId="5093" xr:uid="{00000000-0005-0000-0000-0000DE130000}"/>
    <cellStyle name="_Tenaska Comparison_(C) WHE Proforma with ITC cash grant 10 Yr Amort_for rebuttal_120709 4" xfId="5094" xr:uid="{00000000-0005-0000-0000-0000DF130000}"/>
    <cellStyle name="_Tenaska Comparison_04.07E Wild Horse Wind Expansion" xfId="5095" xr:uid="{00000000-0005-0000-0000-0000E0130000}"/>
    <cellStyle name="_Tenaska Comparison_04.07E Wild Horse Wind Expansion 2" xfId="5096" xr:uid="{00000000-0005-0000-0000-0000E1130000}"/>
    <cellStyle name="_Tenaska Comparison_04.07E Wild Horse Wind Expansion 2 2" xfId="5097" xr:uid="{00000000-0005-0000-0000-0000E2130000}"/>
    <cellStyle name="_Tenaska Comparison_04.07E Wild Horse Wind Expansion 3" xfId="5098" xr:uid="{00000000-0005-0000-0000-0000E3130000}"/>
    <cellStyle name="_Tenaska Comparison_04.07E Wild Horse Wind Expansion 4" xfId="5099" xr:uid="{00000000-0005-0000-0000-0000E4130000}"/>
    <cellStyle name="_Tenaska Comparison_04.07E Wild Horse Wind Expansion_16.07E Wild Horse Wind Expansionwrkingfile" xfId="5100" xr:uid="{00000000-0005-0000-0000-0000E5130000}"/>
    <cellStyle name="_Tenaska Comparison_04.07E Wild Horse Wind Expansion_16.07E Wild Horse Wind Expansionwrkingfile 2" xfId="5101" xr:uid="{00000000-0005-0000-0000-0000E6130000}"/>
    <cellStyle name="_Tenaska Comparison_04.07E Wild Horse Wind Expansion_16.07E Wild Horse Wind Expansionwrkingfile 2 2" xfId="5102" xr:uid="{00000000-0005-0000-0000-0000E7130000}"/>
    <cellStyle name="_Tenaska Comparison_04.07E Wild Horse Wind Expansion_16.07E Wild Horse Wind Expansionwrkingfile 3" xfId="5103" xr:uid="{00000000-0005-0000-0000-0000E8130000}"/>
    <cellStyle name="_Tenaska Comparison_04.07E Wild Horse Wind Expansion_16.07E Wild Horse Wind Expansionwrkingfile 4" xfId="5104" xr:uid="{00000000-0005-0000-0000-0000E9130000}"/>
    <cellStyle name="_Tenaska Comparison_04.07E Wild Horse Wind Expansion_16.07E Wild Horse Wind Expansionwrkingfile SF" xfId="5105" xr:uid="{00000000-0005-0000-0000-0000EA130000}"/>
    <cellStyle name="_Tenaska Comparison_04.07E Wild Horse Wind Expansion_16.07E Wild Horse Wind Expansionwrkingfile SF 2" xfId="5106" xr:uid="{00000000-0005-0000-0000-0000EB130000}"/>
    <cellStyle name="_Tenaska Comparison_04.07E Wild Horse Wind Expansion_16.07E Wild Horse Wind Expansionwrkingfile SF 2 2" xfId="5107" xr:uid="{00000000-0005-0000-0000-0000EC130000}"/>
    <cellStyle name="_Tenaska Comparison_04.07E Wild Horse Wind Expansion_16.07E Wild Horse Wind Expansionwrkingfile SF 3" xfId="5108" xr:uid="{00000000-0005-0000-0000-0000ED130000}"/>
    <cellStyle name="_Tenaska Comparison_04.07E Wild Horse Wind Expansion_16.07E Wild Horse Wind Expansionwrkingfile SF 4" xfId="5109" xr:uid="{00000000-0005-0000-0000-0000EE130000}"/>
    <cellStyle name="_Tenaska Comparison_04.07E Wild Horse Wind Expansion_16.37E Wild Horse Expansion DeferralRevwrkingfile SF" xfId="5110" xr:uid="{00000000-0005-0000-0000-0000EF130000}"/>
    <cellStyle name="_Tenaska Comparison_04.07E Wild Horse Wind Expansion_16.37E Wild Horse Expansion DeferralRevwrkingfile SF 2" xfId="5111" xr:uid="{00000000-0005-0000-0000-0000F0130000}"/>
    <cellStyle name="_Tenaska Comparison_04.07E Wild Horse Wind Expansion_16.37E Wild Horse Expansion DeferralRevwrkingfile SF 2 2" xfId="5112" xr:uid="{00000000-0005-0000-0000-0000F1130000}"/>
    <cellStyle name="_Tenaska Comparison_04.07E Wild Horse Wind Expansion_16.37E Wild Horse Expansion DeferralRevwrkingfile SF 3" xfId="5113" xr:uid="{00000000-0005-0000-0000-0000F2130000}"/>
    <cellStyle name="_Tenaska Comparison_04.07E Wild Horse Wind Expansion_16.37E Wild Horse Expansion DeferralRevwrkingfile SF 4" xfId="5114" xr:uid="{00000000-0005-0000-0000-0000F3130000}"/>
    <cellStyle name="_Tenaska Comparison_16.07E Wild Horse Wind Expansionwrkingfile" xfId="5115" xr:uid="{00000000-0005-0000-0000-0000F4130000}"/>
    <cellStyle name="_Tenaska Comparison_16.07E Wild Horse Wind Expansionwrkingfile 2" xfId="5116" xr:uid="{00000000-0005-0000-0000-0000F5130000}"/>
    <cellStyle name="_Tenaska Comparison_16.07E Wild Horse Wind Expansionwrkingfile 2 2" xfId="5117" xr:uid="{00000000-0005-0000-0000-0000F6130000}"/>
    <cellStyle name="_Tenaska Comparison_16.07E Wild Horse Wind Expansionwrkingfile 3" xfId="5118" xr:uid="{00000000-0005-0000-0000-0000F7130000}"/>
    <cellStyle name="_Tenaska Comparison_16.07E Wild Horse Wind Expansionwrkingfile 4" xfId="5119" xr:uid="{00000000-0005-0000-0000-0000F8130000}"/>
    <cellStyle name="_Tenaska Comparison_16.07E Wild Horse Wind Expansionwrkingfile SF" xfId="5120" xr:uid="{00000000-0005-0000-0000-0000F9130000}"/>
    <cellStyle name="_Tenaska Comparison_16.07E Wild Horse Wind Expansionwrkingfile SF 2" xfId="5121" xr:uid="{00000000-0005-0000-0000-0000FA130000}"/>
    <cellStyle name="_Tenaska Comparison_16.07E Wild Horse Wind Expansionwrkingfile SF 2 2" xfId="5122" xr:uid="{00000000-0005-0000-0000-0000FB130000}"/>
    <cellStyle name="_Tenaska Comparison_16.07E Wild Horse Wind Expansionwrkingfile SF 3" xfId="5123" xr:uid="{00000000-0005-0000-0000-0000FC130000}"/>
    <cellStyle name="_Tenaska Comparison_16.07E Wild Horse Wind Expansionwrkingfile SF 4" xfId="5124" xr:uid="{00000000-0005-0000-0000-0000FD130000}"/>
    <cellStyle name="_Tenaska Comparison_16.37E Wild Horse Expansion DeferralRevwrkingfile SF" xfId="5125" xr:uid="{00000000-0005-0000-0000-0000FE130000}"/>
    <cellStyle name="_Tenaska Comparison_16.37E Wild Horse Expansion DeferralRevwrkingfile SF 2" xfId="5126" xr:uid="{00000000-0005-0000-0000-0000FF130000}"/>
    <cellStyle name="_Tenaska Comparison_16.37E Wild Horse Expansion DeferralRevwrkingfile SF 2 2" xfId="5127" xr:uid="{00000000-0005-0000-0000-000000140000}"/>
    <cellStyle name="_Tenaska Comparison_16.37E Wild Horse Expansion DeferralRevwrkingfile SF 3" xfId="5128" xr:uid="{00000000-0005-0000-0000-000001140000}"/>
    <cellStyle name="_Tenaska Comparison_16.37E Wild Horse Expansion DeferralRevwrkingfile SF 4" xfId="5129" xr:uid="{00000000-0005-0000-0000-000002140000}"/>
    <cellStyle name="_Tenaska Comparison_2009 Compliance Filing PCA Exhibits for GRC" xfId="5130" xr:uid="{00000000-0005-0000-0000-000003140000}"/>
    <cellStyle name="_Tenaska Comparison_2009 Compliance Filing PCA Exhibits for GRC 2" xfId="5131" xr:uid="{00000000-0005-0000-0000-000004140000}"/>
    <cellStyle name="_Tenaska Comparison_2009 GRC Compl Filing - Exhibit D" xfId="5132" xr:uid="{00000000-0005-0000-0000-000005140000}"/>
    <cellStyle name="_Tenaska Comparison_2009 GRC Compl Filing - Exhibit D 2" xfId="5133" xr:uid="{00000000-0005-0000-0000-000006140000}"/>
    <cellStyle name="_Tenaska Comparison_2009 GRC Compl Filing - Exhibit D 3" xfId="5134" xr:uid="{00000000-0005-0000-0000-000007140000}"/>
    <cellStyle name="_Tenaska Comparison_3.01 Income Statement" xfId="5135" xr:uid="{00000000-0005-0000-0000-000008140000}"/>
    <cellStyle name="_Tenaska Comparison_4 31 Regulatory Assets and Liabilities  7 06- Exhibit D" xfId="5136" xr:uid="{00000000-0005-0000-0000-000009140000}"/>
    <cellStyle name="_Tenaska Comparison_4 31 Regulatory Assets and Liabilities  7 06- Exhibit D 2" xfId="5137" xr:uid="{00000000-0005-0000-0000-00000A140000}"/>
    <cellStyle name="_Tenaska Comparison_4 31 Regulatory Assets and Liabilities  7 06- Exhibit D 2 2" xfId="5138" xr:uid="{00000000-0005-0000-0000-00000B140000}"/>
    <cellStyle name="_Tenaska Comparison_4 31 Regulatory Assets and Liabilities  7 06- Exhibit D 3" xfId="5139" xr:uid="{00000000-0005-0000-0000-00000C140000}"/>
    <cellStyle name="_Tenaska Comparison_4 31 Regulatory Assets and Liabilities  7 06- Exhibit D 4" xfId="5140" xr:uid="{00000000-0005-0000-0000-00000D140000}"/>
    <cellStyle name="_Tenaska Comparison_4 31 Regulatory Assets and Liabilities  7 06- Exhibit D_NIM Summary" xfId="5141" xr:uid="{00000000-0005-0000-0000-00000E140000}"/>
    <cellStyle name="_Tenaska Comparison_4 31 Regulatory Assets and Liabilities  7 06- Exhibit D_NIM Summary 2" xfId="5142" xr:uid="{00000000-0005-0000-0000-00000F140000}"/>
    <cellStyle name="_Tenaska Comparison_4 32 Regulatory Assets and Liabilities  7 06- Exhibit D" xfId="5143" xr:uid="{00000000-0005-0000-0000-000010140000}"/>
    <cellStyle name="_Tenaska Comparison_4 32 Regulatory Assets and Liabilities  7 06- Exhibit D 2" xfId="5144" xr:uid="{00000000-0005-0000-0000-000011140000}"/>
    <cellStyle name="_Tenaska Comparison_4 32 Regulatory Assets and Liabilities  7 06- Exhibit D 2 2" xfId="5145" xr:uid="{00000000-0005-0000-0000-000012140000}"/>
    <cellStyle name="_Tenaska Comparison_4 32 Regulatory Assets and Liabilities  7 06- Exhibit D 3" xfId="5146" xr:uid="{00000000-0005-0000-0000-000013140000}"/>
    <cellStyle name="_Tenaska Comparison_4 32 Regulatory Assets and Liabilities  7 06- Exhibit D 4" xfId="5147" xr:uid="{00000000-0005-0000-0000-000014140000}"/>
    <cellStyle name="_Tenaska Comparison_4 32 Regulatory Assets and Liabilities  7 06- Exhibit D_NIM Summary" xfId="5148" xr:uid="{00000000-0005-0000-0000-000015140000}"/>
    <cellStyle name="_Tenaska Comparison_4 32 Regulatory Assets and Liabilities  7 06- Exhibit D_NIM Summary 2" xfId="5149" xr:uid="{00000000-0005-0000-0000-000016140000}"/>
    <cellStyle name="_Tenaska Comparison_AURORA Total New" xfId="5150" xr:uid="{00000000-0005-0000-0000-000017140000}"/>
    <cellStyle name="_Tenaska Comparison_AURORA Total New 2" xfId="5151" xr:uid="{00000000-0005-0000-0000-000018140000}"/>
    <cellStyle name="_Tenaska Comparison_Book2" xfId="5152" xr:uid="{00000000-0005-0000-0000-000019140000}"/>
    <cellStyle name="_Tenaska Comparison_Book2 2" xfId="5153" xr:uid="{00000000-0005-0000-0000-00001A140000}"/>
    <cellStyle name="_Tenaska Comparison_Book2 2 2" xfId="5154" xr:uid="{00000000-0005-0000-0000-00001B140000}"/>
    <cellStyle name="_Tenaska Comparison_Book2 3" xfId="5155" xr:uid="{00000000-0005-0000-0000-00001C140000}"/>
    <cellStyle name="_Tenaska Comparison_Book2 4" xfId="5156" xr:uid="{00000000-0005-0000-0000-00001D140000}"/>
    <cellStyle name="_Tenaska Comparison_Book2_Adj Bench DR 3 for Initial Briefs (Electric)" xfId="5157" xr:uid="{00000000-0005-0000-0000-00001E140000}"/>
    <cellStyle name="_Tenaska Comparison_Book2_Adj Bench DR 3 for Initial Briefs (Electric) 2" xfId="5158" xr:uid="{00000000-0005-0000-0000-00001F140000}"/>
    <cellStyle name="_Tenaska Comparison_Book2_Adj Bench DR 3 for Initial Briefs (Electric) 2 2" xfId="5159" xr:uid="{00000000-0005-0000-0000-000020140000}"/>
    <cellStyle name="_Tenaska Comparison_Book2_Adj Bench DR 3 for Initial Briefs (Electric) 3" xfId="5160" xr:uid="{00000000-0005-0000-0000-000021140000}"/>
    <cellStyle name="_Tenaska Comparison_Book2_Adj Bench DR 3 for Initial Briefs (Electric) 4" xfId="5161" xr:uid="{00000000-0005-0000-0000-000022140000}"/>
    <cellStyle name="_Tenaska Comparison_Book2_Electric Rev Req Model (2009 GRC) Rebuttal" xfId="5162" xr:uid="{00000000-0005-0000-0000-000023140000}"/>
    <cellStyle name="_Tenaska Comparison_Book2_Electric Rev Req Model (2009 GRC) Rebuttal 2" xfId="5163" xr:uid="{00000000-0005-0000-0000-000024140000}"/>
    <cellStyle name="_Tenaska Comparison_Book2_Electric Rev Req Model (2009 GRC) Rebuttal 2 2" xfId="5164" xr:uid="{00000000-0005-0000-0000-000025140000}"/>
    <cellStyle name="_Tenaska Comparison_Book2_Electric Rev Req Model (2009 GRC) Rebuttal 3" xfId="5165" xr:uid="{00000000-0005-0000-0000-000026140000}"/>
    <cellStyle name="_Tenaska Comparison_Book2_Electric Rev Req Model (2009 GRC) Rebuttal 4" xfId="5166" xr:uid="{00000000-0005-0000-0000-000027140000}"/>
    <cellStyle name="_Tenaska Comparison_Book2_Electric Rev Req Model (2009 GRC) Rebuttal REmoval of New  WH Solar AdjustMI" xfId="5167" xr:uid="{00000000-0005-0000-0000-000028140000}"/>
    <cellStyle name="_Tenaska Comparison_Book2_Electric Rev Req Model (2009 GRC) Rebuttal REmoval of New  WH Solar AdjustMI 2" xfId="5168" xr:uid="{00000000-0005-0000-0000-000029140000}"/>
    <cellStyle name="_Tenaska Comparison_Book2_Electric Rev Req Model (2009 GRC) Rebuttal REmoval of New  WH Solar AdjustMI 2 2" xfId="5169" xr:uid="{00000000-0005-0000-0000-00002A140000}"/>
    <cellStyle name="_Tenaska Comparison_Book2_Electric Rev Req Model (2009 GRC) Rebuttal REmoval of New  WH Solar AdjustMI 3" xfId="5170" xr:uid="{00000000-0005-0000-0000-00002B140000}"/>
    <cellStyle name="_Tenaska Comparison_Book2_Electric Rev Req Model (2009 GRC) Rebuttal REmoval of New  WH Solar AdjustMI 4" xfId="5171" xr:uid="{00000000-0005-0000-0000-00002C140000}"/>
    <cellStyle name="_Tenaska Comparison_Book2_Electric Rev Req Model (2009 GRC) Revised 01-18-2010" xfId="5172" xr:uid="{00000000-0005-0000-0000-00002D140000}"/>
    <cellStyle name="_Tenaska Comparison_Book2_Electric Rev Req Model (2009 GRC) Revised 01-18-2010 2" xfId="5173" xr:uid="{00000000-0005-0000-0000-00002E140000}"/>
    <cellStyle name="_Tenaska Comparison_Book2_Electric Rev Req Model (2009 GRC) Revised 01-18-2010 2 2" xfId="5174" xr:uid="{00000000-0005-0000-0000-00002F140000}"/>
    <cellStyle name="_Tenaska Comparison_Book2_Electric Rev Req Model (2009 GRC) Revised 01-18-2010 3" xfId="5175" xr:uid="{00000000-0005-0000-0000-000030140000}"/>
    <cellStyle name="_Tenaska Comparison_Book2_Electric Rev Req Model (2009 GRC) Revised 01-18-2010 4" xfId="5176" xr:uid="{00000000-0005-0000-0000-000031140000}"/>
    <cellStyle name="_Tenaska Comparison_Book2_Final Order Electric EXHIBIT A-1" xfId="5177" xr:uid="{00000000-0005-0000-0000-000032140000}"/>
    <cellStyle name="_Tenaska Comparison_Book2_Final Order Electric EXHIBIT A-1 2" xfId="5178" xr:uid="{00000000-0005-0000-0000-000033140000}"/>
    <cellStyle name="_Tenaska Comparison_Book2_Final Order Electric EXHIBIT A-1 2 2" xfId="5179" xr:uid="{00000000-0005-0000-0000-000034140000}"/>
    <cellStyle name="_Tenaska Comparison_Book2_Final Order Electric EXHIBIT A-1 3" xfId="5180" xr:uid="{00000000-0005-0000-0000-000035140000}"/>
    <cellStyle name="_Tenaska Comparison_Book2_Final Order Electric EXHIBIT A-1 4" xfId="5181" xr:uid="{00000000-0005-0000-0000-000036140000}"/>
    <cellStyle name="_Tenaska Comparison_Book4" xfId="5182" xr:uid="{00000000-0005-0000-0000-000037140000}"/>
    <cellStyle name="_Tenaska Comparison_Book4 2" xfId="5183" xr:uid="{00000000-0005-0000-0000-000038140000}"/>
    <cellStyle name="_Tenaska Comparison_Book4 2 2" xfId="5184" xr:uid="{00000000-0005-0000-0000-000039140000}"/>
    <cellStyle name="_Tenaska Comparison_Book4 3" xfId="5185" xr:uid="{00000000-0005-0000-0000-00003A140000}"/>
    <cellStyle name="_Tenaska Comparison_Book4 4" xfId="5186" xr:uid="{00000000-0005-0000-0000-00003B140000}"/>
    <cellStyle name="_Tenaska Comparison_Book9" xfId="5187" xr:uid="{00000000-0005-0000-0000-00003C140000}"/>
    <cellStyle name="_Tenaska Comparison_Book9 2" xfId="5188" xr:uid="{00000000-0005-0000-0000-00003D140000}"/>
    <cellStyle name="_Tenaska Comparison_Book9 2 2" xfId="5189" xr:uid="{00000000-0005-0000-0000-00003E140000}"/>
    <cellStyle name="_Tenaska Comparison_Book9 3" xfId="5190" xr:uid="{00000000-0005-0000-0000-00003F140000}"/>
    <cellStyle name="_Tenaska Comparison_Book9 4" xfId="5191" xr:uid="{00000000-0005-0000-0000-000040140000}"/>
    <cellStyle name="_Tenaska Comparison_Chelan PUD Power Costs (8-10)" xfId="5192" xr:uid="{00000000-0005-0000-0000-000041140000}"/>
    <cellStyle name="_Tenaska Comparison_Electric COS Inputs" xfId="5193" xr:uid="{00000000-0005-0000-0000-000042140000}"/>
    <cellStyle name="_Tenaska Comparison_Electric COS Inputs 2" xfId="5194" xr:uid="{00000000-0005-0000-0000-000043140000}"/>
    <cellStyle name="_Tenaska Comparison_Electric COS Inputs 2 2" xfId="5195" xr:uid="{00000000-0005-0000-0000-000044140000}"/>
    <cellStyle name="_Tenaska Comparison_Electric COS Inputs 2 2 2" xfId="5196" xr:uid="{00000000-0005-0000-0000-000045140000}"/>
    <cellStyle name="_Tenaska Comparison_Electric COS Inputs 2 3" xfId="5197" xr:uid="{00000000-0005-0000-0000-000046140000}"/>
    <cellStyle name="_Tenaska Comparison_Electric COS Inputs 2 3 2" xfId="5198" xr:uid="{00000000-0005-0000-0000-000047140000}"/>
    <cellStyle name="_Tenaska Comparison_Electric COS Inputs 2 4" xfId="5199" xr:uid="{00000000-0005-0000-0000-000048140000}"/>
    <cellStyle name="_Tenaska Comparison_Electric COS Inputs 2 4 2" xfId="5200" xr:uid="{00000000-0005-0000-0000-000049140000}"/>
    <cellStyle name="_Tenaska Comparison_Electric COS Inputs 3" xfId="5201" xr:uid="{00000000-0005-0000-0000-00004A140000}"/>
    <cellStyle name="_Tenaska Comparison_Electric COS Inputs 3 2" xfId="5202" xr:uid="{00000000-0005-0000-0000-00004B140000}"/>
    <cellStyle name="_Tenaska Comparison_Electric COS Inputs 4" xfId="5203" xr:uid="{00000000-0005-0000-0000-00004C140000}"/>
    <cellStyle name="_Tenaska Comparison_Electric COS Inputs 4 2" xfId="5204" xr:uid="{00000000-0005-0000-0000-00004D140000}"/>
    <cellStyle name="_Tenaska Comparison_Electric COS Inputs 5" xfId="5205" xr:uid="{00000000-0005-0000-0000-00004E140000}"/>
    <cellStyle name="_Tenaska Comparison_Electric COS Inputs 6" xfId="5206" xr:uid="{00000000-0005-0000-0000-00004F140000}"/>
    <cellStyle name="_Tenaska Comparison_NIM Summary" xfId="5207" xr:uid="{00000000-0005-0000-0000-000050140000}"/>
    <cellStyle name="_Tenaska Comparison_NIM Summary 09GRC" xfId="5208" xr:uid="{00000000-0005-0000-0000-000051140000}"/>
    <cellStyle name="_Tenaska Comparison_NIM Summary 09GRC 2" xfId="5209" xr:uid="{00000000-0005-0000-0000-000052140000}"/>
    <cellStyle name="_Tenaska Comparison_NIM Summary 2" xfId="5210" xr:uid="{00000000-0005-0000-0000-000053140000}"/>
    <cellStyle name="_Tenaska Comparison_NIM Summary 3" xfId="5211" xr:uid="{00000000-0005-0000-0000-000054140000}"/>
    <cellStyle name="_Tenaska Comparison_NIM Summary 4" xfId="5212" xr:uid="{00000000-0005-0000-0000-000055140000}"/>
    <cellStyle name="_Tenaska Comparison_NIM Summary 5" xfId="5213" xr:uid="{00000000-0005-0000-0000-000056140000}"/>
    <cellStyle name="_Tenaska Comparison_NIM Summary 6" xfId="5214" xr:uid="{00000000-0005-0000-0000-000057140000}"/>
    <cellStyle name="_Tenaska Comparison_NIM Summary 7" xfId="5215" xr:uid="{00000000-0005-0000-0000-000058140000}"/>
    <cellStyle name="_Tenaska Comparison_NIM Summary 8" xfId="5216" xr:uid="{00000000-0005-0000-0000-000059140000}"/>
    <cellStyle name="_Tenaska Comparison_NIM Summary 9" xfId="5217" xr:uid="{00000000-0005-0000-0000-00005A140000}"/>
    <cellStyle name="_Tenaska Comparison_PCA 10 -  Exhibit D from A Kellogg Jan 2011" xfId="5218" xr:uid="{00000000-0005-0000-0000-00005B140000}"/>
    <cellStyle name="_Tenaska Comparison_PCA 10 -  Exhibit D from A Kellogg July 2011" xfId="5219" xr:uid="{00000000-0005-0000-0000-00005C140000}"/>
    <cellStyle name="_Tenaska Comparison_PCA 10 -  Exhibit D from S Free Rcv'd 12-11" xfId="5220" xr:uid="{00000000-0005-0000-0000-00005D140000}"/>
    <cellStyle name="_Tenaska Comparison_PCA 9 -  Exhibit D April 2010" xfId="5221" xr:uid="{00000000-0005-0000-0000-00005E140000}"/>
    <cellStyle name="_Tenaska Comparison_PCA 9 -  Exhibit D April 2010 (3)" xfId="5222" xr:uid="{00000000-0005-0000-0000-00005F140000}"/>
    <cellStyle name="_Tenaska Comparison_PCA 9 -  Exhibit D April 2010 (3) 2" xfId="5223" xr:uid="{00000000-0005-0000-0000-000060140000}"/>
    <cellStyle name="_Tenaska Comparison_PCA 9 -  Exhibit D April 2010 2" xfId="5224" xr:uid="{00000000-0005-0000-0000-000061140000}"/>
    <cellStyle name="_Tenaska Comparison_PCA 9 -  Exhibit D April 2010 3" xfId="5225" xr:uid="{00000000-0005-0000-0000-000062140000}"/>
    <cellStyle name="_Tenaska Comparison_PCA 9 -  Exhibit D Nov 2010" xfId="5226" xr:uid="{00000000-0005-0000-0000-000063140000}"/>
    <cellStyle name="_Tenaska Comparison_PCA 9 -  Exhibit D Nov 2010 2" xfId="5227" xr:uid="{00000000-0005-0000-0000-000064140000}"/>
    <cellStyle name="_Tenaska Comparison_PCA 9 - Exhibit D at August 2010" xfId="5228" xr:uid="{00000000-0005-0000-0000-000065140000}"/>
    <cellStyle name="_Tenaska Comparison_PCA 9 - Exhibit D at August 2010 2" xfId="5229" xr:uid="{00000000-0005-0000-0000-000066140000}"/>
    <cellStyle name="_Tenaska Comparison_PCA 9 - Exhibit D June 2010 GRC" xfId="5230" xr:uid="{00000000-0005-0000-0000-000067140000}"/>
    <cellStyle name="_Tenaska Comparison_PCA 9 - Exhibit D June 2010 GRC 2" xfId="5231" xr:uid="{00000000-0005-0000-0000-000068140000}"/>
    <cellStyle name="_Tenaska Comparison_Power Costs - Comparison bx Rbtl-Staff-Jt-PC" xfId="5232" xr:uid="{00000000-0005-0000-0000-000069140000}"/>
    <cellStyle name="_Tenaska Comparison_Power Costs - Comparison bx Rbtl-Staff-Jt-PC 2" xfId="5233" xr:uid="{00000000-0005-0000-0000-00006A140000}"/>
    <cellStyle name="_Tenaska Comparison_Power Costs - Comparison bx Rbtl-Staff-Jt-PC 2 2" xfId="5234" xr:uid="{00000000-0005-0000-0000-00006B140000}"/>
    <cellStyle name="_Tenaska Comparison_Power Costs - Comparison bx Rbtl-Staff-Jt-PC 3" xfId="5235" xr:uid="{00000000-0005-0000-0000-00006C140000}"/>
    <cellStyle name="_Tenaska Comparison_Power Costs - Comparison bx Rbtl-Staff-Jt-PC 4" xfId="5236" xr:uid="{00000000-0005-0000-0000-00006D140000}"/>
    <cellStyle name="_Tenaska Comparison_Power Costs - Comparison bx Rbtl-Staff-Jt-PC_Adj Bench DR 3 for Initial Briefs (Electric)" xfId="5237" xr:uid="{00000000-0005-0000-0000-00006E140000}"/>
    <cellStyle name="_Tenaska Comparison_Power Costs - Comparison bx Rbtl-Staff-Jt-PC_Adj Bench DR 3 for Initial Briefs (Electric) 2" xfId="5238" xr:uid="{00000000-0005-0000-0000-00006F140000}"/>
    <cellStyle name="_Tenaska Comparison_Power Costs - Comparison bx Rbtl-Staff-Jt-PC_Adj Bench DR 3 for Initial Briefs (Electric) 2 2" xfId="5239" xr:uid="{00000000-0005-0000-0000-000070140000}"/>
    <cellStyle name="_Tenaska Comparison_Power Costs - Comparison bx Rbtl-Staff-Jt-PC_Adj Bench DR 3 for Initial Briefs (Electric) 3" xfId="5240" xr:uid="{00000000-0005-0000-0000-000071140000}"/>
    <cellStyle name="_Tenaska Comparison_Power Costs - Comparison bx Rbtl-Staff-Jt-PC_Adj Bench DR 3 for Initial Briefs (Electric) 4" xfId="5241" xr:uid="{00000000-0005-0000-0000-000072140000}"/>
    <cellStyle name="_Tenaska Comparison_Power Costs - Comparison bx Rbtl-Staff-Jt-PC_Electric Rev Req Model (2009 GRC) Rebuttal" xfId="5242" xr:uid="{00000000-0005-0000-0000-000073140000}"/>
    <cellStyle name="_Tenaska Comparison_Power Costs - Comparison bx Rbtl-Staff-Jt-PC_Electric Rev Req Model (2009 GRC) Rebuttal 2" xfId="5243" xr:uid="{00000000-0005-0000-0000-000074140000}"/>
    <cellStyle name="_Tenaska Comparison_Power Costs - Comparison bx Rbtl-Staff-Jt-PC_Electric Rev Req Model (2009 GRC) Rebuttal 2 2" xfId="5244" xr:uid="{00000000-0005-0000-0000-000075140000}"/>
    <cellStyle name="_Tenaska Comparison_Power Costs - Comparison bx Rbtl-Staff-Jt-PC_Electric Rev Req Model (2009 GRC) Rebuttal 3" xfId="5245" xr:uid="{00000000-0005-0000-0000-000076140000}"/>
    <cellStyle name="_Tenaska Comparison_Power Costs - Comparison bx Rbtl-Staff-Jt-PC_Electric Rev Req Model (2009 GRC) Rebuttal 4" xfId="5246" xr:uid="{00000000-0005-0000-0000-000077140000}"/>
    <cellStyle name="_Tenaska Comparison_Power Costs - Comparison bx Rbtl-Staff-Jt-PC_Electric Rev Req Model (2009 GRC) Rebuttal REmoval of New  WH Solar AdjustMI" xfId="5247" xr:uid="{00000000-0005-0000-0000-000078140000}"/>
    <cellStyle name="_Tenaska Comparison_Power Costs - Comparison bx Rbtl-Staff-Jt-PC_Electric Rev Req Model (2009 GRC) Rebuttal REmoval of New  WH Solar AdjustMI 2" xfId="5248" xr:uid="{00000000-0005-0000-0000-000079140000}"/>
    <cellStyle name="_Tenaska Comparison_Power Costs - Comparison bx Rbtl-Staff-Jt-PC_Electric Rev Req Model (2009 GRC) Rebuttal REmoval of New  WH Solar AdjustMI 2 2" xfId="5249" xr:uid="{00000000-0005-0000-0000-00007A140000}"/>
    <cellStyle name="_Tenaska Comparison_Power Costs - Comparison bx Rbtl-Staff-Jt-PC_Electric Rev Req Model (2009 GRC) Rebuttal REmoval of New  WH Solar AdjustMI 3" xfId="5250" xr:uid="{00000000-0005-0000-0000-00007B140000}"/>
    <cellStyle name="_Tenaska Comparison_Power Costs - Comparison bx Rbtl-Staff-Jt-PC_Electric Rev Req Model (2009 GRC) Rebuttal REmoval of New  WH Solar AdjustMI 4" xfId="5251" xr:uid="{00000000-0005-0000-0000-00007C140000}"/>
    <cellStyle name="_Tenaska Comparison_Power Costs - Comparison bx Rbtl-Staff-Jt-PC_Electric Rev Req Model (2009 GRC) Revised 01-18-2010" xfId="5252" xr:uid="{00000000-0005-0000-0000-00007D140000}"/>
    <cellStyle name="_Tenaska Comparison_Power Costs - Comparison bx Rbtl-Staff-Jt-PC_Electric Rev Req Model (2009 GRC) Revised 01-18-2010 2" xfId="5253" xr:uid="{00000000-0005-0000-0000-00007E140000}"/>
    <cellStyle name="_Tenaska Comparison_Power Costs - Comparison bx Rbtl-Staff-Jt-PC_Electric Rev Req Model (2009 GRC) Revised 01-18-2010 2 2" xfId="5254" xr:uid="{00000000-0005-0000-0000-00007F140000}"/>
    <cellStyle name="_Tenaska Comparison_Power Costs - Comparison bx Rbtl-Staff-Jt-PC_Electric Rev Req Model (2009 GRC) Revised 01-18-2010 3" xfId="5255" xr:uid="{00000000-0005-0000-0000-000080140000}"/>
    <cellStyle name="_Tenaska Comparison_Power Costs - Comparison bx Rbtl-Staff-Jt-PC_Electric Rev Req Model (2009 GRC) Revised 01-18-2010 4" xfId="5256" xr:uid="{00000000-0005-0000-0000-000081140000}"/>
    <cellStyle name="_Tenaska Comparison_Power Costs - Comparison bx Rbtl-Staff-Jt-PC_Final Order Electric EXHIBIT A-1" xfId="5257" xr:uid="{00000000-0005-0000-0000-000082140000}"/>
    <cellStyle name="_Tenaska Comparison_Power Costs - Comparison bx Rbtl-Staff-Jt-PC_Final Order Electric EXHIBIT A-1 2" xfId="5258" xr:uid="{00000000-0005-0000-0000-000083140000}"/>
    <cellStyle name="_Tenaska Comparison_Power Costs - Comparison bx Rbtl-Staff-Jt-PC_Final Order Electric EXHIBIT A-1 2 2" xfId="5259" xr:uid="{00000000-0005-0000-0000-000084140000}"/>
    <cellStyle name="_Tenaska Comparison_Power Costs - Comparison bx Rbtl-Staff-Jt-PC_Final Order Electric EXHIBIT A-1 3" xfId="5260" xr:uid="{00000000-0005-0000-0000-000085140000}"/>
    <cellStyle name="_Tenaska Comparison_Power Costs - Comparison bx Rbtl-Staff-Jt-PC_Final Order Electric EXHIBIT A-1 4" xfId="5261" xr:uid="{00000000-0005-0000-0000-000086140000}"/>
    <cellStyle name="_Tenaska Comparison_Production Adj 4.37" xfId="5262" xr:uid="{00000000-0005-0000-0000-000087140000}"/>
    <cellStyle name="_Tenaska Comparison_Production Adj 4.37 2" xfId="5263" xr:uid="{00000000-0005-0000-0000-000088140000}"/>
    <cellStyle name="_Tenaska Comparison_Production Adj 4.37 2 2" xfId="5264" xr:uid="{00000000-0005-0000-0000-000089140000}"/>
    <cellStyle name="_Tenaska Comparison_Production Adj 4.37 3" xfId="5265" xr:uid="{00000000-0005-0000-0000-00008A140000}"/>
    <cellStyle name="_Tenaska Comparison_Purchased Power Adj 4.03" xfId="5266" xr:uid="{00000000-0005-0000-0000-00008B140000}"/>
    <cellStyle name="_Tenaska Comparison_Purchased Power Adj 4.03 2" xfId="5267" xr:uid="{00000000-0005-0000-0000-00008C140000}"/>
    <cellStyle name="_Tenaska Comparison_Purchased Power Adj 4.03 2 2" xfId="5268" xr:uid="{00000000-0005-0000-0000-00008D140000}"/>
    <cellStyle name="_Tenaska Comparison_Purchased Power Adj 4.03 3" xfId="5269" xr:uid="{00000000-0005-0000-0000-00008E140000}"/>
    <cellStyle name="_Tenaska Comparison_Rebuttal Power Costs" xfId="5270" xr:uid="{00000000-0005-0000-0000-00008F140000}"/>
    <cellStyle name="_Tenaska Comparison_Rebuttal Power Costs 2" xfId="5271" xr:uid="{00000000-0005-0000-0000-000090140000}"/>
    <cellStyle name="_Tenaska Comparison_Rebuttal Power Costs 2 2" xfId="5272" xr:uid="{00000000-0005-0000-0000-000091140000}"/>
    <cellStyle name="_Tenaska Comparison_Rebuttal Power Costs 3" xfId="5273" xr:uid="{00000000-0005-0000-0000-000092140000}"/>
    <cellStyle name="_Tenaska Comparison_Rebuttal Power Costs 4" xfId="5274" xr:uid="{00000000-0005-0000-0000-000093140000}"/>
    <cellStyle name="_Tenaska Comparison_Rebuttal Power Costs_Adj Bench DR 3 for Initial Briefs (Electric)" xfId="5275" xr:uid="{00000000-0005-0000-0000-000094140000}"/>
    <cellStyle name="_Tenaska Comparison_Rebuttal Power Costs_Adj Bench DR 3 for Initial Briefs (Electric) 2" xfId="5276" xr:uid="{00000000-0005-0000-0000-000095140000}"/>
    <cellStyle name="_Tenaska Comparison_Rebuttal Power Costs_Adj Bench DR 3 for Initial Briefs (Electric) 2 2" xfId="5277" xr:uid="{00000000-0005-0000-0000-000096140000}"/>
    <cellStyle name="_Tenaska Comparison_Rebuttal Power Costs_Adj Bench DR 3 for Initial Briefs (Electric) 3" xfId="5278" xr:uid="{00000000-0005-0000-0000-000097140000}"/>
    <cellStyle name="_Tenaska Comparison_Rebuttal Power Costs_Adj Bench DR 3 for Initial Briefs (Electric) 4" xfId="5279" xr:uid="{00000000-0005-0000-0000-000098140000}"/>
    <cellStyle name="_Tenaska Comparison_Rebuttal Power Costs_Electric Rev Req Model (2009 GRC) Rebuttal" xfId="5280" xr:uid="{00000000-0005-0000-0000-000099140000}"/>
    <cellStyle name="_Tenaska Comparison_Rebuttal Power Costs_Electric Rev Req Model (2009 GRC) Rebuttal 2" xfId="5281" xr:uid="{00000000-0005-0000-0000-00009A140000}"/>
    <cellStyle name="_Tenaska Comparison_Rebuttal Power Costs_Electric Rev Req Model (2009 GRC) Rebuttal 2 2" xfId="5282" xr:uid="{00000000-0005-0000-0000-00009B140000}"/>
    <cellStyle name="_Tenaska Comparison_Rebuttal Power Costs_Electric Rev Req Model (2009 GRC) Rebuttal 3" xfId="5283" xr:uid="{00000000-0005-0000-0000-00009C140000}"/>
    <cellStyle name="_Tenaska Comparison_Rebuttal Power Costs_Electric Rev Req Model (2009 GRC) Rebuttal 4" xfId="5284" xr:uid="{00000000-0005-0000-0000-00009D140000}"/>
    <cellStyle name="_Tenaska Comparison_Rebuttal Power Costs_Electric Rev Req Model (2009 GRC) Rebuttal REmoval of New  WH Solar AdjustMI" xfId="5285" xr:uid="{00000000-0005-0000-0000-00009E140000}"/>
    <cellStyle name="_Tenaska Comparison_Rebuttal Power Costs_Electric Rev Req Model (2009 GRC) Rebuttal REmoval of New  WH Solar AdjustMI 2" xfId="5286" xr:uid="{00000000-0005-0000-0000-00009F140000}"/>
    <cellStyle name="_Tenaska Comparison_Rebuttal Power Costs_Electric Rev Req Model (2009 GRC) Rebuttal REmoval of New  WH Solar AdjustMI 2 2" xfId="5287" xr:uid="{00000000-0005-0000-0000-0000A0140000}"/>
    <cellStyle name="_Tenaska Comparison_Rebuttal Power Costs_Electric Rev Req Model (2009 GRC) Rebuttal REmoval of New  WH Solar AdjustMI 3" xfId="5288" xr:uid="{00000000-0005-0000-0000-0000A1140000}"/>
    <cellStyle name="_Tenaska Comparison_Rebuttal Power Costs_Electric Rev Req Model (2009 GRC) Rebuttal REmoval of New  WH Solar AdjustMI 4" xfId="5289" xr:uid="{00000000-0005-0000-0000-0000A2140000}"/>
    <cellStyle name="_Tenaska Comparison_Rebuttal Power Costs_Electric Rev Req Model (2009 GRC) Revised 01-18-2010" xfId="5290" xr:uid="{00000000-0005-0000-0000-0000A3140000}"/>
    <cellStyle name="_Tenaska Comparison_Rebuttal Power Costs_Electric Rev Req Model (2009 GRC) Revised 01-18-2010 2" xfId="5291" xr:uid="{00000000-0005-0000-0000-0000A4140000}"/>
    <cellStyle name="_Tenaska Comparison_Rebuttal Power Costs_Electric Rev Req Model (2009 GRC) Revised 01-18-2010 2 2" xfId="5292" xr:uid="{00000000-0005-0000-0000-0000A5140000}"/>
    <cellStyle name="_Tenaska Comparison_Rebuttal Power Costs_Electric Rev Req Model (2009 GRC) Revised 01-18-2010 3" xfId="5293" xr:uid="{00000000-0005-0000-0000-0000A6140000}"/>
    <cellStyle name="_Tenaska Comparison_Rebuttal Power Costs_Electric Rev Req Model (2009 GRC) Revised 01-18-2010 4" xfId="5294" xr:uid="{00000000-0005-0000-0000-0000A7140000}"/>
    <cellStyle name="_Tenaska Comparison_Rebuttal Power Costs_Final Order Electric EXHIBIT A-1" xfId="5295" xr:uid="{00000000-0005-0000-0000-0000A8140000}"/>
    <cellStyle name="_Tenaska Comparison_Rebuttal Power Costs_Final Order Electric EXHIBIT A-1 2" xfId="5296" xr:uid="{00000000-0005-0000-0000-0000A9140000}"/>
    <cellStyle name="_Tenaska Comparison_Rebuttal Power Costs_Final Order Electric EXHIBIT A-1 2 2" xfId="5297" xr:uid="{00000000-0005-0000-0000-0000AA140000}"/>
    <cellStyle name="_Tenaska Comparison_Rebuttal Power Costs_Final Order Electric EXHIBIT A-1 3" xfId="5298" xr:uid="{00000000-0005-0000-0000-0000AB140000}"/>
    <cellStyle name="_Tenaska Comparison_Rebuttal Power Costs_Final Order Electric EXHIBIT A-1 4" xfId="5299" xr:uid="{00000000-0005-0000-0000-0000AC140000}"/>
    <cellStyle name="_Tenaska Comparison_ROR 5.02" xfId="5300" xr:uid="{00000000-0005-0000-0000-0000AD140000}"/>
    <cellStyle name="_Tenaska Comparison_ROR 5.02 2" xfId="5301" xr:uid="{00000000-0005-0000-0000-0000AE140000}"/>
    <cellStyle name="_Tenaska Comparison_ROR 5.02 2 2" xfId="5302" xr:uid="{00000000-0005-0000-0000-0000AF140000}"/>
    <cellStyle name="_Tenaska Comparison_ROR 5.02 3" xfId="5303" xr:uid="{00000000-0005-0000-0000-0000B0140000}"/>
    <cellStyle name="_Tenaska Comparison_Transmission Workbook for May BOD" xfId="5304" xr:uid="{00000000-0005-0000-0000-0000B1140000}"/>
    <cellStyle name="_Tenaska Comparison_Transmission Workbook for May BOD 2" xfId="5305" xr:uid="{00000000-0005-0000-0000-0000B2140000}"/>
    <cellStyle name="_Tenaska Comparison_Wind Integration 10GRC" xfId="5306" xr:uid="{00000000-0005-0000-0000-0000B3140000}"/>
    <cellStyle name="_Tenaska Comparison_Wind Integration 10GRC 2" xfId="5307" xr:uid="{00000000-0005-0000-0000-0000B4140000}"/>
    <cellStyle name="_x0013__TENASKA REGULATORY ASSET" xfId="5308" xr:uid="{00000000-0005-0000-0000-0000B5140000}"/>
    <cellStyle name="_x0013__TENASKA REGULATORY ASSET 2" xfId="5309" xr:uid="{00000000-0005-0000-0000-0000B6140000}"/>
    <cellStyle name="_x0013__TENASKA REGULATORY ASSET 2 2" xfId="5310" xr:uid="{00000000-0005-0000-0000-0000B7140000}"/>
    <cellStyle name="_x0013__TENASKA REGULATORY ASSET 3" xfId="5311" xr:uid="{00000000-0005-0000-0000-0000B8140000}"/>
    <cellStyle name="_x0013__TENASKA REGULATORY ASSET 4" xfId="5312" xr:uid="{00000000-0005-0000-0000-0000B9140000}"/>
    <cellStyle name="_Therms Data" xfId="5313" xr:uid="{00000000-0005-0000-0000-0000BA140000}"/>
    <cellStyle name="_Therms Data_Pro Forma Rev 09 GRC" xfId="5314" xr:uid="{00000000-0005-0000-0000-0000BB140000}"/>
    <cellStyle name="_Therms Data_Pro Forma Rev 2010 GRC" xfId="5315" xr:uid="{00000000-0005-0000-0000-0000BC140000}"/>
    <cellStyle name="_Therms Data_Pro Forma Rev 2010 GRC_Preliminary" xfId="5316" xr:uid="{00000000-0005-0000-0000-0000BD140000}"/>
    <cellStyle name="_Therms Data_Revenue (Feb 09 - Jan 10)" xfId="5317" xr:uid="{00000000-0005-0000-0000-0000BE140000}"/>
    <cellStyle name="_Therms Data_Revenue (Jan 09 - Dec 09)" xfId="5318" xr:uid="{00000000-0005-0000-0000-0000BF140000}"/>
    <cellStyle name="_Therms Data_Revenue (Mar 09 - Feb 10)" xfId="5319" xr:uid="{00000000-0005-0000-0000-0000C0140000}"/>
    <cellStyle name="_Therms Data_Volume Exhibit (Jan09 - Dec09)" xfId="5320" xr:uid="{00000000-0005-0000-0000-0000C1140000}"/>
    <cellStyle name="_Value Copy 11 30 05 gas 12 09 05 AURORA at 12 14 05" xfId="5321" xr:uid="{00000000-0005-0000-0000-0000C2140000}"/>
    <cellStyle name="_Value Copy 11 30 05 gas 12 09 05 AURORA at 12 14 05 2" xfId="5322" xr:uid="{00000000-0005-0000-0000-0000C3140000}"/>
    <cellStyle name="_Value Copy 11 30 05 gas 12 09 05 AURORA at 12 14 05 2 2" xfId="5323" xr:uid="{00000000-0005-0000-0000-0000C4140000}"/>
    <cellStyle name="_Value Copy 11 30 05 gas 12 09 05 AURORA at 12 14 05 2 2 2" xfId="5324" xr:uid="{00000000-0005-0000-0000-0000C5140000}"/>
    <cellStyle name="_Value Copy 11 30 05 gas 12 09 05 AURORA at 12 14 05 2 3" xfId="5325" xr:uid="{00000000-0005-0000-0000-0000C6140000}"/>
    <cellStyle name="_Value Copy 11 30 05 gas 12 09 05 AURORA at 12 14 05 3" xfId="5326" xr:uid="{00000000-0005-0000-0000-0000C7140000}"/>
    <cellStyle name="_Value Copy 11 30 05 gas 12 09 05 AURORA at 12 14 05 3 2" xfId="5327" xr:uid="{00000000-0005-0000-0000-0000C8140000}"/>
    <cellStyle name="_Value Copy 11 30 05 gas 12 09 05 AURORA at 12 14 05 4" xfId="5328" xr:uid="{00000000-0005-0000-0000-0000C9140000}"/>
    <cellStyle name="_Value Copy 11 30 05 gas 12 09 05 AURORA at 12 14 05 4 2" xfId="5329" xr:uid="{00000000-0005-0000-0000-0000CA140000}"/>
    <cellStyle name="_Value Copy 11 30 05 gas 12 09 05 AURORA at 12 14 05 5" xfId="5330" xr:uid="{00000000-0005-0000-0000-0000CB140000}"/>
    <cellStyle name="_Value Copy 11 30 05 gas 12 09 05 AURORA at 12 14 05_04 07E Wild Horse Wind Expansion (C) (2)" xfId="5331" xr:uid="{00000000-0005-0000-0000-0000CC140000}"/>
    <cellStyle name="_Value Copy 11 30 05 gas 12 09 05 AURORA at 12 14 05_04 07E Wild Horse Wind Expansion (C) (2) 2" xfId="5332" xr:uid="{00000000-0005-0000-0000-0000CD140000}"/>
    <cellStyle name="_Value Copy 11 30 05 gas 12 09 05 AURORA at 12 14 05_04 07E Wild Horse Wind Expansion (C) (2) 2 2" xfId="5333" xr:uid="{00000000-0005-0000-0000-0000CE140000}"/>
    <cellStyle name="_Value Copy 11 30 05 gas 12 09 05 AURORA at 12 14 05_04 07E Wild Horse Wind Expansion (C) (2) 3" xfId="5334" xr:uid="{00000000-0005-0000-0000-0000CF140000}"/>
    <cellStyle name="_Value Copy 11 30 05 gas 12 09 05 AURORA at 12 14 05_04 07E Wild Horse Wind Expansion (C) (2) 4" xfId="5335" xr:uid="{00000000-0005-0000-0000-0000D0140000}"/>
    <cellStyle name="_Value Copy 11 30 05 gas 12 09 05 AURORA at 12 14 05_04 07E Wild Horse Wind Expansion (C) (2)_Adj Bench DR 3 for Initial Briefs (Electric)" xfId="5336" xr:uid="{00000000-0005-0000-0000-0000D1140000}"/>
    <cellStyle name="_Value Copy 11 30 05 gas 12 09 05 AURORA at 12 14 05_04 07E Wild Horse Wind Expansion (C) (2)_Adj Bench DR 3 for Initial Briefs (Electric) 2" xfId="5337" xr:uid="{00000000-0005-0000-0000-0000D2140000}"/>
    <cellStyle name="_Value Copy 11 30 05 gas 12 09 05 AURORA at 12 14 05_04 07E Wild Horse Wind Expansion (C) (2)_Adj Bench DR 3 for Initial Briefs (Electric) 2 2" xfId="5338" xr:uid="{00000000-0005-0000-0000-0000D3140000}"/>
    <cellStyle name="_Value Copy 11 30 05 gas 12 09 05 AURORA at 12 14 05_04 07E Wild Horse Wind Expansion (C) (2)_Adj Bench DR 3 for Initial Briefs (Electric) 3" xfId="5339" xr:uid="{00000000-0005-0000-0000-0000D4140000}"/>
    <cellStyle name="_Value Copy 11 30 05 gas 12 09 05 AURORA at 12 14 05_04 07E Wild Horse Wind Expansion (C) (2)_Adj Bench DR 3 for Initial Briefs (Electric) 4" xfId="5340" xr:uid="{00000000-0005-0000-0000-0000D5140000}"/>
    <cellStyle name="_Value Copy 11 30 05 gas 12 09 05 AURORA at 12 14 05_04 07E Wild Horse Wind Expansion (C) (2)_Book1" xfId="5341" xr:uid="{00000000-0005-0000-0000-0000D6140000}"/>
    <cellStyle name="_Value Copy 11 30 05 gas 12 09 05 AURORA at 12 14 05_04 07E Wild Horse Wind Expansion (C) (2)_Electric Rev Req Model (2009 GRC) " xfId="5342" xr:uid="{00000000-0005-0000-0000-0000D7140000}"/>
    <cellStyle name="_Value Copy 11 30 05 gas 12 09 05 AURORA at 12 14 05_04 07E Wild Horse Wind Expansion (C) (2)_Electric Rev Req Model (2009 GRC)  2" xfId="5343" xr:uid="{00000000-0005-0000-0000-0000D8140000}"/>
    <cellStyle name="_Value Copy 11 30 05 gas 12 09 05 AURORA at 12 14 05_04 07E Wild Horse Wind Expansion (C) (2)_Electric Rev Req Model (2009 GRC)  2 2" xfId="5344" xr:uid="{00000000-0005-0000-0000-0000D9140000}"/>
    <cellStyle name="_Value Copy 11 30 05 gas 12 09 05 AURORA at 12 14 05_04 07E Wild Horse Wind Expansion (C) (2)_Electric Rev Req Model (2009 GRC)  3" xfId="5345" xr:uid="{00000000-0005-0000-0000-0000DA140000}"/>
    <cellStyle name="_Value Copy 11 30 05 gas 12 09 05 AURORA at 12 14 05_04 07E Wild Horse Wind Expansion (C) (2)_Electric Rev Req Model (2009 GRC)  4" xfId="5346" xr:uid="{00000000-0005-0000-0000-0000DB140000}"/>
    <cellStyle name="_Value Copy 11 30 05 gas 12 09 05 AURORA at 12 14 05_04 07E Wild Horse Wind Expansion (C) (2)_Electric Rev Req Model (2009 GRC) Rebuttal" xfId="5347" xr:uid="{00000000-0005-0000-0000-0000DC140000}"/>
    <cellStyle name="_Value Copy 11 30 05 gas 12 09 05 AURORA at 12 14 05_04 07E Wild Horse Wind Expansion (C) (2)_Electric Rev Req Model (2009 GRC) Rebuttal 2" xfId="5348" xr:uid="{00000000-0005-0000-0000-0000DD140000}"/>
    <cellStyle name="_Value Copy 11 30 05 gas 12 09 05 AURORA at 12 14 05_04 07E Wild Horse Wind Expansion (C) (2)_Electric Rev Req Model (2009 GRC) Rebuttal 2 2" xfId="5349" xr:uid="{00000000-0005-0000-0000-0000DE140000}"/>
    <cellStyle name="_Value Copy 11 30 05 gas 12 09 05 AURORA at 12 14 05_04 07E Wild Horse Wind Expansion (C) (2)_Electric Rev Req Model (2009 GRC) Rebuttal 3" xfId="5350" xr:uid="{00000000-0005-0000-0000-0000DF140000}"/>
    <cellStyle name="_Value Copy 11 30 05 gas 12 09 05 AURORA at 12 14 05_04 07E Wild Horse Wind Expansion (C) (2)_Electric Rev Req Model (2009 GRC) Rebuttal 4" xfId="5351" xr:uid="{00000000-0005-0000-0000-0000E0140000}"/>
    <cellStyle name="_Value Copy 11 30 05 gas 12 09 05 AURORA at 12 14 05_04 07E Wild Horse Wind Expansion (C) (2)_Electric Rev Req Model (2009 GRC) Rebuttal REmoval of New  WH Solar AdjustMI" xfId="5352" xr:uid="{00000000-0005-0000-0000-0000E1140000}"/>
    <cellStyle name="_Value Copy 11 30 05 gas 12 09 05 AURORA at 12 14 05_04 07E Wild Horse Wind Expansion (C) (2)_Electric Rev Req Model (2009 GRC) Rebuttal REmoval of New  WH Solar AdjustMI 2" xfId="5353" xr:uid="{00000000-0005-0000-0000-0000E2140000}"/>
    <cellStyle name="_Value Copy 11 30 05 gas 12 09 05 AURORA at 12 14 05_04 07E Wild Horse Wind Expansion (C) (2)_Electric Rev Req Model (2009 GRC) Rebuttal REmoval of New  WH Solar AdjustMI 2 2" xfId="5354" xr:uid="{00000000-0005-0000-0000-0000E3140000}"/>
    <cellStyle name="_Value Copy 11 30 05 gas 12 09 05 AURORA at 12 14 05_04 07E Wild Horse Wind Expansion (C) (2)_Electric Rev Req Model (2009 GRC) Rebuttal REmoval of New  WH Solar AdjustMI 3" xfId="5355" xr:uid="{00000000-0005-0000-0000-0000E4140000}"/>
    <cellStyle name="_Value Copy 11 30 05 gas 12 09 05 AURORA at 12 14 05_04 07E Wild Horse Wind Expansion (C) (2)_Electric Rev Req Model (2009 GRC) Rebuttal REmoval of New  WH Solar AdjustMI 4" xfId="5356" xr:uid="{00000000-0005-0000-0000-0000E5140000}"/>
    <cellStyle name="_Value Copy 11 30 05 gas 12 09 05 AURORA at 12 14 05_04 07E Wild Horse Wind Expansion (C) (2)_Electric Rev Req Model (2009 GRC) Revised 01-18-2010" xfId="5357" xr:uid="{00000000-0005-0000-0000-0000E6140000}"/>
    <cellStyle name="_Value Copy 11 30 05 gas 12 09 05 AURORA at 12 14 05_04 07E Wild Horse Wind Expansion (C) (2)_Electric Rev Req Model (2009 GRC) Revised 01-18-2010 2" xfId="5358" xr:uid="{00000000-0005-0000-0000-0000E7140000}"/>
    <cellStyle name="_Value Copy 11 30 05 gas 12 09 05 AURORA at 12 14 05_04 07E Wild Horse Wind Expansion (C) (2)_Electric Rev Req Model (2009 GRC) Revised 01-18-2010 2 2" xfId="5359" xr:uid="{00000000-0005-0000-0000-0000E8140000}"/>
    <cellStyle name="_Value Copy 11 30 05 gas 12 09 05 AURORA at 12 14 05_04 07E Wild Horse Wind Expansion (C) (2)_Electric Rev Req Model (2009 GRC) Revised 01-18-2010 3" xfId="5360" xr:uid="{00000000-0005-0000-0000-0000E9140000}"/>
    <cellStyle name="_Value Copy 11 30 05 gas 12 09 05 AURORA at 12 14 05_04 07E Wild Horse Wind Expansion (C) (2)_Electric Rev Req Model (2009 GRC) Revised 01-18-2010 4" xfId="5361" xr:uid="{00000000-0005-0000-0000-0000EA140000}"/>
    <cellStyle name="_Value Copy 11 30 05 gas 12 09 05 AURORA at 12 14 05_04 07E Wild Horse Wind Expansion (C) (2)_Electric Rev Req Model (2010 GRC)" xfId="5362" xr:uid="{00000000-0005-0000-0000-0000EB140000}"/>
    <cellStyle name="_Value Copy 11 30 05 gas 12 09 05 AURORA at 12 14 05_04 07E Wild Horse Wind Expansion (C) (2)_Electric Rev Req Model (2010 GRC) SF" xfId="5363" xr:uid="{00000000-0005-0000-0000-0000EC140000}"/>
    <cellStyle name="_Value Copy 11 30 05 gas 12 09 05 AURORA at 12 14 05_04 07E Wild Horse Wind Expansion (C) (2)_Final Order Electric EXHIBIT A-1" xfId="5364" xr:uid="{00000000-0005-0000-0000-0000ED140000}"/>
    <cellStyle name="_Value Copy 11 30 05 gas 12 09 05 AURORA at 12 14 05_04 07E Wild Horse Wind Expansion (C) (2)_Final Order Electric EXHIBIT A-1 2" xfId="5365" xr:uid="{00000000-0005-0000-0000-0000EE140000}"/>
    <cellStyle name="_Value Copy 11 30 05 gas 12 09 05 AURORA at 12 14 05_04 07E Wild Horse Wind Expansion (C) (2)_Final Order Electric EXHIBIT A-1 2 2" xfId="5366" xr:uid="{00000000-0005-0000-0000-0000EF140000}"/>
    <cellStyle name="_Value Copy 11 30 05 gas 12 09 05 AURORA at 12 14 05_04 07E Wild Horse Wind Expansion (C) (2)_Final Order Electric EXHIBIT A-1 3" xfId="5367" xr:uid="{00000000-0005-0000-0000-0000F0140000}"/>
    <cellStyle name="_Value Copy 11 30 05 gas 12 09 05 AURORA at 12 14 05_04 07E Wild Horse Wind Expansion (C) (2)_Final Order Electric EXHIBIT A-1 4" xfId="5368" xr:uid="{00000000-0005-0000-0000-0000F1140000}"/>
    <cellStyle name="_Value Copy 11 30 05 gas 12 09 05 AURORA at 12 14 05_04 07E Wild Horse Wind Expansion (C) (2)_TENASKA REGULATORY ASSET" xfId="5369" xr:uid="{00000000-0005-0000-0000-0000F2140000}"/>
    <cellStyle name="_Value Copy 11 30 05 gas 12 09 05 AURORA at 12 14 05_04 07E Wild Horse Wind Expansion (C) (2)_TENASKA REGULATORY ASSET 2" xfId="5370" xr:uid="{00000000-0005-0000-0000-0000F3140000}"/>
    <cellStyle name="_Value Copy 11 30 05 gas 12 09 05 AURORA at 12 14 05_04 07E Wild Horse Wind Expansion (C) (2)_TENASKA REGULATORY ASSET 2 2" xfId="5371" xr:uid="{00000000-0005-0000-0000-0000F4140000}"/>
    <cellStyle name="_Value Copy 11 30 05 gas 12 09 05 AURORA at 12 14 05_04 07E Wild Horse Wind Expansion (C) (2)_TENASKA REGULATORY ASSET 3" xfId="5372" xr:uid="{00000000-0005-0000-0000-0000F5140000}"/>
    <cellStyle name="_Value Copy 11 30 05 gas 12 09 05 AURORA at 12 14 05_04 07E Wild Horse Wind Expansion (C) (2)_TENASKA REGULATORY ASSET 4" xfId="5373" xr:uid="{00000000-0005-0000-0000-0000F6140000}"/>
    <cellStyle name="_Value Copy 11 30 05 gas 12 09 05 AURORA at 12 14 05_16.37E Wild Horse Expansion DeferralRevwrkingfile SF" xfId="5374" xr:uid="{00000000-0005-0000-0000-0000F7140000}"/>
    <cellStyle name="_Value Copy 11 30 05 gas 12 09 05 AURORA at 12 14 05_16.37E Wild Horse Expansion DeferralRevwrkingfile SF 2" xfId="5375" xr:uid="{00000000-0005-0000-0000-0000F8140000}"/>
    <cellStyle name="_Value Copy 11 30 05 gas 12 09 05 AURORA at 12 14 05_16.37E Wild Horse Expansion DeferralRevwrkingfile SF 2 2" xfId="5376" xr:uid="{00000000-0005-0000-0000-0000F9140000}"/>
    <cellStyle name="_Value Copy 11 30 05 gas 12 09 05 AURORA at 12 14 05_16.37E Wild Horse Expansion DeferralRevwrkingfile SF 3" xfId="5377" xr:uid="{00000000-0005-0000-0000-0000FA140000}"/>
    <cellStyle name="_Value Copy 11 30 05 gas 12 09 05 AURORA at 12 14 05_16.37E Wild Horse Expansion DeferralRevwrkingfile SF 4" xfId="5378" xr:uid="{00000000-0005-0000-0000-0000FB140000}"/>
    <cellStyle name="_Value Copy 11 30 05 gas 12 09 05 AURORA at 12 14 05_2009 Compliance Filing PCA Exhibits for GRC" xfId="5379" xr:uid="{00000000-0005-0000-0000-0000FC140000}"/>
    <cellStyle name="_Value Copy 11 30 05 gas 12 09 05 AURORA at 12 14 05_2009 Compliance Filing PCA Exhibits for GRC 2" xfId="5380" xr:uid="{00000000-0005-0000-0000-0000FD140000}"/>
    <cellStyle name="_Value Copy 11 30 05 gas 12 09 05 AURORA at 12 14 05_2009 GRC Compl Filing - Exhibit D" xfId="5381" xr:uid="{00000000-0005-0000-0000-0000FE140000}"/>
    <cellStyle name="_Value Copy 11 30 05 gas 12 09 05 AURORA at 12 14 05_2009 GRC Compl Filing - Exhibit D 2" xfId="5382" xr:uid="{00000000-0005-0000-0000-0000FF140000}"/>
    <cellStyle name="_Value Copy 11 30 05 gas 12 09 05 AURORA at 12 14 05_3.01 Income Statement" xfId="5383" xr:uid="{00000000-0005-0000-0000-000000150000}"/>
    <cellStyle name="_Value Copy 11 30 05 gas 12 09 05 AURORA at 12 14 05_4 31 Regulatory Assets and Liabilities  7 06- Exhibit D" xfId="5384" xr:uid="{00000000-0005-0000-0000-000001150000}"/>
    <cellStyle name="_Value Copy 11 30 05 gas 12 09 05 AURORA at 12 14 05_4 31 Regulatory Assets and Liabilities  7 06- Exhibit D 2" xfId="5385" xr:uid="{00000000-0005-0000-0000-000002150000}"/>
    <cellStyle name="_Value Copy 11 30 05 gas 12 09 05 AURORA at 12 14 05_4 31 Regulatory Assets and Liabilities  7 06- Exhibit D 2 2" xfId="5386" xr:uid="{00000000-0005-0000-0000-000003150000}"/>
    <cellStyle name="_Value Copy 11 30 05 gas 12 09 05 AURORA at 12 14 05_4 31 Regulatory Assets and Liabilities  7 06- Exhibit D 3" xfId="5387" xr:uid="{00000000-0005-0000-0000-000004150000}"/>
    <cellStyle name="_Value Copy 11 30 05 gas 12 09 05 AURORA at 12 14 05_4 31 Regulatory Assets and Liabilities  7 06- Exhibit D 4" xfId="5388" xr:uid="{00000000-0005-0000-0000-000005150000}"/>
    <cellStyle name="_Value Copy 11 30 05 gas 12 09 05 AURORA at 12 14 05_4 31 Regulatory Assets and Liabilities  7 06- Exhibit D_NIM Summary" xfId="5389" xr:uid="{00000000-0005-0000-0000-000006150000}"/>
    <cellStyle name="_Value Copy 11 30 05 gas 12 09 05 AURORA at 12 14 05_4 31 Regulatory Assets and Liabilities  7 06- Exhibit D_NIM Summary 2" xfId="5390" xr:uid="{00000000-0005-0000-0000-000007150000}"/>
    <cellStyle name="_Value Copy 11 30 05 gas 12 09 05 AURORA at 12 14 05_4 32 Regulatory Assets and Liabilities  7 06- Exhibit D" xfId="5391" xr:uid="{00000000-0005-0000-0000-000008150000}"/>
    <cellStyle name="_Value Copy 11 30 05 gas 12 09 05 AURORA at 12 14 05_4 32 Regulatory Assets and Liabilities  7 06- Exhibit D 2" xfId="5392" xr:uid="{00000000-0005-0000-0000-000009150000}"/>
    <cellStyle name="_Value Copy 11 30 05 gas 12 09 05 AURORA at 12 14 05_4 32 Regulatory Assets and Liabilities  7 06- Exhibit D 2 2" xfId="5393" xr:uid="{00000000-0005-0000-0000-00000A150000}"/>
    <cellStyle name="_Value Copy 11 30 05 gas 12 09 05 AURORA at 12 14 05_4 32 Regulatory Assets and Liabilities  7 06- Exhibit D 3" xfId="5394" xr:uid="{00000000-0005-0000-0000-00000B150000}"/>
    <cellStyle name="_Value Copy 11 30 05 gas 12 09 05 AURORA at 12 14 05_4 32 Regulatory Assets and Liabilities  7 06- Exhibit D 4" xfId="5395" xr:uid="{00000000-0005-0000-0000-00000C150000}"/>
    <cellStyle name="_Value Copy 11 30 05 gas 12 09 05 AURORA at 12 14 05_4 32 Regulatory Assets and Liabilities  7 06- Exhibit D_NIM Summary" xfId="5396" xr:uid="{00000000-0005-0000-0000-00000D150000}"/>
    <cellStyle name="_Value Copy 11 30 05 gas 12 09 05 AURORA at 12 14 05_4 32 Regulatory Assets and Liabilities  7 06- Exhibit D_NIM Summary 2" xfId="5397" xr:uid="{00000000-0005-0000-0000-00000E150000}"/>
    <cellStyle name="_Value Copy 11 30 05 gas 12 09 05 AURORA at 12 14 05_ACCOUNTS" xfId="5398" xr:uid="{00000000-0005-0000-0000-00000F150000}"/>
    <cellStyle name="_Value Copy 11 30 05 gas 12 09 05 AURORA at 12 14 05_AURORA Total New" xfId="5399" xr:uid="{00000000-0005-0000-0000-000010150000}"/>
    <cellStyle name="_Value Copy 11 30 05 gas 12 09 05 AURORA at 12 14 05_AURORA Total New 2" xfId="5400" xr:uid="{00000000-0005-0000-0000-000011150000}"/>
    <cellStyle name="_Value Copy 11 30 05 gas 12 09 05 AURORA at 12 14 05_Book2" xfId="5401" xr:uid="{00000000-0005-0000-0000-000012150000}"/>
    <cellStyle name="_Value Copy 11 30 05 gas 12 09 05 AURORA at 12 14 05_Book2 2" xfId="5402" xr:uid="{00000000-0005-0000-0000-000013150000}"/>
    <cellStyle name="_Value Copy 11 30 05 gas 12 09 05 AURORA at 12 14 05_Book2 2 2" xfId="5403" xr:uid="{00000000-0005-0000-0000-000014150000}"/>
    <cellStyle name="_Value Copy 11 30 05 gas 12 09 05 AURORA at 12 14 05_Book2 3" xfId="5404" xr:uid="{00000000-0005-0000-0000-000015150000}"/>
    <cellStyle name="_Value Copy 11 30 05 gas 12 09 05 AURORA at 12 14 05_Book2 4" xfId="5405" xr:uid="{00000000-0005-0000-0000-000016150000}"/>
    <cellStyle name="_Value Copy 11 30 05 gas 12 09 05 AURORA at 12 14 05_Book2_Adj Bench DR 3 for Initial Briefs (Electric)" xfId="5406" xr:uid="{00000000-0005-0000-0000-000017150000}"/>
    <cellStyle name="_Value Copy 11 30 05 gas 12 09 05 AURORA at 12 14 05_Book2_Adj Bench DR 3 for Initial Briefs (Electric) 2" xfId="5407" xr:uid="{00000000-0005-0000-0000-000018150000}"/>
    <cellStyle name="_Value Copy 11 30 05 gas 12 09 05 AURORA at 12 14 05_Book2_Adj Bench DR 3 for Initial Briefs (Electric) 2 2" xfId="5408" xr:uid="{00000000-0005-0000-0000-000019150000}"/>
    <cellStyle name="_Value Copy 11 30 05 gas 12 09 05 AURORA at 12 14 05_Book2_Adj Bench DR 3 for Initial Briefs (Electric) 3" xfId="5409" xr:uid="{00000000-0005-0000-0000-00001A150000}"/>
    <cellStyle name="_Value Copy 11 30 05 gas 12 09 05 AURORA at 12 14 05_Book2_Adj Bench DR 3 for Initial Briefs (Electric) 4" xfId="5410" xr:uid="{00000000-0005-0000-0000-00001B150000}"/>
    <cellStyle name="_Value Copy 11 30 05 gas 12 09 05 AURORA at 12 14 05_Book2_Electric Rev Req Model (2009 GRC) Rebuttal" xfId="5411" xr:uid="{00000000-0005-0000-0000-00001C150000}"/>
    <cellStyle name="_Value Copy 11 30 05 gas 12 09 05 AURORA at 12 14 05_Book2_Electric Rev Req Model (2009 GRC) Rebuttal 2" xfId="5412" xr:uid="{00000000-0005-0000-0000-00001D150000}"/>
    <cellStyle name="_Value Copy 11 30 05 gas 12 09 05 AURORA at 12 14 05_Book2_Electric Rev Req Model (2009 GRC) Rebuttal 2 2" xfId="5413" xr:uid="{00000000-0005-0000-0000-00001E150000}"/>
    <cellStyle name="_Value Copy 11 30 05 gas 12 09 05 AURORA at 12 14 05_Book2_Electric Rev Req Model (2009 GRC) Rebuttal 3" xfId="5414" xr:uid="{00000000-0005-0000-0000-00001F150000}"/>
    <cellStyle name="_Value Copy 11 30 05 gas 12 09 05 AURORA at 12 14 05_Book2_Electric Rev Req Model (2009 GRC) Rebuttal 4" xfId="5415" xr:uid="{00000000-0005-0000-0000-000020150000}"/>
    <cellStyle name="_Value Copy 11 30 05 gas 12 09 05 AURORA at 12 14 05_Book2_Electric Rev Req Model (2009 GRC) Rebuttal REmoval of New  WH Solar AdjustMI" xfId="5416" xr:uid="{00000000-0005-0000-0000-000021150000}"/>
    <cellStyle name="_Value Copy 11 30 05 gas 12 09 05 AURORA at 12 14 05_Book2_Electric Rev Req Model (2009 GRC) Rebuttal REmoval of New  WH Solar AdjustMI 2" xfId="5417" xr:uid="{00000000-0005-0000-0000-000022150000}"/>
    <cellStyle name="_Value Copy 11 30 05 gas 12 09 05 AURORA at 12 14 05_Book2_Electric Rev Req Model (2009 GRC) Rebuttal REmoval of New  WH Solar AdjustMI 2 2" xfId="5418" xr:uid="{00000000-0005-0000-0000-000023150000}"/>
    <cellStyle name="_Value Copy 11 30 05 gas 12 09 05 AURORA at 12 14 05_Book2_Electric Rev Req Model (2009 GRC) Rebuttal REmoval of New  WH Solar AdjustMI 3" xfId="5419" xr:uid="{00000000-0005-0000-0000-000024150000}"/>
    <cellStyle name="_Value Copy 11 30 05 gas 12 09 05 AURORA at 12 14 05_Book2_Electric Rev Req Model (2009 GRC) Rebuttal REmoval of New  WH Solar AdjustMI 4" xfId="5420" xr:uid="{00000000-0005-0000-0000-000025150000}"/>
    <cellStyle name="_Value Copy 11 30 05 gas 12 09 05 AURORA at 12 14 05_Book2_Electric Rev Req Model (2009 GRC) Revised 01-18-2010" xfId="5421" xr:uid="{00000000-0005-0000-0000-000026150000}"/>
    <cellStyle name="_Value Copy 11 30 05 gas 12 09 05 AURORA at 12 14 05_Book2_Electric Rev Req Model (2009 GRC) Revised 01-18-2010 2" xfId="5422" xr:uid="{00000000-0005-0000-0000-000027150000}"/>
    <cellStyle name="_Value Copy 11 30 05 gas 12 09 05 AURORA at 12 14 05_Book2_Electric Rev Req Model (2009 GRC) Revised 01-18-2010 2 2" xfId="5423" xr:uid="{00000000-0005-0000-0000-000028150000}"/>
    <cellStyle name="_Value Copy 11 30 05 gas 12 09 05 AURORA at 12 14 05_Book2_Electric Rev Req Model (2009 GRC) Revised 01-18-2010 3" xfId="5424" xr:uid="{00000000-0005-0000-0000-000029150000}"/>
    <cellStyle name="_Value Copy 11 30 05 gas 12 09 05 AURORA at 12 14 05_Book2_Electric Rev Req Model (2009 GRC) Revised 01-18-2010 4" xfId="5425" xr:uid="{00000000-0005-0000-0000-00002A150000}"/>
    <cellStyle name="_Value Copy 11 30 05 gas 12 09 05 AURORA at 12 14 05_Book2_Final Order Electric EXHIBIT A-1" xfId="5426" xr:uid="{00000000-0005-0000-0000-00002B150000}"/>
    <cellStyle name="_Value Copy 11 30 05 gas 12 09 05 AURORA at 12 14 05_Book2_Final Order Electric EXHIBIT A-1 2" xfId="5427" xr:uid="{00000000-0005-0000-0000-00002C150000}"/>
    <cellStyle name="_Value Copy 11 30 05 gas 12 09 05 AURORA at 12 14 05_Book2_Final Order Electric EXHIBIT A-1 2 2" xfId="5428" xr:uid="{00000000-0005-0000-0000-00002D150000}"/>
    <cellStyle name="_Value Copy 11 30 05 gas 12 09 05 AURORA at 12 14 05_Book2_Final Order Electric EXHIBIT A-1 3" xfId="5429" xr:uid="{00000000-0005-0000-0000-00002E150000}"/>
    <cellStyle name="_Value Copy 11 30 05 gas 12 09 05 AURORA at 12 14 05_Book2_Final Order Electric EXHIBIT A-1 4" xfId="5430" xr:uid="{00000000-0005-0000-0000-00002F150000}"/>
    <cellStyle name="_Value Copy 11 30 05 gas 12 09 05 AURORA at 12 14 05_Book4" xfId="5431" xr:uid="{00000000-0005-0000-0000-000030150000}"/>
    <cellStyle name="_Value Copy 11 30 05 gas 12 09 05 AURORA at 12 14 05_Book4 2" xfId="5432" xr:uid="{00000000-0005-0000-0000-000031150000}"/>
    <cellStyle name="_Value Copy 11 30 05 gas 12 09 05 AURORA at 12 14 05_Book4 2 2" xfId="5433" xr:uid="{00000000-0005-0000-0000-000032150000}"/>
    <cellStyle name="_Value Copy 11 30 05 gas 12 09 05 AURORA at 12 14 05_Book4 3" xfId="5434" xr:uid="{00000000-0005-0000-0000-000033150000}"/>
    <cellStyle name="_Value Copy 11 30 05 gas 12 09 05 AURORA at 12 14 05_Book4 4" xfId="5435" xr:uid="{00000000-0005-0000-0000-000034150000}"/>
    <cellStyle name="_Value Copy 11 30 05 gas 12 09 05 AURORA at 12 14 05_Book9" xfId="5436" xr:uid="{00000000-0005-0000-0000-000035150000}"/>
    <cellStyle name="_Value Copy 11 30 05 gas 12 09 05 AURORA at 12 14 05_Book9 2" xfId="5437" xr:uid="{00000000-0005-0000-0000-000036150000}"/>
    <cellStyle name="_Value Copy 11 30 05 gas 12 09 05 AURORA at 12 14 05_Book9 2 2" xfId="5438" xr:uid="{00000000-0005-0000-0000-000037150000}"/>
    <cellStyle name="_Value Copy 11 30 05 gas 12 09 05 AURORA at 12 14 05_Book9 3" xfId="5439" xr:uid="{00000000-0005-0000-0000-000038150000}"/>
    <cellStyle name="_Value Copy 11 30 05 gas 12 09 05 AURORA at 12 14 05_Book9 4" xfId="5440" xr:uid="{00000000-0005-0000-0000-000039150000}"/>
    <cellStyle name="_Value Copy 11 30 05 gas 12 09 05 AURORA at 12 14 05_Check the Interest Calculation" xfId="5441" xr:uid="{00000000-0005-0000-0000-00003A150000}"/>
    <cellStyle name="_Value Copy 11 30 05 gas 12 09 05 AURORA at 12 14 05_Check the Interest Calculation_Scenario 1 REC vs PTC Offset" xfId="5442" xr:uid="{00000000-0005-0000-0000-00003B150000}"/>
    <cellStyle name="_Value Copy 11 30 05 gas 12 09 05 AURORA at 12 14 05_Check the Interest Calculation_Scenario 3" xfId="5443" xr:uid="{00000000-0005-0000-0000-00003C150000}"/>
    <cellStyle name="_Value Copy 11 30 05 gas 12 09 05 AURORA at 12 14 05_Chelan PUD Power Costs (8-10)" xfId="5444" xr:uid="{00000000-0005-0000-0000-00003D150000}"/>
    <cellStyle name="_Value Copy 11 30 05 gas 12 09 05 AURORA at 12 14 05_Direct Assignment Distribution Plant 2008" xfId="5445" xr:uid="{00000000-0005-0000-0000-00003E150000}"/>
    <cellStyle name="_Value Copy 11 30 05 gas 12 09 05 AURORA at 12 14 05_Direct Assignment Distribution Plant 2008 2" xfId="5446" xr:uid="{00000000-0005-0000-0000-00003F150000}"/>
    <cellStyle name="_Value Copy 11 30 05 gas 12 09 05 AURORA at 12 14 05_Direct Assignment Distribution Plant 2008 2 2" xfId="5447" xr:uid="{00000000-0005-0000-0000-000040150000}"/>
    <cellStyle name="_Value Copy 11 30 05 gas 12 09 05 AURORA at 12 14 05_Direct Assignment Distribution Plant 2008 2 2 2" xfId="5448" xr:uid="{00000000-0005-0000-0000-000041150000}"/>
    <cellStyle name="_Value Copy 11 30 05 gas 12 09 05 AURORA at 12 14 05_Direct Assignment Distribution Plant 2008 2 3" xfId="5449" xr:uid="{00000000-0005-0000-0000-000042150000}"/>
    <cellStyle name="_Value Copy 11 30 05 gas 12 09 05 AURORA at 12 14 05_Direct Assignment Distribution Plant 2008 2 3 2" xfId="5450" xr:uid="{00000000-0005-0000-0000-000043150000}"/>
    <cellStyle name="_Value Copy 11 30 05 gas 12 09 05 AURORA at 12 14 05_Direct Assignment Distribution Plant 2008 2 4" xfId="5451" xr:uid="{00000000-0005-0000-0000-000044150000}"/>
    <cellStyle name="_Value Copy 11 30 05 gas 12 09 05 AURORA at 12 14 05_Direct Assignment Distribution Plant 2008 2 4 2" xfId="5452" xr:uid="{00000000-0005-0000-0000-000045150000}"/>
    <cellStyle name="_Value Copy 11 30 05 gas 12 09 05 AURORA at 12 14 05_Direct Assignment Distribution Plant 2008 3" xfId="5453" xr:uid="{00000000-0005-0000-0000-000046150000}"/>
    <cellStyle name="_Value Copy 11 30 05 gas 12 09 05 AURORA at 12 14 05_Direct Assignment Distribution Plant 2008 3 2" xfId="5454" xr:uid="{00000000-0005-0000-0000-000047150000}"/>
    <cellStyle name="_Value Copy 11 30 05 gas 12 09 05 AURORA at 12 14 05_Direct Assignment Distribution Plant 2008 4" xfId="5455" xr:uid="{00000000-0005-0000-0000-000048150000}"/>
    <cellStyle name="_Value Copy 11 30 05 gas 12 09 05 AURORA at 12 14 05_Direct Assignment Distribution Plant 2008 4 2" xfId="5456" xr:uid="{00000000-0005-0000-0000-000049150000}"/>
    <cellStyle name="_Value Copy 11 30 05 gas 12 09 05 AURORA at 12 14 05_Direct Assignment Distribution Plant 2008 5" xfId="5457" xr:uid="{00000000-0005-0000-0000-00004A150000}"/>
    <cellStyle name="_Value Copy 11 30 05 gas 12 09 05 AURORA at 12 14 05_Direct Assignment Distribution Plant 2008 6" xfId="5458" xr:uid="{00000000-0005-0000-0000-00004B150000}"/>
    <cellStyle name="_Value Copy 11 30 05 gas 12 09 05 AURORA at 12 14 05_Electric COS Inputs" xfId="5459" xr:uid="{00000000-0005-0000-0000-00004C150000}"/>
    <cellStyle name="_Value Copy 11 30 05 gas 12 09 05 AURORA at 12 14 05_Electric COS Inputs 2" xfId="5460" xr:uid="{00000000-0005-0000-0000-00004D150000}"/>
    <cellStyle name="_Value Copy 11 30 05 gas 12 09 05 AURORA at 12 14 05_Electric COS Inputs 2 2" xfId="5461" xr:uid="{00000000-0005-0000-0000-00004E150000}"/>
    <cellStyle name="_Value Copy 11 30 05 gas 12 09 05 AURORA at 12 14 05_Electric COS Inputs 2 2 2" xfId="5462" xr:uid="{00000000-0005-0000-0000-00004F150000}"/>
    <cellStyle name="_Value Copy 11 30 05 gas 12 09 05 AURORA at 12 14 05_Electric COS Inputs 2 3" xfId="5463" xr:uid="{00000000-0005-0000-0000-000050150000}"/>
    <cellStyle name="_Value Copy 11 30 05 gas 12 09 05 AURORA at 12 14 05_Electric COS Inputs 2 3 2" xfId="5464" xr:uid="{00000000-0005-0000-0000-000051150000}"/>
    <cellStyle name="_Value Copy 11 30 05 gas 12 09 05 AURORA at 12 14 05_Electric COS Inputs 2 4" xfId="5465" xr:uid="{00000000-0005-0000-0000-000052150000}"/>
    <cellStyle name="_Value Copy 11 30 05 gas 12 09 05 AURORA at 12 14 05_Electric COS Inputs 2 4 2" xfId="5466" xr:uid="{00000000-0005-0000-0000-000053150000}"/>
    <cellStyle name="_Value Copy 11 30 05 gas 12 09 05 AURORA at 12 14 05_Electric COS Inputs 3" xfId="5467" xr:uid="{00000000-0005-0000-0000-000054150000}"/>
    <cellStyle name="_Value Copy 11 30 05 gas 12 09 05 AURORA at 12 14 05_Electric COS Inputs 3 2" xfId="5468" xr:uid="{00000000-0005-0000-0000-000055150000}"/>
    <cellStyle name="_Value Copy 11 30 05 gas 12 09 05 AURORA at 12 14 05_Electric COS Inputs 4" xfId="5469" xr:uid="{00000000-0005-0000-0000-000056150000}"/>
    <cellStyle name="_Value Copy 11 30 05 gas 12 09 05 AURORA at 12 14 05_Electric COS Inputs 4 2" xfId="5470" xr:uid="{00000000-0005-0000-0000-000057150000}"/>
    <cellStyle name="_Value Copy 11 30 05 gas 12 09 05 AURORA at 12 14 05_Electric COS Inputs 5" xfId="5471" xr:uid="{00000000-0005-0000-0000-000058150000}"/>
    <cellStyle name="_Value Copy 11 30 05 gas 12 09 05 AURORA at 12 14 05_Electric COS Inputs 6" xfId="5472" xr:uid="{00000000-0005-0000-0000-000059150000}"/>
    <cellStyle name="_Value Copy 11 30 05 gas 12 09 05 AURORA at 12 14 05_Electric Rate Spread and Rate Design 3.23.09" xfId="5473" xr:uid="{00000000-0005-0000-0000-00005A150000}"/>
    <cellStyle name="_Value Copy 11 30 05 gas 12 09 05 AURORA at 12 14 05_Electric Rate Spread and Rate Design 3.23.09 2" xfId="5474" xr:uid="{00000000-0005-0000-0000-00005B150000}"/>
    <cellStyle name="_Value Copy 11 30 05 gas 12 09 05 AURORA at 12 14 05_Electric Rate Spread and Rate Design 3.23.09 2 2" xfId="5475" xr:uid="{00000000-0005-0000-0000-00005C150000}"/>
    <cellStyle name="_Value Copy 11 30 05 gas 12 09 05 AURORA at 12 14 05_Electric Rate Spread and Rate Design 3.23.09 2 2 2" xfId="5476" xr:uid="{00000000-0005-0000-0000-00005D150000}"/>
    <cellStyle name="_Value Copy 11 30 05 gas 12 09 05 AURORA at 12 14 05_Electric Rate Spread and Rate Design 3.23.09 2 3" xfId="5477" xr:uid="{00000000-0005-0000-0000-00005E150000}"/>
    <cellStyle name="_Value Copy 11 30 05 gas 12 09 05 AURORA at 12 14 05_Electric Rate Spread and Rate Design 3.23.09 2 3 2" xfId="5478" xr:uid="{00000000-0005-0000-0000-00005F150000}"/>
    <cellStyle name="_Value Copy 11 30 05 gas 12 09 05 AURORA at 12 14 05_Electric Rate Spread and Rate Design 3.23.09 2 4" xfId="5479" xr:uid="{00000000-0005-0000-0000-000060150000}"/>
    <cellStyle name="_Value Copy 11 30 05 gas 12 09 05 AURORA at 12 14 05_Electric Rate Spread and Rate Design 3.23.09 2 4 2" xfId="5480" xr:uid="{00000000-0005-0000-0000-000061150000}"/>
    <cellStyle name="_Value Copy 11 30 05 gas 12 09 05 AURORA at 12 14 05_Electric Rate Spread and Rate Design 3.23.09 3" xfId="5481" xr:uid="{00000000-0005-0000-0000-000062150000}"/>
    <cellStyle name="_Value Copy 11 30 05 gas 12 09 05 AURORA at 12 14 05_Electric Rate Spread and Rate Design 3.23.09 3 2" xfId="5482" xr:uid="{00000000-0005-0000-0000-000063150000}"/>
    <cellStyle name="_Value Copy 11 30 05 gas 12 09 05 AURORA at 12 14 05_Electric Rate Spread and Rate Design 3.23.09 4" xfId="5483" xr:uid="{00000000-0005-0000-0000-000064150000}"/>
    <cellStyle name="_Value Copy 11 30 05 gas 12 09 05 AURORA at 12 14 05_Electric Rate Spread and Rate Design 3.23.09 4 2" xfId="5484" xr:uid="{00000000-0005-0000-0000-000065150000}"/>
    <cellStyle name="_Value Copy 11 30 05 gas 12 09 05 AURORA at 12 14 05_Electric Rate Spread and Rate Design 3.23.09 5" xfId="5485" xr:uid="{00000000-0005-0000-0000-000066150000}"/>
    <cellStyle name="_Value Copy 11 30 05 gas 12 09 05 AURORA at 12 14 05_Electric Rate Spread and Rate Design 3.23.09 6" xfId="5486" xr:uid="{00000000-0005-0000-0000-000067150000}"/>
    <cellStyle name="_Value Copy 11 30 05 gas 12 09 05 AURORA at 12 14 05_Exhibit D fr R Gho 12-31-08" xfId="5487" xr:uid="{00000000-0005-0000-0000-000068150000}"/>
    <cellStyle name="_Value Copy 11 30 05 gas 12 09 05 AURORA at 12 14 05_Exhibit D fr R Gho 12-31-08 2" xfId="5488" xr:uid="{00000000-0005-0000-0000-000069150000}"/>
    <cellStyle name="_Value Copy 11 30 05 gas 12 09 05 AURORA at 12 14 05_Exhibit D fr R Gho 12-31-08 3" xfId="5489" xr:uid="{00000000-0005-0000-0000-00006A150000}"/>
    <cellStyle name="_Value Copy 11 30 05 gas 12 09 05 AURORA at 12 14 05_Exhibit D fr R Gho 12-31-08 v2" xfId="5490" xr:uid="{00000000-0005-0000-0000-00006B150000}"/>
    <cellStyle name="_Value Copy 11 30 05 gas 12 09 05 AURORA at 12 14 05_Exhibit D fr R Gho 12-31-08 v2 2" xfId="5491" xr:uid="{00000000-0005-0000-0000-00006C150000}"/>
    <cellStyle name="_Value Copy 11 30 05 gas 12 09 05 AURORA at 12 14 05_Exhibit D fr R Gho 12-31-08 v2 3" xfId="5492" xr:uid="{00000000-0005-0000-0000-00006D150000}"/>
    <cellStyle name="_Value Copy 11 30 05 gas 12 09 05 AURORA at 12 14 05_Exhibit D fr R Gho 12-31-08 v2_NIM Summary" xfId="5493" xr:uid="{00000000-0005-0000-0000-00006E150000}"/>
    <cellStyle name="_Value Copy 11 30 05 gas 12 09 05 AURORA at 12 14 05_Exhibit D fr R Gho 12-31-08 v2_NIM Summary 2" xfId="5494" xr:uid="{00000000-0005-0000-0000-00006F150000}"/>
    <cellStyle name="_Value Copy 11 30 05 gas 12 09 05 AURORA at 12 14 05_Exhibit D fr R Gho 12-31-08_NIM Summary" xfId="5495" xr:uid="{00000000-0005-0000-0000-000070150000}"/>
    <cellStyle name="_Value Copy 11 30 05 gas 12 09 05 AURORA at 12 14 05_Exhibit D fr R Gho 12-31-08_NIM Summary 2" xfId="5496" xr:uid="{00000000-0005-0000-0000-000071150000}"/>
    <cellStyle name="_Value Copy 11 30 05 gas 12 09 05 AURORA at 12 14 05_Gas Rev Req Model (2010 GRC)" xfId="5497" xr:uid="{00000000-0005-0000-0000-000072150000}"/>
    <cellStyle name="_Value Copy 11 30 05 gas 12 09 05 AURORA at 12 14 05_Hopkins Ridge Prepaid Tran - Interest Earned RY 12ME Feb  '11" xfId="5498" xr:uid="{00000000-0005-0000-0000-000073150000}"/>
    <cellStyle name="_Value Copy 11 30 05 gas 12 09 05 AURORA at 12 14 05_Hopkins Ridge Prepaid Tran - Interest Earned RY 12ME Feb  '11 2" xfId="5499" xr:uid="{00000000-0005-0000-0000-000074150000}"/>
    <cellStyle name="_Value Copy 11 30 05 gas 12 09 05 AURORA at 12 14 05_Hopkins Ridge Prepaid Tran - Interest Earned RY 12ME Feb  '11_NIM Summary" xfId="5500" xr:uid="{00000000-0005-0000-0000-000075150000}"/>
    <cellStyle name="_Value Copy 11 30 05 gas 12 09 05 AURORA at 12 14 05_Hopkins Ridge Prepaid Tran - Interest Earned RY 12ME Feb  '11_NIM Summary 2" xfId="5501" xr:uid="{00000000-0005-0000-0000-000076150000}"/>
    <cellStyle name="_Value Copy 11 30 05 gas 12 09 05 AURORA at 12 14 05_Hopkins Ridge Prepaid Tran - Interest Earned RY 12ME Feb  '11_Transmission Workbook for May BOD" xfId="5502" xr:uid="{00000000-0005-0000-0000-000077150000}"/>
    <cellStyle name="_Value Copy 11 30 05 gas 12 09 05 AURORA at 12 14 05_Hopkins Ridge Prepaid Tran - Interest Earned RY 12ME Feb  '11_Transmission Workbook for May BOD 2" xfId="5503" xr:uid="{00000000-0005-0000-0000-000078150000}"/>
    <cellStyle name="_Value Copy 11 30 05 gas 12 09 05 AURORA at 12 14 05_INPUTS" xfId="5504" xr:uid="{00000000-0005-0000-0000-000079150000}"/>
    <cellStyle name="_Value Copy 11 30 05 gas 12 09 05 AURORA at 12 14 05_INPUTS 2" xfId="5505" xr:uid="{00000000-0005-0000-0000-00007A150000}"/>
    <cellStyle name="_Value Copy 11 30 05 gas 12 09 05 AURORA at 12 14 05_INPUTS 2 2" xfId="5506" xr:uid="{00000000-0005-0000-0000-00007B150000}"/>
    <cellStyle name="_Value Copy 11 30 05 gas 12 09 05 AURORA at 12 14 05_INPUTS 2 2 2" xfId="5507" xr:uid="{00000000-0005-0000-0000-00007C150000}"/>
    <cellStyle name="_Value Copy 11 30 05 gas 12 09 05 AURORA at 12 14 05_INPUTS 2 3" xfId="5508" xr:uid="{00000000-0005-0000-0000-00007D150000}"/>
    <cellStyle name="_Value Copy 11 30 05 gas 12 09 05 AURORA at 12 14 05_INPUTS 2 3 2" xfId="5509" xr:uid="{00000000-0005-0000-0000-00007E150000}"/>
    <cellStyle name="_Value Copy 11 30 05 gas 12 09 05 AURORA at 12 14 05_INPUTS 2 4" xfId="5510" xr:uid="{00000000-0005-0000-0000-00007F150000}"/>
    <cellStyle name="_Value Copy 11 30 05 gas 12 09 05 AURORA at 12 14 05_INPUTS 2 4 2" xfId="5511" xr:uid="{00000000-0005-0000-0000-000080150000}"/>
    <cellStyle name="_Value Copy 11 30 05 gas 12 09 05 AURORA at 12 14 05_INPUTS 3" xfId="5512" xr:uid="{00000000-0005-0000-0000-000081150000}"/>
    <cellStyle name="_Value Copy 11 30 05 gas 12 09 05 AURORA at 12 14 05_INPUTS 3 2" xfId="5513" xr:uid="{00000000-0005-0000-0000-000082150000}"/>
    <cellStyle name="_Value Copy 11 30 05 gas 12 09 05 AURORA at 12 14 05_INPUTS 4" xfId="5514" xr:uid="{00000000-0005-0000-0000-000083150000}"/>
    <cellStyle name="_Value Copy 11 30 05 gas 12 09 05 AURORA at 12 14 05_INPUTS 4 2" xfId="5515" xr:uid="{00000000-0005-0000-0000-000084150000}"/>
    <cellStyle name="_Value Copy 11 30 05 gas 12 09 05 AURORA at 12 14 05_INPUTS 5" xfId="5516" xr:uid="{00000000-0005-0000-0000-000085150000}"/>
    <cellStyle name="_Value Copy 11 30 05 gas 12 09 05 AURORA at 12 14 05_INPUTS 6" xfId="5517" xr:uid="{00000000-0005-0000-0000-000086150000}"/>
    <cellStyle name="_Value Copy 11 30 05 gas 12 09 05 AURORA at 12 14 05_Leased Transformer &amp; Substation Plant &amp; Rev 12-2009" xfId="5518" xr:uid="{00000000-0005-0000-0000-000087150000}"/>
    <cellStyle name="_Value Copy 11 30 05 gas 12 09 05 AURORA at 12 14 05_Leased Transformer &amp; Substation Plant &amp; Rev 12-2009 2" xfId="5519" xr:uid="{00000000-0005-0000-0000-000088150000}"/>
    <cellStyle name="_Value Copy 11 30 05 gas 12 09 05 AURORA at 12 14 05_Leased Transformer &amp; Substation Plant &amp; Rev 12-2009 2 2" xfId="5520" xr:uid="{00000000-0005-0000-0000-000089150000}"/>
    <cellStyle name="_Value Copy 11 30 05 gas 12 09 05 AURORA at 12 14 05_Leased Transformer &amp; Substation Plant &amp; Rev 12-2009 2 2 2" xfId="5521" xr:uid="{00000000-0005-0000-0000-00008A150000}"/>
    <cellStyle name="_Value Copy 11 30 05 gas 12 09 05 AURORA at 12 14 05_Leased Transformer &amp; Substation Plant &amp; Rev 12-2009 2 3" xfId="5522" xr:uid="{00000000-0005-0000-0000-00008B150000}"/>
    <cellStyle name="_Value Copy 11 30 05 gas 12 09 05 AURORA at 12 14 05_Leased Transformer &amp; Substation Plant &amp; Rev 12-2009 2 3 2" xfId="5523" xr:uid="{00000000-0005-0000-0000-00008C150000}"/>
    <cellStyle name="_Value Copy 11 30 05 gas 12 09 05 AURORA at 12 14 05_Leased Transformer &amp; Substation Plant &amp; Rev 12-2009 2 4" xfId="5524" xr:uid="{00000000-0005-0000-0000-00008D150000}"/>
    <cellStyle name="_Value Copy 11 30 05 gas 12 09 05 AURORA at 12 14 05_Leased Transformer &amp; Substation Plant &amp; Rev 12-2009 2 4 2" xfId="5525" xr:uid="{00000000-0005-0000-0000-00008E150000}"/>
    <cellStyle name="_Value Copy 11 30 05 gas 12 09 05 AURORA at 12 14 05_Leased Transformer &amp; Substation Plant &amp; Rev 12-2009 3" xfId="5526" xr:uid="{00000000-0005-0000-0000-00008F150000}"/>
    <cellStyle name="_Value Copy 11 30 05 gas 12 09 05 AURORA at 12 14 05_Leased Transformer &amp; Substation Plant &amp; Rev 12-2009 3 2" xfId="5527" xr:uid="{00000000-0005-0000-0000-000090150000}"/>
    <cellStyle name="_Value Copy 11 30 05 gas 12 09 05 AURORA at 12 14 05_Leased Transformer &amp; Substation Plant &amp; Rev 12-2009 4" xfId="5528" xr:uid="{00000000-0005-0000-0000-000091150000}"/>
    <cellStyle name="_Value Copy 11 30 05 gas 12 09 05 AURORA at 12 14 05_Leased Transformer &amp; Substation Plant &amp; Rev 12-2009 4 2" xfId="5529" xr:uid="{00000000-0005-0000-0000-000092150000}"/>
    <cellStyle name="_Value Copy 11 30 05 gas 12 09 05 AURORA at 12 14 05_Leased Transformer &amp; Substation Plant &amp; Rev 12-2009 5" xfId="5530" xr:uid="{00000000-0005-0000-0000-000093150000}"/>
    <cellStyle name="_Value Copy 11 30 05 gas 12 09 05 AURORA at 12 14 05_Leased Transformer &amp; Substation Plant &amp; Rev 12-2009 6" xfId="5531" xr:uid="{00000000-0005-0000-0000-000094150000}"/>
    <cellStyle name="_Value Copy 11 30 05 gas 12 09 05 AURORA at 12 14 05_NIM Summary" xfId="5532" xr:uid="{00000000-0005-0000-0000-000095150000}"/>
    <cellStyle name="_Value Copy 11 30 05 gas 12 09 05 AURORA at 12 14 05_NIM Summary 09GRC" xfId="5533" xr:uid="{00000000-0005-0000-0000-000096150000}"/>
    <cellStyle name="_Value Copy 11 30 05 gas 12 09 05 AURORA at 12 14 05_NIM Summary 09GRC 2" xfId="5534" xr:uid="{00000000-0005-0000-0000-000097150000}"/>
    <cellStyle name="_Value Copy 11 30 05 gas 12 09 05 AURORA at 12 14 05_NIM Summary 2" xfId="5535" xr:uid="{00000000-0005-0000-0000-000098150000}"/>
    <cellStyle name="_Value Copy 11 30 05 gas 12 09 05 AURORA at 12 14 05_NIM Summary 3" xfId="5536" xr:uid="{00000000-0005-0000-0000-000099150000}"/>
    <cellStyle name="_Value Copy 11 30 05 gas 12 09 05 AURORA at 12 14 05_NIM Summary 4" xfId="5537" xr:uid="{00000000-0005-0000-0000-00009A150000}"/>
    <cellStyle name="_Value Copy 11 30 05 gas 12 09 05 AURORA at 12 14 05_NIM Summary 5" xfId="5538" xr:uid="{00000000-0005-0000-0000-00009B150000}"/>
    <cellStyle name="_Value Copy 11 30 05 gas 12 09 05 AURORA at 12 14 05_NIM Summary 6" xfId="5539" xr:uid="{00000000-0005-0000-0000-00009C150000}"/>
    <cellStyle name="_Value Copy 11 30 05 gas 12 09 05 AURORA at 12 14 05_NIM Summary 7" xfId="5540" xr:uid="{00000000-0005-0000-0000-00009D150000}"/>
    <cellStyle name="_Value Copy 11 30 05 gas 12 09 05 AURORA at 12 14 05_NIM Summary 8" xfId="5541" xr:uid="{00000000-0005-0000-0000-00009E150000}"/>
    <cellStyle name="_Value Copy 11 30 05 gas 12 09 05 AURORA at 12 14 05_NIM Summary 9" xfId="5542" xr:uid="{00000000-0005-0000-0000-00009F150000}"/>
    <cellStyle name="_Value Copy 11 30 05 gas 12 09 05 AURORA at 12 14 05_PCA 10 -  Exhibit D from A Kellogg Jan 2011" xfId="5543" xr:uid="{00000000-0005-0000-0000-0000A0150000}"/>
    <cellStyle name="_Value Copy 11 30 05 gas 12 09 05 AURORA at 12 14 05_PCA 10 -  Exhibit D from A Kellogg July 2011" xfId="5544" xr:uid="{00000000-0005-0000-0000-0000A1150000}"/>
    <cellStyle name="_Value Copy 11 30 05 gas 12 09 05 AURORA at 12 14 05_PCA 10 -  Exhibit D from S Free Rcv'd 12-11" xfId="5545" xr:uid="{00000000-0005-0000-0000-0000A2150000}"/>
    <cellStyle name="_Value Copy 11 30 05 gas 12 09 05 AURORA at 12 14 05_PCA 7 - Exhibit D update 11_30_08 (2)" xfId="5546" xr:uid="{00000000-0005-0000-0000-0000A3150000}"/>
    <cellStyle name="_Value Copy 11 30 05 gas 12 09 05 AURORA at 12 14 05_PCA 7 - Exhibit D update 11_30_08 (2) 2" xfId="5547" xr:uid="{00000000-0005-0000-0000-0000A4150000}"/>
    <cellStyle name="_Value Copy 11 30 05 gas 12 09 05 AURORA at 12 14 05_PCA 7 - Exhibit D update 11_30_08 (2) 2 2" xfId="5548" xr:uid="{00000000-0005-0000-0000-0000A5150000}"/>
    <cellStyle name="_Value Copy 11 30 05 gas 12 09 05 AURORA at 12 14 05_PCA 7 - Exhibit D update 11_30_08 (2) 3" xfId="5549" xr:uid="{00000000-0005-0000-0000-0000A6150000}"/>
    <cellStyle name="_Value Copy 11 30 05 gas 12 09 05 AURORA at 12 14 05_PCA 7 - Exhibit D update 11_30_08 (2) 4" xfId="5550" xr:uid="{00000000-0005-0000-0000-0000A7150000}"/>
    <cellStyle name="_Value Copy 11 30 05 gas 12 09 05 AURORA at 12 14 05_PCA 7 - Exhibit D update 11_30_08 (2)_NIM Summary" xfId="5551" xr:uid="{00000000-0005-0000-0000-0000A8150000}"/>
    <cellStyle name="_Value Copy 11 30 05 gas 12 09 05 AURORA at 12 14 05_PCA 7 - Exhibit D update 11_30_08 (2)_NIM Summary 2" xfId="5552" xr:uid="{00000000-0005-0000-0000-0000A9150000}"/>
    <cellStyle name="_Value Copy 11 30 05 gas 12 09 05 AURORA at 12 14 05_PCA 8 - Exhibit D update 12_31_09" xfId="5553" xr:uid="{00000000-0005-0000-0000-0000AA150000}"/>
    <cellStyle name="_Value Copy 11 30 05 gas 12 09 05 AURORA at 12 14 05_PCA 8 - Exhibit D update 12_31_09 2" xfId="5554" xr:uid="{00000000-0005-0000-0000-0000AB150000}"/>
    <cellStyle name="_Value Copy 11 30 05 gas 12 09 05 AURORA at 12 14 05_PCA 9 -  Exhibit D April 2010" xfId="5555" xr:uid="{00000000-0005-0000-0000-0000AC150000}"/>
    <cellStyle name="_Value Copy 11 30 05 gas 12 09 05 AURORA at 12 14 05_PCA 9 -  Exhibit D April 2010 (3)" xfId="5556" xr:uid="{00000000-0005-0000-0000-0000AD150000}"/>
    <cellStyle name="_Value Copy 11 30 05 gas 12 09 05 AURORA at 12 14 05_PCA 9 -  Exhibit D April 2010 (3) 2" xfId="5557" xr:uid="{00000000-0005-0000-0000-0000AE150000}"/>
    <cellStyle name="_Value Copy 11 30 05 gas 12 09 05 AURORA at 12 14 05_PCA 9 -  Exhibit D April 2010 2" xfId="5558" xr:uid="{00000000-0005-0000-0000-0000AF150000}"/>
    <cellStyle name="_Value Copy 11 30 05 gas 12 09 05 AURORA at 12 14 05_PCA 9 -  Exhibit D April 2010 3" xfId="5559" xr:uid="{00000000-0005-0000-0000-0000B0150000}"/>
    <cellStyle name="_Value Copy 11 30 05 gas 12 09 05 AURORA at 12 14 05_PCA 9 -  Exhibit D Feb 2010" xfId="5560" xr:uid="{00000000-0005-0000-0000-0000B1150000}"/>
    <cellStyle name="_Value Copy 11 30 05 gas 12 09 05 AURORA at 12 14 05_PCA 9 -  Exhibit D Feb 2010 2" xfId="5561" xr:uid="{00000000-0005-0000-0000-0000B2150000}"/>
    <cellStyle name="_Value Copy 11 30 05 gas 12 09 05 AURORA at 12 14 05_PCA 9 -  Exhibit D Feb 2010 v2" xfId="5562" xr:uid="{00000000-0005-0000-0000-0000B3150000}"/>
    <cellStyle name="_Value Copy 11 30 05 gas 12 09 05 AURORA at 12 14 05_PCA 9 -  Exhibit D Feb 2010 v2 2" xfId="5563" xr:uid="{00000000-0005-0000-0000-0000B4150000}"/>
    <cellStyle name="_Value Copy 11 30 05 gas 12 09 05 AURORA at 12 14 05_PCA 9 -  Exhibit D Feb 2010 WF" xfId="5564" xr:uid="{00000000-0005-0000-0000-0000B5150000}"/>
    <cellStyle name="_Value Copy 11 30 05 gas 12 09 05 AURORA at 12 14 05_PCA 9 -  Exhibit D Feb 2010 WF 2" xfId="5565" xr:uid="{00000000-0005-0000-0000-0000B6150000}"/>
    <cellStyle name="_Value Copy 11 30 05 gas 12 09 05 AURORA at 12 14 05_PCA 9 -  Exhibit D Jan 2010" xfId="5566" xr:uid="{00000000-0005-0000-0000-0000B7150000}"/>
    <cellStyle name="_Value Copy 11 30 05 gas 12 09 05 AURORA at 12 14 05_PCA 9 -  Exhibit D Jan 2010 2" xfId="5567" xr:uid="{00000000-0005-0000-0000-0000B8150000}"/>
    <cellStyle name="_Value Copy 11 30 05 gas 12 09 05 AURORA at 12 14 05_PCA 9 -  Exhibit D March 2010 (2)" xfId="5568" xr:uid="{00000000-0005-0000-0000-0000B9150000}"/>
    <cellStyle name="_Value Copy 11 30 05 gas 12 09 05 AURORA at 12 14 05_PCA 9 -  Exhibit D March 2010 (2) 2" xfId="5569" xr:uid="{00000000-0005-0000-0000-0000BA150000}"/>
    <cellStyle name="_Value Copy 11 30 05 gas 12 09 05 AURORA at 12 14 05_PCA 9 -  Exhibit D Nov 2010" xfId="5570" xr:uid="{00000000-0005-0000-0000-0000BB150000}"/>
    <cellStyle name="_Value Copy 11 30 05 gas 12 09 05 AURORA at 12 14 05_PCA 9 -  Exhibit D Nov 2010 2" xfId="5571" xr:uid="{00000000-0005-0000-0000-0000BC150000}"/>
    <cellStyle name="_Value Copy 11 30 05 gas 12 09 05 AURORA at 12 14 05_PCA 9 - Exhibit D at August 2010" xfId="5572" xr:uid="{00000000-0005-0000-0000-0000BD150000}"/>
    <cellStyle name="_Value Copy 11 30 05 gas 12 09 05 AURORA at 12 14 05_PCA 9 - Exhibit D at August 2010 2" xfId="5573" xr:uid="{00000000-0005-0000-0000-0000BE150000}"/>
    <cellStyle name="_Value Copy 11 30 05 gas 12 09 05 AURORA at 12 14 05_PCA 9 - Exhibit D June 2010 GRC" xfId="5574" xr:uid="{00000000-0005-0000-0000-0000BF150000}"/>
    <cellStyle name="_Value Copy 11 30 05 gas 12 09 05 AURORA at 12 14 05_PCA 9 - Exhibit D June 2010 GRC 2" xfId="5575" xr:uid="{00000000-0005-0000-0000-0000C0150000}"/>
    <cellStyle name="_Value Copy 11 30 05 gas 12 09 05 AURORA at 12 14 05_Power Costs - Comparison bx Rbtl-Staff-Jt-PC" xfId="5576" xr:uid="{00000000-0005-0000-0000-0000C1150000}"/>
    <cellStyle name="_Value Copy 11 30 05 gas 12 09 05 AURORA at 12 14 05_Power Costs - Comparison bx Rbtl-Staff-Jt-PC 2" xfId="5577" xr:uid="{00000000-0005-0000-0000-0000C2150000}"/>
    <cellStyle name="_Value Copy 11 30 05 gas 12 09 05 AURORA at 12 14 05_Power Costs - Comparison bx Rbtl-Staff-Jt-PC 2 2" xfId="5578" xr:uid="{00000000-0005-0000-0000-0000C3150000}"/>
    <cellStyle name="_Value Copy 11 30 05 gas 12 09 05 AURORA at 12 14 05_Power Costs - Comparison bx Rbtl-Staff-Jt-PC 3" xfId="5579" xr:uid="{00000000-0005-0000-0000-0000C4150000}"/>
    <cellStyle name="_Value Copy 11 30 05 gas 12 09 05 AURORA at 12 14 05_Power Costs - Comparison bx Rbtl-Staff-Jt-PC 4" xfId="5580" xr:uid="{00000000-0005-0000-0000-0000C5150000}"/>
    <cellStyle name="_Value Copy 11 30 05 gas 12 09 05 AURORA at 12 14 05_Power Costs - Comparison bx Rbtl-Staff-Jt-PC_Adj Bench DR 3 for Initial Briefs (Electric)" xfId="5581" xr:uid="{00000000-0005-0000-0000-0000C6150000}"/>
    <cellStyle name="_Value Copy 11 30 05 gas 12 09 05 AURORA at 12 14 05_Power Costs - Comparison bx Rbtl-Staff-Jt-PC_Adj Bench DR 3 for Initial Briefs (Electric) 2" xfId="5582" xr:uid="{00000000-0005-0000-0000-0000C7150000}"/>
    <cellStyle name="_Value Copy 11 30 05 gas 12 09 05 AURORA at 12 14 05_Power Costs - Comparison bx Rbtl-Staff-Jt-PC_Adj Bench DR 3 for Initial Briefs (Electric) 2 2" xfId="5583" xr:uid="{00000000-0005-0000-0000-0000C8150000}"/>
    <cellStyle name="_Value Copy 11 30 05 gas 12 09 05 AURORA at 12 14 05_Power Costs - Comparison bx Rbtl-Staff-Jt-PC_Adj Bench DR 3 for Initial Briefs (Electric) 3" xfId="5584" xr:uid="{00000000-0005-0000-0000-0000C9150000}"/>
    <cellStyle name="_Value Copy 11 30 05 gas 12 09 05 AURORA at 12 14 05_Power Costs - Comparison bx Rbtl-Staff-Jt-PC_Adj Bench DR 3 for Initial Briefs (Electric) 4" xfId="5585" xr:uid="{00000000-0005-0000-0000-0000CA150000}"/>
    <cellStyle name="_Value Copy 11 30 05 gas 12 09 05 AURORA at 12 14 05_Power Costs - Comparison bx Rbtl-Staff-Jt-PC_Electric Rev Req Model (2009 GRC) Rebuttal" xfId="5586" xr:uid="{00000000-0005-0000-0000-0000CB150000}"/>
    <cellStyle name="_Value Copy 11 30 05 gas 12 09 05 AURORA at 12 14 05_Power Costs - Comparison bx Rbtl-Staff-Jt-PC_Electric Rev Req Model (2009 GRC) Rebuttal 2" xfId="5587" xr:uid="{00000000-0005-0000-0000-0000CC150000}"/>
    <cellStyle name="_Value Copy 11 30 05 gas 12 09 05 AURORA at 12 14 05_Power Costs - Comparison bx Rbtl-Staff-Jt-PC_Electric Rev Req Model (2009 GRC) Rebuttal 2 2" xfId="5588" xr:uid="{00000000-0005-0000-0000-0000CD150000}"/>
    <cellStyle name="_Value Copy 11 30 05 gas 12 09 05 AURORA at 12 14 05_Power Costs - Comparison bx Rbtl-Staff-Jt-PC_Electric Rev Req Model (2009 GRC) Rebuttal 3" xfId="5589" xr:uid="{00000000-0005-0000-0000-0000CE150000}"/>
    <cellStyle name="_Value Copy 11 30 05 gas 12 09 05 AURORA at 12 14 05_Power Costs - Comparison bx Rbtl-Staff-Jt-PC_Electric Rev Req Model (2009 GRC) Rebuttal 4" xfId="5590" xr:uid="{00000000-0005-0000-0000-0000CF150000}"/>
    <cellStyle name="_Value Copy 11 30 05 gas 12 09 05 AURORA at 12 14 05_Power Costs - Comparison bx Rbtl-Staff-Jt-PC_Electric Rev Req Model (2009 GRC) Rebuttal REmoval of New  WH Solar AdjustMI" xfId="5591" xr:uid="{00000000-0005-0000-0000-0000D0150000}"/>
    <cellStyle name="_Value Copy 11 30 05 gas 12 09 05 AURORA at 12 14 05_Power Costs - Comparison bx Rbtl-Staff-Jt-PC_Electric Rev Req Model (2009 GRC) Rebuttal REmoval of New  WH Solar AdjustMI 2" xfId="5592" xr:uid="{00000000-0005-0000-0000-0000D1150000}"/>
    <cellStyle name="_Value Copy 11 30 05 gas 12 09 05 AURORA at 12 14 05_Power Costs - Comparison bx Rbtl-Staff-Jt-PC_Electric Rev Req Model (2009 GRC) Rebuttal REmoval of New  WH Solar AdjustMI 2 2" xfId="5593" xr:uid="{00000000-0005-0000-0000-0000D2150000}"/>
    <cellStyle name="_Value Copy 11 30 05 gas 12 09 05 AURORA at 12 14 05_Power Costs - Comparison bx Rbtl-Staff-Jt-PC_Electric Rev Req Model (2009 GRC) Rebuttal REmoval of New  WH Solar AdjustMI 3" xfId="5594" xr:uid="{00000000-0005-0000-0000-0000D3150000}"/>
    <cellStyle name="_Value Copy 11 30 05 gas 12 09 05 AURORA at 12 14 05_Power Costs - Comparison bx Rbtl-Staff-Jt-PC_Electric Rev Req Model (2009 GRC) Rebuttal REmoval of New  WH Solar AdjustMI 4" xfId="5595" xr:uid="{00000000-0005-0000-0000-0000D4150000}"/>
    <cellStyle name="_Value Copy 11 30 05 gas 12 09 05 AURORA at 12 14 05_Power Costs - Comparison bx Rbtl-Staff-Jt-PC_Electric Rev Req Model (2009 GRC) Revised 01-18-2010" xfId="5596" xr:uid="{00000000-0005-0000-0000-0000D5150000}"/>
    <cellStyle name="_Value Copy 11 30 05 gas 12 09 05 AURORA at 12 14 05_Power Costs - Comparison bx Rbtl-Staff-Jt-PC_Electric Rev Req Model (2009 GRC) Revised 01-18-2010 2" xfId="5597" xr:uid="{00000000-0005-0000-0000-0000D6150000}"/>
    <cellStyle name="_Value Copy 11 30 05 gas 12 09 05 AURORA at 12 14 05_Power Costs - Comparison bx Rbtl-Staff-Jt-PC_Electric Rev Req Model (2009 GRC) Revised 01-18-2010 2 2" xfId="5598" xr:uid="{00000000-0005-0000-0000-0000D7150000}"/>
    <cellStyle name="_Value Copy 11 30 05 gas 12 09 05 AURORA at 12 14 05_Power Costs - Comparison bx Rbtl-Staff-Jt-PC_Electric Rev Req Model (2009 GRC) Revised 01-18-2010 3" xfId="5599" xr:uid="{00000000-0005-0000-0000-0000D8150000}"/>
    <cellStyle name="_Value Copy 11 30 05 gas 12 09 05 AURORA at 12 14 05_Power Costs - Comparison bx Rbtl-Staff-Jt-PC_Electric Rev Req Model (2009 GRC) Revised 01-18-2010 4" xfId="5600" xr:uid="{00000000-0005-0000-0000-0000D9150000}"/>
    <cellStyle name="_Value Copy 11 30 05 gas 12 09 05 AURORA at 12 14 05_Power Costs - Comparison bx Rbtl-Staff-Jt-PC_Final Order Electric EXHIBIT A-1" xfId="5601" xr:uid="{00000000-0005-0000-0000-0000DA150000}"/>
    <cellStyle name="_Value Copy 11 30 05 gas 12 09 05 AURORA at 12 14 05_Power Costs - Comparison bx Rbtl-Staff-Jt-PC_Final Order Electric EXHIBIT A-1 2" xfId="5602" xr:uid="{00000000-0005-0000-0000-0000DB150000}"/>
    <cellStyle name="_Value Copy 11 30 05 gas 12 09 05 AURORA at 12 14 05_Power Costs - Comparison bx Rbtl-Staff-Jt-PC_Final Order Electric EXHIBIT A-1 2 2" xfId="5603" xr:uid="{00000000-0005-0000-0000-0000DC150000}"/>
    <cellStyle name="_Value Copy 11 30 05 gas 12 09 05 AURORA at 12 14 05_Power Costs - Comparison bx Rbtl-Staff-Jt-PC_Final Order Electric EXHIBIT A-1 3" xfId="5604" xr:uid="{00000000-0005-0000-0000-0000DD150000}"/>
    <cellStyle name="_Value Copy 11 30 05 gas 12 09 05 AURORA at 12 14 05_Power Costs - Comparison bx Rbtl-Staff-Jt-PC_Final Order Electric EXHIBIT A-1 4" xfId="5605" xr:uid="{00000000-0005-0000-0000-0000DE150000}"/>
    <cellStyle name="_Value Copy 11 30 05 gas 12 09 05 AURORA at 12 14 05_Production Adj 4.37" xfId="5606" xr:uid="{00000000-0005-0000-0000-0000DF150000}"/>
    <cellStyle name="_Value Copy 11 30 05 gas 12 09 05 AURORA at 12 14 05_Production Adj 4.37 2" xfId="5607" xr:uid="{00000000-0005-0000-0000-0000E0150000}"/>
    <cellStyle name="_Value Copy 11 30 05 gas 12 09 05 AURORA at 12 14 05_Production Adj 4.37 2 2" xfId="5608" xr:uid="{00000000-0005-0000-0000-0000E1150000}"/>
    <cellStyle name="_Value Copy 11 30 05 gas 12 09 05 AURORA at 12 14 05_Production Adj 4.37 3" xfId="5609" xr:uid="{00000000-0005-0000-0000-0000E2150000}"/>
    <cellStyle name="_Value Copy 11 30 05 gas 12 09 05 AURORA at 12 14 05_Purchased Power Adj 4.03" xfId="5610" xr:uid="{00000000-0005-0000-0000-0000E3150000}"/>
    <cellStyle name="_Value Copy 11 30 05 gas 12 09 05 AURORA at 12 14 05_Purchased Power Adj 4.03 2" xfId="5611" xr:uid="{00000000-0005-0000-0000-0000E4150000}"/>
    <cellStyle name="_Value Copy 11 30 05 gas 12 09 05 AURORA at 12 14 05_Purchased Power Adj 4.03 2 2" xfId="5612" xr:uid="{00000000-0005-0000-0000-0000E5150000}"/>
    <cellStyle name="_Value Copy 11 30 05 gas 12 09 05 AURORA at 12 14 05_Purchased Power Adj 4.03 3" xfId="5613" xr:uid="{00000000-0005-0000-0000-0000E6150000}"/>
    <cellStyle name="_Value Copy 11 30 05 gas 12 09 05 AURORA at 12 14 05_Rate Design Sch 24" xfId="5614" xr:uid="{00000000-0005-0000-0000-0000E7150000}"/>
    <cellStyle name="_Value Copy 11 30 05 gas 12 09 05 AURORA at 12 14 05_Rate Design Sch 24 2" xfId="5615" xr:uid="{00000000-0005-0000-0000-0000E8150000}"/>
    <cellStyle name="_Value Copy 11 30 05 gas 12 09 05 AURORA at 12 14 05_Rate Design Sch 25" xfId="5616" xr:uid="{00000000-0005-0000-0000-0000E9150000}"/>
    <cellStyle name="_Value Copy 11 30 05 gas 12 09 05 AURORA at 12 14 05_Rate Design Sch 25 2" xfId="5617" xr:uid="{00000000-0005-0000-0000-0000EA150000}"/>
    <cellStyle name="_Value Copy 11 30 05 gas 12 09 05 AURORA at 12 14 05_Rate Design Sch 25 2 2" xfId="5618" xr:uid="{00000000-0005-0000-0000-0000EB150000}"/>
    <cellStyle name="_Value Copy 11 30 05 gas 12 09 05 AURORA at 12 14 05_Rate Design Sch 25 3" xfId="5619" xr:uid="{00000000-0005-0000-0000-0000EC150000}"/>
    <cellStyle name="_Value Copy 11 30 05 gas 12 09 05 AURORA at 12 14 05_Rate Design Sch 26" xfId="5620" xr:uid="{00000000-0005-0000-0000-0000ED150000}"/>
    <cellStyle name="_Value Copy 11 30 05 gas 12 09 05 AURORA at 12 14 05_Rate Design Sch 26 2" xfId="5621" xr:uid="{00000000-0005-0000-0000-0000EE150000}"/>
    <cellStyle name="_Value Copy 11 30 05 gas 12 09 05 AURORA at 12 14 05_Rate Design Sch 26 2 2" xfId="5622" xr:uid="{00000000-0005-0000-0000-0000EF150000}"/>
    <cellStyle name="_Value Copy 11 30 05 gas 12 09 05 AURORA at 12 14 05_Rate Design Sch 26 3" xfId="5623" xr:uid="{00000000-0005-0000-0000-0000F0150000}"/>
    <cellStyle name="_Value Copy 11 30 05 gas 12 09 05 AURORA at 12 14 05_Rate Design Sch 31" xfId="5624" xr:uid="{00000000-0005-0000-0000-0000F1150000}"/>
    <cellStyle name="_Value Copy 11 30 05 gas 12 09 05 AURORA at 12 14 05_Rate Design Sch 31 2" xfId="5625" xr:uid="{00000000-0005-0000-0000-0000F2150000}"/>
    <cellStyle name="_Value Copy 11 30 05 gas 12 09 05 AURORA at 12 14 05_Rate Design Sch 31 2 2" xfId="5626" xr:uid="{00000000-0005-0000-0000-0000F3150000}"/>
    <cellStyle name="_Value Copy 11 30 05 gas 12 09 05 AURORA at 12 14 05_Rate Design Sch 31 3" xfId="5627" xr:uid="{00000000-0005-0000-0000-0000F4150000}"/>
    <cellStyle name="_Value Copy 11 30 05 gas 12 09 05 AURORA at 12 14 05_Rate Design Sch 43" xfId="5628" xr:uid="{00000000-0005-0000-0000-0000F5150000}"/>
    <cellStyle name="_Value Copy 11 30 05 gas 12 09 05 AURORA at 12 14 05_Rate Design Sch 43 2" xfId="5629" xr:uid="{00000000-0005-0000-0000-0000F6150000}"/>
    <cellStyle name="_Value Copy 11 30 05 gas 12 09 05 AURORA at 12 14 05_Rate Design Sch 43 2 2" xfId="5630" xr:uid="{00000000-0005-0000-0000-0000F7150000}"/>
    <cellStyle name="_Value Copy 11 30 05 gas 12 09 05 AURORA at 12 14 05_Rate Design Sch 43 3" xfId="5631" xr:uid="{00000000-0005-0000-0000-0000F8150000}"/>
    <cellStyle name="_Value Copy 11 30 05 gas 12 09 05 AURORA at 12 14 05_Rate Design Sch 448-449" xfId="5632" xr:uid="{00000000-0005-0000-0000-0000F9150000}"/>
    <cellStyle name="_Value Copy 11 30 05 gas 12 09 05 AURORA at 12 14 05_Rate Design Sch 448-449 2" xfId="5633" xr:uid="{00000000-0005-0000-0000-0000FA150000}"/>
    <cellStyle name="_Value Copy 11 30 05 gas 12 09 05 AURORA at 12 14 05_Rate Design Sch 46" xfId="5634" xr:uid="{00000000-0005-0000-0000-0000FB150000}"/>
    <cellStyle name="_Value Copy 11 30 05 gas 12 09 05 AURORA at 12 14 05_Rate Design Sch 46 2" xfId="5635" xr:uid="{00000000-0005-0000-0000-0000FC150000}"/>
    <cellStyle name="_Value Copy 11 30 05 gas 12 09 05 AURORA at 12 14 05_Rate Design Sch 46 2 2" xfId="5636" xr:uid="{00000000-0005-0000-0000-0000FD150000}"/>
    <cellStyle name="_Value Copy 11 30 05 gas 12 09 05 AURORA at 12 14 05_Rate Design Sch 46 3" xfId="5637" xr:uid="{00000000-0005-0000-0000-0000FE150000}"/>
    <cellStyle name="_Value Copy 11 30 05 gas 12 09 05 AURORA at 12 14 05_Rate Spread" xfId="5638" xr:uid="{00000000-0005-0000-0000-0000FF150000}"/>
    <cellStyle name="_Value Copy 11 30 05 gas 12 09 05 AURORA at 12 14 05_Rate Spread 2" xfId="5639" xr:uid="{00000000-0005-0000-0000-000000160000}"/>
    <cellStyle name="_Value Copy 11 30 05 gas 12 09 05 AURORA at 12 14 05_Rate Spread 2 2" xfId="5640" xr:uid="{00000000-0005-0000-0000-000001160000}"/>
    <cellStyle name="_Value Copy 11 30 05 gas 12 09 05 AURORA at 12 14 05_Rate Spread 3" xfId="5641" xr:uid="{00000000-0005-0000-0000-000002160000}"/>
    <cellStyle name="_Value Copy 11 30 05 gas 12 09 05 AURORA at 12 14 05_Rebuttal Power Costs" xfId="5642" xr:uid="{00000000-0005-0000-0000-000003160000}"/>
    <cellStyle name="_Value Copy 11 30 05 gas 12 09 05 AURORA at 12 14 05_Rebuttal Power Costs 2" xfId="5643" xr:uid="{00000000-0005-0000-0000-000004160000}"/>
    <cellStyle name="_Value Copy 11 30 05 gas 12 09 05 AURORA at 12 14 05_Rebuttal Power Costs 2 2" xfId="5644" xr:uid="{00000000-0005-0000-0000-000005160000}"/>
    <cellStyle name="_Value Copy 11 30 05 gas 12 09 05 AURORA at 12 14 05_Rebuttal Power Costs 3" xfId="5645" xr:uid="{00000000-0005-0000-0000-000006160000}"/>
    <cellStyle name="_Value Copy 11 30 05 gas 12 09 05 AURORA at 12 14 05_Rebuttal Power Costs 4" xfId="5646" xr:uid="{00000000-0005-0000-0000-000007160000}"/>
    <cellStyle name="_Value Copy 11 30 05 gas 12 09 05 AURORA at 12 14 05_Rebuttal Power Costs_Adj Bench DR 3 for Initial Briefs (Electric)" xfId="5647" xr:uid="{00000000-0005-0000-0000-000008160000}"/>
    <cellStyle name="_Value Copy 11 30 05 gas 12 09 05 AURORA at 12 14 05_Rebuttal Power Costs_Adj Bench DR 3 for Initial Briefs (Electric) 2" xfId="5648" xr:uid="{00000000-0005-0000-0000-000009160000}"/>
    <cellStyle name="_Value Copy 11 30 05 gas 12 09 05 AURORA at 12 14 05_Rebuttal Power Costs_Adj Bench DR 3 for Initial Briefs (Electric) 2 2" xfId="5649" xr:uid="{00000000-0005-0000-0000-00000A160000}"/>
    <cellStyle name="_Value Copy 11 30 05 gas 12 09 05 AURORA at 12 14 05_Rebuttal Power Costs_Adj Bench DR 3 for Initial Briefs (Electric) 3" xfId="5650" xr:uid="{00000000-0005-0000-0000-00000B160000}"/>
    <cellStyle name="_Value Copy 11 30 05 gas 12 09 05 AURORA at 12 14 05_Rebuttal Power Costs_Adj Bench DR 3 for Initial Briefs (Electric) 4" xfId="5651" xr:uid="{00000000-0005-0000-0000-00000C160000}"/>
    <cellStyle name="_Value Copy 11 30 05 gas 12 09 05 AURORA at 12 14 05_Rebuttal Power Costs_Electric Rev Req Model (2009 GRC) Rebuttal" xfId="5652" xr:uid="{00000000-0005-0000-0000-00000D160000}"/>
    <cellStyle name="_Value Copy 11 30 05 gas 12 09 05 AURORA at 12 14 05_Rebuttal Power Costs_Electric Rev Req Model (2009 GRC) Rebuttal 2" xfId="5653" xr:uid="{00000000-0005-0000-0000-00000E160000}"/>
    <cellStyle name="_Value Copy 11 30 05 gas 12 09 05 AURORA at 12 14 05_Rebuttal Power Costs_Electric Rev Req Model (2009 GRC) Rebuttal 2 2" xfId="5654" xr:uid="{00000000-0005-0000-0000-00000F160000}"/>
    <cellStyle name="_Value Copy 11 30 05 gas 12 09 05 AURORA at 12 14 05_Rebuttal Power Costs_Electric Rev Req Model (2009 GRC) Rebuttal 3" xfId="5655" xr:uid="{00000000-0005-0000-0000-000010160000}"/>
    <cellStyle name="_Value Copy 11 30 05 gas 12 09 05 AURORA at 12 14 05_Rebuttal Power Costs_Electric Rev Req Model (2009 GRC) Rebuttal 4" xfId="5656" xr:uid="{00000000-0005-0000-0000-000011160000}"/>
    <cellStyle name="_Value Copy 11 30 05 gas 12 09 05 AURORA at 12 14 05_Rebuttal Power Costs_Electric Rev Req Model (2009 GRC) Rebuttal REmoval of New  WH Solar AdjustMI" xfId="5657" xr:uid="{00000000-0005-0000-0000-000012160000}"/>
    <cellStyle name="_Value Copy 11 30 05 gas 12 09 05 AURORA at 12 14 05_Rebuttal Power Costs_Electric Rev Req Model (2009 GRC) Rebuttal REmoval of New  WH Solar AdjustMI 2" xfId="5658" xr:uid="{00000000-0005-0000-0000-000013160000}"/>
    <cellStyle name="_Value Copy 11 30 05 gas 12 09 05 AURORA at 12 14 05_Rebuttal Power Costs_Electric Rev Req Model (2009 GRC) Rebuttal REmoval of New  WH Solar AdjustMI 2 2" xfId="5659" xr:uid="{00000000-0005-0000-0000-000014160000}"/>
    <cellStyle name="_Value Copy 11 30 05 gas 12 09 05 AURORA at 12 14 05_Rebuttal Power Costs_Electric Rev Req Model (2009 GRC) Rebuttal REmoval of New  WH Solar AdjustMI 3" xfId="5660" xr:uid="{00000000-0005-0000-0000-000015160000}"/>
    <cellStyle name="_Value Copy 11 30 05 gas 12 09 05 AURORA at 12 14 05_Rebuttal Power Costs_Electric Rev Req Model (2009 GRC) Rebuttal REmoval of New  WH Solar AdjustMI 4" xfId="5661" xr:uid="{00000000-0005-0000-0000-000016160000}"/>
    <cellStyle name="_Value Copy 11 30 05 gas 12 09 05 AURORA at 12 14 05_Rebuttal Power Costs_Electric Rev Req Model (2009 GRC) Revised 01-18-2010" xfId="5662" xr:uid="{00000000-0005-0000-0000-000017160000}"/>
    <cellStyle name="_Value Copy 11 30 05 gas 12 09 05 AURORA at 12 14 05_Rebuttal Power Costs_Electric Rev Req Model (2009 GRC) Revised 01-18-2010 2" xfId="5663" xr:uid="{00000000-0005-0000-0000-000018160000}"/>
    <cellStyle name="_Value Copy 11 30 05 gas 12 09 05 AURORA at 12 14 05_Rebuttal Power Costs_Electric Rev Req Model (2009 GRC) Revised 01-18-2010 2 2" xfId="5664" xr:uid="{00000000-0005-0000-0000-000019160000}"/>
    <cellStyle name="_Value Copy 11 30 05 gas 12 09 05 AURORA at 12 14 05_Rebuttal Power Costs_Electric Rev Req Model (2009 GRC) Revised 01-18-2010 3" xfId="5665" xr:uid="{00000000-0005-0000-0000-00001A160000}"/>
    <cellStyle name="_Value Copy 11 30 05 gas 12 09 05 AURORA at 12 14 05_Rebuttal Power Costs_Electric Rev Req Model (2009 GRC) Revised 01-18-2010 4" xfId="5666" xr:uid="{00000000-0005-0000-0000-00001B160000}"/>
    <cellStyle name="_Value Copy 11 30 05 gas 12 09 05 AURORA at 12 14 05_Rebuttal Power Costs_Final Order Electric EXHIBIT A-1" xfId="5667" xr:uid="{00000000-0005-0000-0000-00001C160000}"/>
    <cellStyle name="_Value Copy 11 30 05 gas 12 09 05 AURORA at 12 14 05_Rebuttal Power Costs_Final Order Electric EXHIBIT A-1 2" xfId="5668" xr:uid="{00000000-0005-0000-0000-00001D160000}"/>
    <cellStyle name="_Value Copy 11 30 05 gas 12 09 05 AURORA at 12 14 05_Rebuttal Power Costs_Final Order Electric EXHIBIT A-1 2 2" xfId="5669" xr:uid="{00000000-0005-0000-0000-00001E160000}"/>
    <cellStyle name="_Value Copy 11 30 05 gas 12 09 05 AURORA at 12 14 05_Rebuttal Power Costs_Final Order Electric EXHIBIT A-1 3" xfId="5670" xr:uid="{00000000-0005-0000-0000-00001F160000}"/>
    <cellStyle name="_Value Copy 11 30 05 gas 12 09 05 AURORA at 12 14 05_Rebuttal Power Costs_Final Order Electric EXHIBIT A-1 4" xfId="5671" xr:uid="{00000000-0005-0000-0000-000020160000}"/>
    <cellStyle name="_Value Copy 11 30 05 gas 12 09 05 AURORA at 12 14 05_ROR 5.02" xfId="5672" xr:uid="{00000000-0005-0000-0000-000021160000}"/>
    <cellStyle name="_Value Copy 11 30 05 gas 12 09 05 AURORA at 12 14 05_ROR 5.02 2" xfId="5673" xr:uid="{00000000-0005-0000-0000-000022160000}"/>
    <cellStyle name="_Value Copy 11 30 05 gas 12 09 05 AURORA at 12 14 05_ROR 5.02 2 2" xfId="5674" xr:uid="{00000000-0005-0000-0000-000023160000}"/>
    <cellStyle name="_Value Copy 11 30 05 gas 12 09 05 AURORA at 12 14 05_ROR 5.02 3" xfId="5675" xr:uid="{00000000-0005-0000-0000-000024160000}"/>
    <cellStyle name="_Value Copy 11 30 05 gas 12 09 05 AURORA at 12 14 05_Sch 40 Feeder OH 2008" xfId="5676" xr:uid="{00000000-0005-0000-0000-000025160000}"/>
    <cellStyle name="_Value Copy 11 30 05 gas 12 09 05 AURORA at 12 14 05_Sch 40 Feeder OH 2008 2" xfId="5677" xr:uid="{00000000-0005-0000-0000-000026160000}"/>
    <cellStyle name="_Value Copy 11 30 05 gas 12 09 05 AURORA at 12 14 05_Sch 40 Feeder OH 2008 2 2" xfId="5678" xr:uid="{00000000-0005-0000-0000-000027160000}"/>
    <cellStyle name="_Value Copy 11 30 05 gas 12 09 05 AURORA at 12 14 05_Sch 40 Feeder OH 2008 3" xfId="5679" xr:uid="{00000000-0005-0000-0000-000028160000}"/>
    <cellStyle name="_Value Copy 11 30 05 gas 12 09 05 AURORA at 12 14 05_Sch 40 Interim Energy Rates " xfId="5680" xr:uid="{00000000-0005-0000-0000-000029160000}"/>
    <cellStyle name="_Value Copy 11 30 05 gas 12 09 05 AURORA at 12 14 05_Sch 40 Interim Energy Rates  2" xfId="5681" xr:uid="{00000000-0005-0000-0000-00002A160000}"/>
    <cellStyle name="_Value Copy 11 30 05 gas 12 09 05 AURORA at 12 14 05_Sch 40 Interim Energy Rates  2 2" xfId="5682" xr:uid="{00000000-0005-0000-0000-00002B160000}"/>
    <cellStyle name="_Value Copy 11 30 05 gas 12 09 05 AURORA at 12 14 05_Sch 40 Interim Energy Rates  3" xfId="5683" xr:uid="{00000000-0005-0000-0000-00002C160000}"/>
    <cellStyle name="_Value Copy 11 30 05 gas 12 09 05 AURORA at 12 14 05_Sch 40 Substation A&amp;G 2008" xfId="5684" xr:uid="{00000000-0005-0000-0000-00002D160000}"/>
    <cellStyle name="_Value Copy 11 30 05 gas 12 09 05 AURORA at 12 14 05_Sch 40 Substation A&amp;G 2008 2" xfId="5685" xr:uid="{00000000-0005-0000-0000-00002E160000}"/>
    <cellStyle name="_Value Copy 11 30 05 gas 12 09 05 AURORA at 12 14 05_Sch 40 Substation A&amp;G 2008 2 2" xfId="5686" xr:uid="{00000000-0005-0000-0000-00002F160000}"/>
    <cellStyle name="_Value Copy 11 30 05 gas 12 09 05 AURORA at 12 14 05_Sch 40 Substation A&amp;G 2008 3" xfId="5687" xr:uid="{00000000-0005-0000-0000-000030160000}"/>
    <cellStyle name="_Value Copy 11 30 05 gas 12 09 05 AURORA at 12 14 05_Sch 40 Substation O&amp;M 2008" xfId="5688" xr:uid="{00000000-0005-0000-0000-000031160000}"/>
    <cellStyle name="_Value Copy 11 30 05 gas 12 09 05 AURORA at 12 14 05_Sch 40 Substation O&amp;M 2008 2" xfId="5689" xr:uid="{00000000-0005-0000-0000-000032160000}"/>
    <cellStyle name="_Value Copy 11 30 05 gas 12 09 05 AURORA at 12 14 05_Sch 40 Substation O&amp;M 2008 2 2" xfId="5690" xr:uid="{00000000-0005-0000-0000-000033160000}"/>
    <cellStyle name="_Value Copy 11 30 05 gas 12 09 05 AURORA at 12 14 05_Sch 40 Substation O&amp;M 2008 3" xfId="5691" xr:uid="{00000000-0005-0000-0000-000034160000}"/>
    <cellStyle name="_Value Copy 11 30 05 gas 12 09 05 AURORA at 12 14 05_Subs 2008" xfId="5692" xr:uid="{00000000-0005-0000-0000-000035160000}"/>
    <cellStyle name="_Value Copy 11 30 05 gas 12 09 05 AURORA at 12 14 05_Subs 2008 2" xfId="5693" xr:uid="{00000000-0005-0000-0000-000036160000}"/>
    <cellStyle name="_Value Copy 11 30 05 gas 12 09 05 AURORA at 12 14 05_Subs 2008 2 2" xfId="5694" xr:uid="{00000000-0005-0000-0000-000037160000}"/>
    <cellStyle name="_Value Copy 11 30 05 gas 12 09 05 AURORA at 12 14 05_Subs 2008 3" xfId="5695" xr:uid="{00000000-0005-0000-0000-000038160000}"/>
    <cellStyle name="_Value Copy 11 30 05 gas 12 09 05 AURORA at 12 14 05_Transmission Workbook for May BOD" xfId="5696" xr:uid="{00000000-0005-0000-0000-000039160000}"/>
    <cellStyle name="_Value Copy 11 30 05 gas 12 09 05 AURORA at 12 14 05_Transmission Workbook for May BOD 2" xfId="5697" xr:uid="{00000000-0005-0000-0000-00003A160000}"/>
    <cellStyle name="_Value Copy 11 30 05 gas 12 09 05 AURORA at 12 14 05_Wind Integration 10GRC" xfId="5698" xr:uid="{00000000-0005-0000-0000-00003B160000}"/>
    <cellStyle name="_Value Copy 11 30 05 gas 12 09 05 AURORA at 12 14 05_Wind Integration 10GRC 2" xfId="5699" xr:uid="{00000000-0005-0000-0000-00003C160000}"/>
    <cellStyle name="_VC 2007GRC PC 10312007" xfId="5700" xr:uid="{00000000-0005-0000-0000-00003D160000}"/>
    <cellStyle name="_VC 6.15.06 update on 06GRC power costs.xls Chart 1" xfId="5701" xr:uid="{00000000-0005-0000-0000-00003E160000}"/>
    <cellStyle name="_VC 6.15.06 update on 06GRC power costs.xls Chart 1 2" xfId="5702" xr:uid="{00000000-0005-0000-0000-00003F160000}"/>
    <cellStyle name="_VC 6.15.06 update on 06GRC power costs.xls Chart 1 2 2" xfId="5703" xr:uid="{00000000-0005-0000-0000-000040160000}"/>
    <cellStyle name="_VC 6.15.06 update on 06GRC power costs.xls Chart 1 2 2 2" xfId="5704" xr:uid="{00000000-0005-0000-0000-000041160000}"/>
    <cellStyle name="_VC 6.15.06 update on 06GRC power costs.xls Chart 1 2 3" xfId="5705" xr:uid="{00000000-0005-0000-0000-000042160000}"/>
    <cellStyle name="_VC 6.15.06 update on 06GRC power costs.xls Chart 1 3" xfId="5706" xr:uid="{00000000-0005-0000-0000-000043160000}"/>
    <cellStyle name="_VC 6.15.06 update on 06GRC power costs.xls Chart 1 3 2" xfId="5707" xr:uid="{00000000-0005-0000-0000-000044160000}"/>
    <cellStyle name="_VC 6.15.06 update on 06GRC power costs.xls Chart 1 3 2 2" xfId="5708" xr:uid="{00000000-0005-0000-0000-000045160000}"/>
    <cellStyle name="_VC 6.15.06 update on 06GRC power costs.xls Chart 1 3 3" xfId="5709" xr:uid="{00000000-0005-0000-0000-000046160000}"/>
    <cellStyle name="_VC 6.15.06 update on 06GRC power costs.xls Chart 1 3 3 2" xfId="5710" xr:uid="{00000000-0005-0000-0000-000047160000}"/>
    <cellStyle name="_VC 6.15.06 update on 06GRC power costs.xls Chart 1 3 4" xfId="5711" xr:uid="{00000000-0005-0000-0000-000048160000}"/>
    <cellStyle name="_VC 6.15.06 update on 06GRC power costs.xls Chart 1 3 4 2" xfId="5712" xr:uid="{00000000-0005-0000-0000-000049160000}"/>
    <cellStyle name="_VC 6.15.06 update on 06GRC power costs.xls Chart 1 4" xfId="5713" xr:uid="{00000000-0005-0000-0000-00004A160000}"/>
    <cellStyle name="_VC 6.15.06 update on 06GRC power costs.xls Chart 1 4 2" xfId="5714" xr:uid="{00000000-0005-0000-0000-00004B160000}"/>
    <cellStyle name="_VC 6.15.06 update on 06GRC power costs.xls Chart 1 5" xfId="5715" xr:uid="{00000000-0005-0000-0000-00004C160000}"/>
    <cellStyle name="_VC 6.15.06 update on 06GRC power costs.xls Chart 1 6" xfId="5716" xr:uid="{00000000-0005-0000-0000-00004D160000}"/>
    <cellStyle name="_VC 6.15.06 update on 06GRC power costs.xls Chart 1 7" xfId="5717" xr:uid="{00000000-0005-0000-0000-00004E160000}"/>
    <cellStyle name="_VC 6.15.06 update on 06GRC power costs.xls Chart 1_04 07E Wild Horse Wind Expansion (C) (2)" xfId="5718" xr:uid="{00000000-0005-0000-0000-00004F160000}"/>
    <cellStyle name="_VC 6.15.06 update on 06GRC power costs.xls Chart 1_04 07E Wild Horse Wind Expansion (C) (2) 2" xfId="5719" xr:uid="{00000000-0005-0000-0000-000050160000}"/>
    <cellStyle name="_VC 6.15.06 update on 06GRC power costs.xls Chart 1_04 07E Wild Horse Wind Expansion (C) (2) 2 2" xfId="5720" xr:uid="{00000000-0005-0000-0000-000051160000}"/>
    <cellStyle name="_VC 6.15.06 update on 06GRC power costs.xls Chart 1_04 07E Wild Horse Wind Expansion (C) (2) 3" xfId="5721" xr:uid="{00000000-0005-0000-0000-000052160000}"/>
    <cellStyle name="_VC 6.15.06 update on 06GRC power costs.xls Chart 1_04 07E Wild Horse Wind Expansion (C) (2) 4" xfId="5722" xr:uid="{00000000-0005-0000-0000-000053160000}"/>
    <cellStyle name="_VC 6.15.06 update on 06GRC power costs.xls Chart 1_04 07E Wild Horse Wind Expansion (C) (2)_Adj Bench DR 3 for Initial Briefs (Electric)" xfId="5723" xr:uid="{00000000-0005-0000-0000-000054160000}"/>
    <cellStyle name="_VC 6.15.06 update on 06GRC power costs.xls Chart 1_04 07E Wild Horse Wind Expansion (C) (2)_Adj Bench DR 3 for Initial Briefs (Electric) 2" xfId="5724" xr:uid="{00000000-0005-0000-0000-000055160000}"/>
    <cellStyle name="_VC 6.15.06 update on 06GRC power costs.xls Chart 1_04 07E Wild Horse Wind Expansion (C) (2)_Adj Bench DR 3 for Initial Briefs (Electric) 2 2" xfId="5725" xr:uid="{00000000-0005-0000-0000-000056160000}"/>
    <cellStyle name="_VC 6.15.06 update on 06GRC power costs.xls Chart 1_04 07E Wild Horse Wind Expansion (C) (2)_Adj Bench DR 3 for Initial Briefs (Electric) 3" xfId="5726" xr:uid="{00000000-0005-0000-0000-000057160000}"/>
    <cellStyle name="_VC 6.15.06 update on 06GRC power costs.xls Chart 1_04 07E Wild Horse Wind Expansion (C) (2)_Adj Bench DR 3 for Initial Briefs (Electric) 4" xfId="5727" xr:uid="{00000000-0005-0000-0000-000058160000}"/>
    <cellStyle name="_VC 6.15.06 update on 06GRC power costs.xls Chart 1_04 07E Wild Horse Wind Expansion (C) (2)_Book1" xfId="5728" xr:uid="{00000000-0005-0000-0000-000059160000}"/>
    <cellStyle name="_VC 6.15.06 update on 06GRC power costs.xls Chart 1_04 07E Wild Horse Wind Expansion (C) (2)_Electric Rev Req Model (2009 GRC) " xfId="5729" xr:uid="{00000000-0005-0000-0000-00005A160000}"/>
    <cellStyle name="_VC 6.15.06 update on 06GRC power costs.xls Chart 1_04 07E Wild Horse Wind Expansion (C) (2)_Electric Rev Req Model (2009 GRC)  2" xfId="5730" xr:uid="{00000000-0005-0000-0000-00005B160000}"/>
    <cellStyle name="_VC 6.15.06 update on 06GRC power costs.xls Chart 1_04 07E Wild Horse Wind Expansion (C) (2)_Electric Rev Req Model (2009 GRC)  2 2" xfId="5731" xr:uid="{00000000-0005-0000-0000-00005C160000}"/>
    <cellStyle name="_VC 6.15.06 update on 06GRC power costs.xls Chart 1_04 07E Wild Horse Wind Expansion (C) (2)_Electric Rev Req Model (2009 GRC)  3" xfId="5732" xr:uid="{00000000-0005-0000-0000-00005D160000}"/>
    <cellStyle name="_VC 6.15.06 update on 06GRC power costs.xls Chart 1_04 07E Wild Horse Wind Expansion (C) (2)_Electric Rev Req Model (2009 GRC)  4" xfId="5733" xr:uid="{00000000-0005-0000-0000-00005E160000}"/>
    <cellStyle name="_VC 6.15.06 update on 06GRC power costs.xls Chart 1_04 07E Wild Horse Wind Expansion (C) (2)_Electric Rev Req Model (2009 GRC) Rebuttal" xfId="5734" xr:uid="{00000000-0005-0000-0000-00005F160000}"/>
    <cellStyle name="_VC 6.15.06 update on 06GRC power costs.xls Chart 1_04 07E Wild Horse Wind Expansion (C) (2)_Electric Rev Req Model (2009 GRC) Rebuttal 2" xfId="5735" xr:uid="{00000000-0005-0000-0000-000060160000}"/>
    <cellStyle name="_VC 6.15.06 update on 06GRC power costs.xls Chart 1_04 07E Wild Horse Wind Expansion (C) (2)_Electric Rev Req Model (2009 GRC) Rebuttal 2 2" xfId="5736" xr:uid="{00000000-0005-0000-0000-000061160000}"/>
    <cellStyle name="_VC 6.15.06 update on 06GRC power costs.xls Chart 1_04 07E Wild Horse Wind Expansion (C) (2)_Electric Rev Req Model (2009 GRC) Rebuttal 3" xfId="5737" xr:uid="{00000000-0005-0000-0000-000062160000}"/>
    <cellStyle name="_VC 6.15.06 update on 06GRC power costs.xls Chart 1_04 07E Wild Horse Wind Expansion (C) (2)_Electric Rev Req Model (2009 GRC) Rebuttal 4" xfId="5738" xr:uid="{00000000-0005-0000-0000-000063160000}"/>
    <cellStyle name="_VC 6.15.06 update on 06GRC power costs.xls Chart 1_04 07E Wild Horse Wind Expansion (C) (2)_Electric Rev Req Model (2009 GRC) Rebuttal REmoval of New  WH Solar AdjustMI" xfId="5739" xr:uid="{00000000-0005-0000-0000-000064160000}"/>
    <cellStyle name="_VC 6.15.06 update on 06GRC power costs.xls Chart 1_04 07E Wild Horse Wind Expansion (C) (2)_Electric Rev Req Model (2009 GRC) Rebuttal REmoval of New  WH Solar AdjustMI 2" xfId="5740" xr:uid="{00000000-0005-0000-0000-000065160000}"/>
    <cellStyle name="_VC 6.15.06 update on 06GRC power costs.xls Chart 1_04 07E Wild Horse Wind Expansion (C) (2)_Electric Rev Req Model (2009 GRC) Rebuttal REmoval of New  WH Solar AdjustMI 2 2" xfId="5741" xr:uid="{00000000-0005-0000-0000-000066160000}"/>
    <cellStyle name="_VC 6.15.06 update on 06GRC power costs.xls Chart 1_04 07E Wild Horse Wind Expansion (C) (2)_Electric Rev Req Model (2009 GRC) Rebuttal REmoval of New  WH Solar AdjustMI 3" xfId="5742" xr:uid="{00000000-0005-0000-0000-000067160000}"/>
    <cellStyle name="_VC 6.15.06 update on 06GRC power costs.xls Chart 1_04 07E Wild Horse Wind Expansion (C) (2)_Electric Rev Req Model (2009 GRC) Rebuttal REmoval of New  WH Solar AdjustMI 4" xfId="5743" xr:uid="{00000000-0005-0000-0000-000068160000}"/>
    <cellStyle name="_VC 6.15.06 update on 06GRC power costs.xls Chart 1_04 07E Wild Horse Wind Expansion (C) (2)_Electric Rev Req Model (2009 GRC) Revised 01-18-2010" xfId="5744" xr:uid="{00000000-0005-0000-0000-000069160000}"/>
    <cellStyle name="_VC 6.15.06 update on 06GRC power costs.xls Chart 1_04 07E Wild Horse Wind Expansion (C) (2)_Electric Rev Req Model (2009 GRC) Revised 01-18-2010 2" xfId="5745" xr:uid="{00000000-0005-0000-0000-00006A160000}"/>
    <cellStyle name="_VC 6.15.06 update on 06GRC power costs.xls Chart 1_04 07E Wild Horse Wind Expansion (C) (2)_Electric Rev Req Model (2009 GRC) Revised 01-18-2010 2 2" xfId="5746" xr:uid="{00000000-0005-0000-0000-00006B160000}"/>
    <cellStyle name="_VC 6.15.06 update on 06GRC power costs.xls Chart 1_04 07E Wild Horse Wind Expansion (C) (2)_Electric Rev Req Model (2009 GRC) Revised 01-18-2010 3" xfId="5747" xr:uid="{00000000-0005-0000-0000-00006C160000}"/>
    <cellStyle name="_VC 6.15.06 update on 06GRC power costs.xls Chart 1_04 07E Wild Horse Wind Expansion (C) (2)_Electric Rev Req Model (2009 GRC) Revised 01-18-2010 4" xfId="5748" xr:uid="{00000000-0005-0000-0000-00006D160000}"/>
    <cellStyle name="_VC 6.15.06 update on 06GRC power costs.xls Chart 1_04 07E Wild Horse Wind Expansion (C) (2)_Electric Rev Req Model (2010 GRC)" xfId="5749" xr:uid="{00000000-0005-0000-0000-00006E160000}"/>
    <cellStyle name="_VC 6.15.06 update on 06GRC power costs.xls Chart 1_04 07E Wild Horse Wind Expansion (C) (2)_Electric Rev Req Model (2010 GRC) SF" xfId="5750" xr:uid="{00000000-0005-0000-0000-00006F160000}"/>
    <cellStyle name="_VC 6.15.06 update on 06GRC power costs.xls Chart 1_04 07E Wild Horse Wind Expansion (C) (2)_Final Order Electric EXHIBIT A-1" xfId="5751" xr:uid="{00000000-0005-0000-0000-000070160000}"/>
    <cellStyle name="_VC 6.15.06 update on 06GRC power costs.xls Chart 1_04 07E Wild Horse Wind Expansion (C) (2)_Final Order Electric EXHIBIT A-1 2" xfId="5752" xr:uid="{00000000-0005-0000-0000-000071160000}"/>
    <cellStyle name="_VC 6.15.06 update on 06GRC power costs.xls Chart 1_04 07E Wild Horse Wind Expansion (C) (2)_Final Order Electric EXHIBIT A-1 2 2" xfId="5753" xr:uid="{00000000-0005-0000-0000-000072160000}"/>
    <cellStyle name="_VC 6.15.06 update on 06GRC power costs.xls Chart 1_04 07E Wild Horse Wind Expansion (C) (2)_Final Order Electric EXHIBIT A-1 3" xfId="5754" xr:uid="{00000000-0005-0000-0000-000073160000}"/>
    <cellStyle name="_VC 6.15.06 update on 06GRC power costs.xls Chart 1_04 07E Wild Horse Wind Expansion (C) (2)_Final Order Electric EXHIBIT A-1 4" xfId="5755" xr:uid="{00000000-0005-0000-0000-000074160000}"/>
    <cellStyle name="_VC 6.15.06 update on 06GRC power costs.xls Chart 1_04 07E Wild Horse Wind Expansion (C) (2)_TENASKA REGULATORY ASSET" xfId="5756" xr:uid="{00000000-0005-0000-0000-000075160000}"/>
    <cellStyle name="_VC 6.15.06 update on 06GRC power costs.xls Chart 1_04 07E Wild Horse Wind Expansion (C) (2)_TENASKA REGULATORY ASSET 2" xfId="5757" xr:uid="{00000000-0005-0000-0000-000076160000}"/>
    <cellStyle name="_VC 6.15.06 update on 06GRC power costs.xls Chart 1_04 07E Wild Horse Wind Expansion (C) (2)_TENASKA REGULATORY ASSET 2 2" xfId="5758" xr:uid="{00000000-0005-0000-0000-000077160000}"/>
    <cellStyle name="_VC 6.15.06 update on 06GRC power costs.xls Chart 1_04 07E Wild Horse Wind Expansion (C) (2)_TENASKA REGULATORY ASSET 3" xfId="5759" xr:uid="{00000000-0005-0000-0000-000078160000}"/>
    <cellStyle name="_VC 6.15.06 update on 06GRC power costs.xls Chart 1_04 07E Wild Horse Wind Expansion (C) (2)_TENASKA REGULATORY ASSET 4" xfId="5760" xr:uid="{00000000-0005-0000-0000-000079160000}"/>
    <cellStyle name="_VC 6.15.06 update on 06GRC power costs.xls Chart 1_16.37E Wild Horse Expansion DeferralRevwrkingfile SF" xfId="5761" xr:uid="{00000000-0005-0000-0000-00007A160000}"/>
    <cellStyle name="_VC 6.15.06 update on 06GRC power costs.xls Chart 1_16.37E Wild Horse Expansion DeferralRevwrkingfile SF 2" xfId="5762" xr:uid="{00000000-0005-0000-0000-00007B160000}"/>
    <cellStyle name="_VC 6.15.06 update on 06GRC power costs.xls Chart 1_16.37E Wild Horse Expansion DeferralRevwrkingfile SF 2 2" xfId="5763" xr:uid="{00000000-0005-0000-0000-00007C160000}"/>
    <cellStyle name="_VC 6.15.06 update on 06GRC power costs.xls Chart 1_16.37E Wild Horse Expansion DeferralRevwrkingfile SF 3" xfId="5764" xr:uid="{00000000-0005-0000-0000-00007D160000}"/>
    <cellStyle name="_VC 6.15.06 update on 06GRC power costs.xls Chart 1_16.37E Wild Horse Expansion DeferralRevwrkingfile SF 4" xfId="5765" xr:uid="{00000000-0005-0000-0000-00007E160000}"/>
    <cellStyle name="_VC 6.15.06 update on 06GRC power costs.xls Chart 1_2009 Compliance Filing PCA Exhibits for GRC" xfId="5766" xr:uid="{00000000-0005-0000-0000-00007F160000}"/>
    <cellStyle name="_VC 6.15.06 update on 06GRC power costs.xls Chart 1_2009 Compliance Filing PCA Exhibits for GRC 2" xfId="5767" xr:uid="{00000000-0005-0000-0000-000080160000}"/>
    <cellStyle name="_VC 6.15.06 update on 06GRC power costs.xls Chart 1_2009 GRC Compl Filing - Exhibit D" xfId="5768" xr:uid="{00000000-0005-0000-0000-000081160000}"/>
    <cellStyle name="_VC 6.15.06 update on 06GRC power costs.xls Chart 1_2009 GRC Compl Filing - Exhibit D 2" xfId="5769" xr:uid="{00000000-0005-0000-0000-000082160000}"/>
    <cellStyle name="_VC 6.15.06 update on 06GRC power costs.xls Chart 1_2009 GRC Compl Filing - Exhibit D 3" xfId="5770" xr:uid="{00000000-0005-0000-0000-000083160000}"/>
    <cellStyle name="_VC 6.15.06 update on 06GRC power costs.xls Chart 1_3.01 Income Statement" xfId="5771" xr:uid="{00000000-0005-0000-0000-000084160000}"/>
    <cellStyle name="_VC 6.15.06 update on 06GRC power costs.xls Chart 1_4 31 Regulatory Assets and Liabilities  7 06- Exhibit D" xfId="5772" xr:uid="{00000000-0005-0000-0000-000085160000}"/>
    <cellStyle name="_VC 6.15.06 update on 06GRC power costs.xls Chart 1_4 31 Regulatory Assets and Liabilities  7 06- Exhibit D 2" xfId="5773" xr:uid="{00000000-0005-0000-0000-000086160000}"/>
    <cellStyle name="_VC 6.15.06 update on 06GRC power costs.xls Chart 1_4 31 Regulatory Assets and Liabilities  7 06- Exhibit D 2 2" xfId="5774" xr:uid="{00000000-0005-0000-0000-000087160000}"/>
    <cellStyle name="_VC 6.15.06 update on 06GRC power costs.xls Chart 1_4 31 Regulatory Assets and Liabilities  7 06- Exhibit D 3" xfId="5775" xr:uid="{00000000-0005-0000-0000-000088160000}"/>
    <cellStyle name="_VC 6.15.06 update on 06GRC power costs.xls Chart 1_4 31 Regulatory Assets and Liabilities  7 06- Exhibit D 4" xfId="5776" xr:uid="{00000000-0005-0000-0000-000089160000}"/>
    <cellStyle name="_VC 6.15.06 update on 06GRC power costs.xls Chart 1_4 31 Regulatory Assets and Liabilities  7 06- Exhibit D_NIM Summary" xfId="5777" xr:uid="{00000000-0005-0000-0000-00008A160000}"/>
    <cellStyle name="_VC 6.15.06 update on 06GRC power costs.xls Chart 1_4 31 Regulatory Assets and Liabilities  7 06- Exhibit D_NIM Summary 2" xfId="5778" xr:uid="{00000000-0005-0000-0000-00008B160000}"/>
    <cellStyle name="_VC 6.15.06 update on 06GRC power costs.xls Chart 1_4 32 Regulatory Assets and Liabilities  7 06- Exhibit D" xfId="5779" xr:uid="{00000000-0005-0000-0000-00008C160000}"/>
    <cellStyle name="_VC 6.15.06 update on 06GRC power costs.xls Chart 1_4 32 Regulatory Assets and Liabilities  7 06- Exhibit D 2" xfId="5780" xr:uid="{00000000-0005-0000-0000-00008D160000}"/>
    <cellStyle name="_VC 6.15.06 update on 06GRC power costs.xls Chart 1_4 32 Regulatory Assets and Liabilities  7 06- Exhibit D 2 2" xfId="5781" xr:uid="{00000000-0005-0000-0000-00008E160000}"/>
    <cellStyle name="_VC 6.15.06 update on 06GRC power costs.xls Chart 1_4 32 Regulatory Assets and Liabilities  7 06- Exhibit D 3" xfId="5782" xr:uid="{00000000-0005-0000-0000-00008F160000}"/>
    <cellStyle name="_VC 6.15.06 update on 06GRC power costs.xls Chart 1_4 32 Regulatory Assets and Liabilities  7 06- Exhibit D 4" xfId="5783" xr:uid="{00000000-0005-0000-0000-000090160000}"/>
    <cellStyle name="_VC 6.15.06 update on 06GRC power costs.xls Chart 1_4 32 Regulatory Assets and Liabilities  7 06- Exhibit D_NIM Summary" xfId="5784" xr:uid="{00000000-0005-0000-0000-000091160000}"/>
    <cellStyle name="_VC 6.15.06 update on 06GRC power costs.xls Chart 1_4 32 Regulatory Assets and Liabilities  7 06- Exhibit D_NIM Summary 2" xfId="5785" xr:uid="{00000000-0005-0000-0000-000092160000}"/>
    <cellStyle name="_VC 6.15.06 update on 06GRC power costs.xls Chart 1_ACCOUNTS" xfId="5786" xr:uid="{00000000-0005-0000-0000-000093160000}"/>
    <cellStyle name="_VC 6.15.06 update on 06GRC power costs.xls Chart 1_AURORA Total New" xfId="5787" xr:uid="{00000000-0005-0000-0000-000094160000}"/>
    <cellStyle name="_VC 6.15.06 update on 06GRC power costs.xls Chart 1_AURORA Total New 2" xfId="5788" xr:uid="{00000000-0005-0000-0000-000095160000}"/>
    <cellStyle name="_VC 6.15.06 update on 06GRC power costs.xls Chart 1_Book2" xfId="5789" xr:uid="{00000000-0005-0000-0000-000096160000}"/>
    <cellStyle name="_VC 6.15.06 update on 06GRC power costs.xls Chart 1_Book2 2" xfId="5790" xr:uid="{00000000-0005-0000-0000-000097160000}"/>
    <cellStyle name="_VC 6.15.06 update on 06GRC power costs.xls Chart 1_Book2 2 2" xfId="5791" xr:uid="{00000000-0005-0000-0000-000098160000}"/>
    <cellStyle name="_VC 6.15.06 update on 06GRC power costs.xls Chart 1_Book2 3" xfId="5792" xr:uid="{00000000-0005-0000-0000-000099160000}"/>
    <cellStyle name="_VC 6.15.06 update on 06GRC power costs.xls Chart 1_Book2 4" xfId="5793" xr:uid="{00000000-0005-0000-0000-00009A160000}"/>
    <cellStyle name="_VC 6.15.06 update on 06GRC power costs.xls Chart 1_Book2_Adj Bench DR 3 for Initial Briefs (Electric)" xfId="5794" xr:uid="{00000000-0005-0000-0000-00009B160000}"/>
    <cellStyle name="_VC 6.15.06 update on 06GRC power costs.xls Chart 1_Book2_Adj Bench DR 3 for Initial Briefs (Electric) 2" xfId="5795" xr:uid="{00000000-0005-0000-0000-00009C160000}"/>
    <cellStyle name="_VC 6.15.06 update on 06GRC power costs.xls Chart 1_Book2_Adj Bench DR 3 for Initial Briefs (Electric) 2 2" xfId="5796" xr:uid="{00000000-0005-0000-0000-00009D160000}"/>
    <cellStyle name="_VC 6.15.06 update on 06GRC power costs.xls Chart 1_Book2_Adj Bench DR 3 for Initial Briefs (Electric) 3" xfId="5797" xr:uid="{00000000-0005-0000-0000-00009E160000}"/>
    <cellStyle name="_VC 6.15.06 update on 06GRC power costs.xls Chart 1_Book2_Adj Bench DR 3 for Initial Briefs (Electric) 4" xfId="5798" xr:uid="{00000000-0005-0000-0000-00009F160000}"/>
    <cellStyle name="_VC 6.15.06 update on 06GRC power costs.xls Chart 1_Book2_Electric Rev Req Model (2009 GRC) Rebuttal" xfId="5799" xr:uid="{00000000-0005-0000-0000-0000A0160000}"/>
    <cellStyle name="_VC 6.15.06 update on 06GRC power costs.xls Chart 1_Book2_Electric Rev Req Model (2009 GRC) Rebuttal 2" xfId="5800" xr:uid="{00000000-0005-0000-0000-0000A1160000}"/>
    <cellStyle name="_VC 6.15.06 update on 06GRC power costs.xls Chart 1_Book2_Electric Rev Req Model (2009 GRC) Rebuttal 2 2" xfId="5801" xr:uid="{00000000-0005-0000-0000-0000A2160000}"/>
    <cellStyle name="_VC 6.15.06 update on 06GRC power costs.xls Chart 1_Book2_Electric Rev Req Model (2009 GRC) Rebuttal 3" xfId="5802" xr:uid="{00000000-0005-0000-0000-0000A3160000}"/>
    <cellStyle name="_VC 6.15.06 update on 06GRC power costs.xls Chart 1_Book2_Electric Rev Req Model (2009 GRC) Rebuttal 4" xfId="5803" xr:uid="{00000000-0005-0000-0000-0000A4160000}"/>
    <cellStyle name="_VC 6.15.06 update on 06GRC power costs.xls Chart 1_Book2_Electric Rev Req Model (2009 GRC) Rebuttal REmoval of New  WH Solar AdjustMI" xfId="5804" xr:uid="{00000000-0005-0000-0000-0000A5160000}"/>
    <cellStyle name="_VC 6.15.06 update on 06GRC power costs.xls Chart 1_Book2_Electric Rev Req Model (2009 GRC) Rebuttal REmoval of New  WH Solar AdjustMI 2" xfId="5805" xr:uid="{00000000-0005-0000-0000-0000A6160000}"/>
    <cellStyle name="_VC 6.15.06 update on 06GRC power costs.xls Chart 1_Book2_Electric Rev Req Model (2009 GRC) Rebuttal REmoval of New  WH Solar AdjustMI 2 2" xfId="5806" xr:uid="{00000000-0005-0000-0000-0000A7160000}"/>
    <cellStyle name="_VC 6.15.06 update on 06GRC power costs.xls Chart 1_Book2_Electric Rev Req Model (2009 GRC) Rebuttal REmoval of New  WH Solar AdjustMI 3" xfId="5807" xr:uid="{00000000-0005-0000-0000-0000A8160000}"/>
    <cellStyle name="_VC 6.15.06 update on 06GRC power costs.xls Chart 1_Book2_Electric Rev Req Model (2009 GRC) Rebuttal REmoval of New  WH Solar AdjustMI 4" xfId="5808" xr:uid="{00000000-0005-0000-0000-0000A9160000}"/>
    <cellStyle name="_VC 6.15.06 update on 06GRC power costs.xls Chart 1_Book2_Electric Rev Req Model (2009 GRC) Revised 01-18-2010" xfId="5809" xr:uid="{00000000-0005-0000-0000-0000AA160000}"/>
    <cellStyle name="_VC 6.15.06 update on 06GRC power costs.xls Chart 1_Book2_Electric Rev Req Model (2009 GRC) Revised 01-18-2010 2" xfId="5810" xr:uid="{00000000-0005-0000-0000-0000AB160000}"/>
    <cellStyle name="_VC 6.15.06 update on 06GRC power costs.xls Chart 1_Book2_Electric Rev Req Model (2009 GRC) Revised 01-18-2010 2 2" xfId="5811" xr:uid="{00000000-0005-0000-0000-0000AC160000}"/>
    <cellStyle name="_VC 6.15.06 update on 06GRC power costs.xls Chart 1_Book2_Electric Rev Req Model (2009 GRC) Revised 01-18-2010 3" xfId="5812" xr:uid="{00000000-0005-0000-0000-0000AD160000}"/>
    <cellStyle name="_VC 6.15.06 update on 06GRC power costs.xls Chart 1_Book2_Electric Rev Req Model (2009 GRC) Revised 01-18-2010 4" xfId="5813" xr:uid="{00000000-0005-0000-0000-0000AE160000}"/>
    <cellStyle name="_VC 6.15.06 update on 06GRC power costs.xls Chart 1_Book2_Final Order Electric EXHIBIT A-1" xfId="5814" xr:uid="{00000000-0005-0000-0000-0000AF160000}"/>
    <cellStyle name="_VC 6.15.06 update on 06GRC power costs.xls Chart 1_Book2_Final Order Electric EXHIBIT A-1 2" xfId="5815" xr:uid="{00000000-0005-0000-0000-0000B0160000}"/>
    <cellStyle name="_VC 6.15.06 update on 06GRC power costs.xls Chart 1_Book2_Final Order Electric EXHIBIT A-1 2 2" xfId="5816" xr:uid="{00000000-0005-0000-0000-0000B1160000}"/>
    <cellStyle name="_VC 6.15.06 update on 06GRC power costs.xls Chart 1_Book2_Final Order Electric EXHIBIT A-1 3" xfId="5817" xr:uid="{00000000-0005-0000-0000-0000B2160000}"/>
    <cellStyle name="_VC 6.15.06 update on 06GRC power costs.xls Chart 1_Book2_Final Order Electric EXHIBIT A-1 4" xfId="5818" xr:uid="{00000000-0005-0000-0000-0000B3160000}"/>
    <cellStyle name="_VC 6.15.06 update on 06GRC power costs.xls Chart 1_Book4" xfId="5819" xr:uid="{00000000-0005-0000-0000-0000B4160000}"/>
    <cellStyle name="_VC 6.15.06 update on 06GRC power costs.xls Chart 1_Book4 2" xfId="5820" xr:uid="{00000000-0005-0000-0000-0000B5160000}"/>
    <cellStyle name="_VC 6.15.06 update on 06GRC power costs.xls Chart 1_Book4 2 2" xfId="5821" xr:uid="{00000000-0005-0000-0000-0000B6160000}"/>
    <cellStyle name="_VC 6.15.06 update on 06GRC power costs.xls Chart 1_Book4 3" xfId="5822" xr:uid="{00000000-0005-0000-0000-0000B7160000}"/>
    <cellStyle name="_VC 6.15.06 update on 06GRC power costs.xls Chart 1_Book4 4" xfId="5823" xr:uid="{00000000-0005-0000-0000-0000B8160000}"/>
    <cellStyle name="_VC 6.15.06 update on 06GRC power costs.xls Chart 1_Book9" xfId="5824" xr:uid="{00000000-0005-0000-0000-0000B9160000}"/>
    <cellStyle name="_VC 6.15.06 update on 06GRC power costs.xls Chart 1_Book9 2" xfId="5825" xr:uid="{00000000-0005-0000-0000-0000BA160000}"/>
    <cellStyle name="_VC 6.15.06 update on 06GRC power costs.xls Chart 1_Book9 2 2" xfId="5826" xr:uid="{00000000-0005-0000-0000-0000BB160000}"/>
    <cellStyle name="_VC 6.15.06 update on 06GRC power costs.xls Chart 1_Book9 3" xfId="5827" xr:uid="{00000000-0005-0000-0000-0000BC160000}"/>
    <cellStyle name="_VC 6.15.06 update on 06GRC power costs.xls Chart 1_Book9 4" xfId="5828" xr:uid="{00000000-0005-0000-0000-0000BD160000}"/>
    <cellStyle name="_VC 6.15.06 update on 06GRC power costs.xls Chart 1_Chelan PUD Power Costs (8-10)" xfId="5829" xr:uid="{00000000-0005-0000-0000-0000BE160000}"/>
    <cellStyle name="_VC 6.15.06 update on 06GRC power costs.xls Chart 1_Gas Rev Req Model (2010 GRC)" xfId="5830" xr:uid="{00000000-0005-0000-0000-0000BF160000}"/>
    <cellStyle name="_VC 6.15.06 update on 06GRC power costs.xls Chart 1_INPUTS" xfId="5831" xr:uid="{00000000-0005-0000-0000-0000C0160000}"/>
    <cellStyle name="_VC 6.15.06 update on 06GRC power costs.xls Chart 1_INPUTS 2" xfId="5832" xr:uid="{00000000-0005-0000-0000-0000C1160000}"/>
    <cellStyle name="_VC 6.15.06 update on 06GRC power costs.xls Chart 1_INPUTS 2 2" xfId="5833" xr:uid="{00000000-0005-0000-0000-0000C2160000}"/>
    <cellStyle name="_VC 6.15.06 update on 06GRC power costs.xls Chart 1_INPUTS 3" xfId="5834" xr:uid="{00000000-0005-0000-0000-0000C3160000}"/>
    <cellStyle name="_VC 6.15.06 update on 06GRC power costs.xls Chart 1_NIM Summary" xfId="5835" xr:uid="{00000000-0005-0000-0000-0000C4160000}"/>
    <cellStyle name="_VC 6.15.06 update on 06GRC power costs.xls Chart 1_NIM Summary 09GRC" xfId="5836" xr:uid="{00000000-0005-0000-0000-0000C5160000}"/>
    <cellStyle name="_VC 6.15.06 update on 06GRC power costs.xls Chart 1_NIM Summary 09GRC 2" xfId="5837" xr:uid="{00000000-0005-0000-0000-0000C6160000}"/>
    <cellStyle name="_VC 6.15.06 update on 06GRC power costs.xls Chart 1_NIM Summary 2" xfId="5838" xr:uid="{00000000-0005-0000-0000-0000C7160000}"/>
    <cellStyle name="_VC 6.15.06 update on 06GRC power costs.xls Chart 1_NIM Summary 3" xfId="5839" xr:uid="{00000000-0005-0000-0000-0000C8160000}"/>
    <cellStyle name="_VC 6.15.06 update on 06GRC power costs.xls Chart 1_NIM Summary 4" xfId="5840" xr:uid="{00000000-0005-0000-0000-0000C9160000}"/>
    <cellStyle name="_VC 6.15.06 update on 06GRC power costs.xls Chart 1_NIM Summary 5" xfId="5841" xr:uid="{00000000-0005-0000-0000-0000CA160000}"/>
    <cellStyle name="_VC 6.15.06 update on 06GRC power costs.xls Chart 1_NIM Summary 6" xfId="5842" xr:uid="{00000000-0005-0000-0000-0000CB160000}"/>
    <cellStyle name="_VC 6.15.06 update on 06GRC power costs.xls Chart 1_NIM Summary 7" xfId="5843" xr:uid="{00000000-0005-0000-0000-0000CC160000}"/>
    <cellStyle name="_VC 6.15.06 update on 06GRC power costs.xls Chart 1_NIM Summary 8" xfId="5844" xr:uid="{00000000-0005-0000-0000-0000CD160000}"/>
    <cellStyle name="_VC 6.15.06 update on 06GRC power costs.xls Chart 1_NIM Summary 9" xfId="5845" xr:uid="{00000000-0005-0000-0000-0000CE160000}"/>
    <cellStyle name="_VC 6.15.06 update on 06GRC power costs.xls Chart 1_PCA 10 -  Exhibit D from A Kellogg Jan 2011" xfId="5846" xr:uid="{00000000-0005-0000-0000-0000CF160000}"/>
    <cellStyle name="_VC 6.15.06 update on 06GRC power costs.xls Chart 1_PCA 10 -  Exhibit D from A Kellogg July 2011" xfId="5847" xr:uid="{00000000-0005-0000-0000-0000D0160000}"/>
    <cellStyle name="_VC 6.15.06 update on 06GRC power costs.xls Chart 1_PCA 10 -  Exhibit D from S Free Rcv'd 12-11" xfId="5848" xr:uid="{00000000-0005-0000-0000-0000D1160000}"/>
    <cellStyle name="_VC 6.15.06 update on 06GRC power costs.xls Chart 1_PCA 9 -  Exhibit D April 2010" xfId="5849" xr:uid="{00000000-0005-0000-0000-0000D2160000}"/>
    <cellStyle name="_VC 6.15.06 update on 06GRC power costs.xls Chart 1_PCA 9 -  Exhibit D April 2010 (3)" xfId="5850" xr:uid="{00000000-0005-0000-0000-0000D3160000}"/>
    <cellStyle name="_VC 6.15.06 update on 06GRC power costs.xls Chart 1_PCA 9 -  Exhibit D April 2010 (3) 2" xfId="5851" xr:uid="{00000000-0005-0000-0000-0000D4160000}"/>
    <cellStyle name="_VC 6.15.06 update on 06GRC power costs.xls Chart 1_PCA 9 -  Exhibit D April 2010 2" xfId="5852" xr:uid="{00000000-0005-0000-0000-0000D5160000}"/>
    <cellStyle name="_VC 6.15.06 update on 06GRC power costs.xls Chart 1_PCA 9 -  Exhibit D April 2010 3" xfId="5853" xr:uid="{00000000-0005-0000-0000-0000D6160000}"/>
    <cellStyle name="_VC 6.15.06 update on 06GRC power costs.xls Chart 1_PCA 9 -  Exhibit D Nov 2010" xfId="5854" xr:uid="{00000000-0005-0000-0000-0000D7160000}"/>
    <cellStyle name="_VC 6.15.06 update on 06GRC power costs.xls Chart 1_PCA 9 -  Exhibit D Nov 2010 2" xfId="5855" xr:uid="{00000000-0005-0000-0000-0000D8160000}"/>
    <cellStyle name="_VC 6.15.06 update on 06GRC power costs.xls Chart 1_PCA 9 - Exhibit D at August 2010" xfId="5856" xr:uid="{00000000-0005-0000-0000-0000D9160000}"/>
    <cellStyle name="_VC 6.15.06 update on 06GRC power costs.xls Chart 1_PCA 9 - Exhibit D at August 2010 2" xfId="5857" xr:uid="{00000000-0005-0000-0000-0000DA160000}"/>
    <cellStyle name="_VC 6.15.06 update on 06GRC power costs.xls Chart 1_PCA 9 - Exhibit D June 2010 GRC" xfId="5858" xr:uid="{00000000-0005-0000-0000-0000DB160000}"/>
    <cellStyle name="_VC 6.15.06 update on 06GRC power costs.xls Chart 1_PCA 9 - Exhibit D June 2010 GRC 2" xfId="5859" xr:uid="{00000000-0005-0000-0000-0000DC160000}"/>
    <cellStyle name="_VC 6.15.06 update on 06GRC power costs.xls Chart 1_Power Costs - Comparison bx Rbtl-Staff-Jt-PC" xfId="5860" xr:uid="{00000000-0005-0000-0000-0000DD160000}"/>
    <cellStyle name="_VC 6.15.06 update on 06GRC power costs.xls Chart 1_Power Costs - Comparison bx Rbtl-Staff-Jt-PC 2" xfId="5861" xr:uid="{00000000-0005-0000-0000-0000DE160000}"/>
    <cellStyle name="_VC 6.15.06 update on 06GRC power costs.xls Chart 1_Power Costs - Comparison bx Rbtl-Staff-Jt-PC 2 2" xfId="5862" xr:uid="{00000000-0005-0000-0000-0000DF160000}"/>
    <cellStyle name="_VC 6.15.06 update on 06GRC power costs.xls Chart 1_Power Costs - Comparison bx Rbtl-Staff-Jt-PC 3" xfId="5863" xr:uid="{00000000-0005-0000-0000-0000E0160000}"/>
    <cellStyle name="_VC 6.15.06 update on 06GRC power costs.xls Chart 1_Power Costs - Comparison bx Rbtl-Staff-Jt-PC 4" xfId="5864" xr:uid="{00000000-0005-0000-0000-0000E1160000}"/>
    <cellStyle name="_VC 6.15.06 update on 06GRC power costs.xls Chart 1_Power Costs - Comparison bx Rbtl-Staff-Jt-PC_Adj Bench DR 3 for Initial Briefs (Electric)" xfId="5865" xr:uid="{00000000-0005-0000-0000-0000E2160000}"/>
    <cellStyle name="_VC 6.15.06 update on 06GRC power costs.xls Chart 1_Power Costs - Comparison bx Rbtl-Staff-Jt-PC_Adj Bench DR 3 for Initial Briefs (Electric) 2" xfId="5866" xr:uid="{00000000-0005-0000-0000-0000E3160000}"/>
    <cellStyle name="_VC 6.15.06 update on 06GRC power costs.xls Chart 1_Power Costs - Comparison bx Rbtl-Staff-Jt-PC_Adj Bench DR 3 for Initial Briefs (Electric) 2 2" xfId="5867" xr:uid="{00000000-0005-0000-0000-0000E4160000}"/>
    <cellStyle name="_VC 6.15.06 update on 06GRC power costs.xls Chart 1_Power Costs - Comparison bx Rbtl-Staff-Jt-PC_Adj Bench DR 3 for Initial Briefs (Electric) 3" xfId="5868" xr:uid="{00000000-0005-0000-0000-0000E5160000}"/>
    <cellStyle name="_VC 6.15.06 update on 06GRC power costs.xls Chart 1_Power Costs - Comparison bx Rbtl-Staff-Jt-PC_Adj Bench DR 3 for Initial Briefs (Electric) 4" xfId="5869" xr:uid="{00000000-0005-0000-0000-0000E6160000}"/>
    <cellStyle name="_VC 6.15.06 update on 06GRC power costs.xls Chart 1_Power Costs - Comparison bx Rbtl-Staff-Jt-PC_Electric Rev Req Model (2009 GRC) Rebuttal" xfId="5870" xr:uid="{00000000-0005-0000-0000-0000E7160000}"/>
    <cellStyle name="_VC 6.15.06 update on 06GRC power costs.xls Chart 1_Power Costs - Comparison bx Rbtl-Staff-Jt-PC_Electric Rev Req Model (2009 GRC) Rebuttal 2" xfId="5871" xr:uid="{00000000-0005-0000-0000-0000E8160000}"/>
    <cellStyle name="_VC 6.15.06 update on 06GRC power costs.xls Chart 1_Power Costs - Comparison bx Rbtl-Staff-Jt-PC_Electric Rev Req Model (2009 GRC) Rebuttal 2 2" xfId="5872" xr:uid="{00000000-0005-0000-0000-0000E9160000}"/>
    <cellStyle name="_VC 6.15.06 update on 06GRC power costs.xls Chart 1_Power Costs - Comparison bx Rbtl-Staff-Jt-PC_Electric Rev Req Model (2009 GRC) Rebuttal 3" xfId="5873" xr:uid="{00000000-0005-0000-0000-0000EA160000}"/>
    <cellStyle name="_VC 6.15.06 update on 06GRC power costs.xls Chart 1_Power Costs - Comparison bx Rbtl-Staff-Jt-PC_Electric Rev Req Model (2009 GRC) Rebuttal 4" xfId="5874" xr:uid="{00000000-0005-0000-0000-0000EB160000}"/>
    <cellStyle name="_VC 6.15.06 update on 06GRC power costs.xls Chart 1_Power Costs - Comparison bx Rbtl-Staff-Jt-PC_Electric Rev Req Model (2009 GRC) Rebuttal REmoval of New  WH Solar AdjustMI" xfId="5875" xr:uid="{00000000-0005-0000-0000-0000EC160000}"/>
    <cellStyle name="_VC 6.15.06 update on 06GRC power costs.xls Chart 1_Power Costs - Comparison bx Rbtl-Staff-Jt-PC_Electric Rev Req Model (2009 GRC) Rebuttal REmoval of New  WH Solar AdjustMI 2" xfId="5876" xr:uid="{00000000-0005-0000-0000-0000ED160000}"/>
    <cellStyle name="_VC 6.15.06 update on 06GRC power costs.xls Chart 1_Power Costs - Comparison bx Rbtl-Staff-Jt-PC_Electric Rev Req Model (2009 GRC) Rebuttal REmoval of New  WH Solar AdjustMI 2 2" xfId="5877" xr:uid="{00000000-0005-0000-0000-0000EE160000}"/>
    <cellStyle name="_VC 6.15.06 update on 06GRC power costs.xls Chart 1_Power Costs - Comparison bx Rbtl-Staff-Jt-PC_Electric Rev Req Model (2009 GRC) Rebuttal REmoval of New  WH Solar AdjustMI 3" xfId="5878" xr:uid="{00000000-0005-0000-0000-0000EF160000}"/>
    <cellStyle name="_VC 6.15.06 update on 06GRC power costs.xls Chart 1_Power Costs - Comparison bx Rbtl-Staff-Jt-PC_Electric Rev Req Model (2009 GRC) Rebuttal REmoval of New  WH Solar AdjustMI 4" xfId="5879" xr:uid="{00000000-0005-0000-0000-0000F0160000}"/>
    <cellStyle name="_VC 6.15.06 update on 06GRC power costs.xls Chart 1_Power Costs - Comparison bx Rbtl-Staff-Jt-PC_Electric Rev Req Model (2009 GRC) Revised 01-18-2010" xfId="5880" xr:uid="{00000000-0005-0000-0000-0000F1160000}"/>
    <cellStyle name="_VC 6.15.06 update on 06GRC power costs.xls Chart 1_Power Costs - Comparison bx Rbtl-Staff-Jt-PC_Electric Rev Req Model (2009 GRC) Revised 01-18-2010 2" xfId="5881" xr:uid="{00000000-0005-0000-0000-0000F2160000}"/>
    <cellStyle name="_VC 6.15.06 update on 06GRC power costs.xls Chart 1_Power Costs - Comparison bx Rbtl-Staff-Jt-PC_Electric Rev Req Model (2009 GRC) Revised 01-18-2010 2 2" xfId="5882" xr:uid="{00000000-0005-0000-0000-0000F3160000}"/>
    <cellStyle name="_VC 6.15.06 update on 06GRC power costs.xls Chart 1_Power Costs - Comparison bx Rbtl-Staff-Jt-PC_Electric Rev Req Model (2009 GRC) Revised 01-18-2010 3" xfId="5883" xr:uid="{00000000-0005-0000-0000-0000F4160000}"/>
    <cellStyle name="_VC 6.15.06 update on 06GRC power costs.xls Chart 1_Power Costs - Comparison bx Rbtl-Staff-Jt-PC_Electric Rev Req Model (2009 GRC) Revised 01-18-2010 4" xfId="5884" xr:uid="{00000000-0005-0000-0000-0000F5160000}"/>
    <cellStyle name="_VC 6.15.06 update on 06GRC power costs.xls Chart 1_Power Costs - Comparison bx Rbtl-Staff-Jt-PC_Final Order Electric EXHIBIT A-1" xfId="5885" xr:uid="{00000000-0005-0000-0000-0000F6160000}"/>
    <cellStyle name="_VC 6.15.06 update on 06GRC power costs.xls Chart 1_Power Costs - Comparison bx Rbtl-Staff-Jt-PC_Final Order Electric EXHIBIT A-1 2" xfId="5886" xr:uid="{00000000-0005-0000-0000-0000F7160000}"/>
    <cellStyle name="_VC 6.15.06 update on 06GRC power costs.xls Chart 1_Power Costs - Comparison bx Rbtl-Staff-Jt-PC_Final Order Electric EXHIBIT A-1 2 2" xfId="5887" xr:uid="{00000000-0005-0000-0000-0000F8160000}"/>
    <cellStyle name="_VC 6.15.06 update on 06GRC power costs.xls Chart 1_Power Costs - Comparison bx Rbtl-Staff-Jt-PC_Final Order Electric EXHIBIT A-1 3" xfId="5888" xr:uid="{00000000-0005-0000-0000-0000F9160000}"/>
    <cellStyle name="_VC 6.15.06 update on 06GRC power costs.xls Chart 1_Power Costs - Comparison bx Rbtl-Staff-Jt-PC_Final Order Electric EXHIBIT A-1 4" xfId="5889" xr:uid="{00000000-0005-0000-0000-0000FA160000}"/>
    <cellStyle name="_VC 6.15.06 update on 06GRC power costs.xls Chart 1_Production Adj 4.37" xfId="5890" xr:uid="{00000000-0005-0000-0000-0000FB160000}"/>
    <cellStyle name="_VC 6.15.06 update on 06GRC power costs.xls Chart 1_Production Adj 4.37 2" xfId="5891" xr:uid="{00000000-0005-0000-0000-0000FC160000}"/>
    <cellStyle name="_VC 6.15.06 update on 06GRC power costs.xls Chart 1_Production Adj 4.37 2 2" xfId="5892" xr:uid="{00000000-0005-0000-0000-0000FD160000}"/>
    <cellStyle name="_VC 6.15.06 update on 06GRC power costs.xls Chart 1_Production Adj 4.37 3" xfId="5893" xr:uid="{00000000-0005-0000-0000-0000FE160000}"/>
    <cellStyle name="_VC 6.15.06 update on 06GRC power costs.xls Chart 1_Purchased Power Adj 4.03" xfId="5894" xr:uid="{00000000-0005-0000-0000-0000FF160000}"/>
    <cellStyle name="_VC 6.15.06 update on 06GRC power costs.xls Chart 1_Purchased Power Adj 4.03 2" xfId="5895" xr:uid="{00000000-0005-0000-0000-000000170000}"/>
    <cellStyle name="_VC 6.15.06 update on 06GRC power costs.xls Chart 1_Purchased Power Adj 4.03 2 2" xfId="5896" xr:uid="{00000000-0005-0000-0000-000001170000}"/>
    <cellStyle name="_VC 6.15.06 update on 06GRC power costs.xls Chart 1_Purchased Power Adj 4.03 3" xfId="5897" xr:uid="{00000000-0005-0000-0000-000002170000}"/>
    <cellStyle name="_VC 6.15.06 update on 06GRC power costs.xls Chart 1_Rebuttal Power Costs" xfId="5898" xr:uid="{00000000-0005-0000-0000-000003170000}"/>
    <cellStyle name="_VC 6.15.06 update on 06GRC power costs.xls Chart 1_Rebuttal Power Costs 2" xfId="5899" xr:uid="{00000000-0005-0000-0000-000004170000}"/>
    <cellStyle name="_VC 6.15.06 update on 06GRC power costs.xls Chart 1_Rebuttal Power Costs 2 2" xfId="5900" xr:uid="{00000000-0005-0000-0000-000005170000}"/>
    <cellStyle name="_VC 6.15.06 update on 06GRC power costs.xls Chart 1_Rebuttal Power Costs 3" xfId="5901" xr:uid="{00000000-0005-0000-0000-000006170000}"/>
    <cellStyle name="_VC 6.15.06 update on 06GRC power costs.xls Chart 1_Rebuttal Power Costs 4" xfId="5902" xr:uid="{00000000-0005-0000-0000-000007170000}"/>
    <cellStyle name="_VC 6.15.06 update on 06GRC power costs.xls Chart 1_Rebuttal Power Costs_Adj Bench DR 3 for Initial Briefs (Electric)" xfId="5903" xr:uid="{00000000-0005-0000-0000-000008170000}"/>
    <cellStyle name="_VC 6.15.06 update on 06GRC power costs.xls Chart 1_Rebuttal Power Costs_Adj Bench DR 3 for Initial Briefs (Electric) 2" xfId="5904" xr:uid="{00000000-0005-0000-0000-000009170000}"/>
    <cellStyle name="_VC 6.15.06 update on 06GRC power costs.xls Chart 1_Rebuttal Power Costs_Adj Bench DR 3 for Initial Briefs (Electric) 2 2" xfId="5905" xr:uid="{00000000-0005-0000-0000-00000A170000}"/>
    <cellStyle name="_VC 6.15.06 update on 06GRC power costs.xls Chart 1_Rebuttal Power Costs_Adj Bench DR 3 for Initial Briefs (Electric) 3" xfId="5906" xr:uid="{00000000-0005-0000-0000-00000B170000}"/>
    <cellStyle name="_VC 6.15.06 update on 06GRC power costs.xls Chart 1_Rebuttal Power Costs_Adj Bench DR 3 for Initial Briefs (Electric) 4" xfId="5907" xr:uid="{00000000-0005-0000-0000-00000C170000}"/>
    <cellStyle name="_VC 6.15.06 update on 06GRC power costs.xls Chart 1_Rebuttal Power Costs_Electric Rev Req Model (2009 GRC) Rebuttal" xfId="5908" xr:uid="{00000000-0005-0000-0000-00000D170000}"/>
    <cellStyle name="_VC 6.15.06 update on 06GRC power costs.xls Chart 1_Rebuttal Power Costs_Electric Rev Req Model (2009 GRC) Rebuttal 2" xfId="5909" xr:uid="{00000000-0005-0000-0000-00000E170000}"/>
    <cellStyle name="_VC 6.15.06 update on 06GRC power costs.xls Chart 1_Rebuttal Power Costs_Electric Rev Req Model (2009 GRC) Rebuttal 2 2" xfId="5910" xr:uid="{00000000-0005-0000-0000-00000F170000}"/>
    <cellStyle name="_VC 6.15.06 update on 06GRC power costs.xls Chart 1_Rebuttal Power Costs_Electric Rev Req Model (2009 GRC) Rebuttal 3" xfId="5911" xr:uid="{00000000-0005-0000-0000-000010170000}"/>
    <cellStyle name="_VC 6.15.06 update on 06GRC power costs.xls Chart 1_Rebuttal Power Costs_Electric Rev Req Model (2009 GRC) Rebuttal 4" xfId="5912" xr:uid="{00000000-0005-0000-0000-000011170000}"/>
    <cellStyle name="_VC 6.15.06 update on 06GRC power costs.xls Chart 1_Rebuttal Power Costs_Electric Rev Req Model (2009 GRC) Rebuttal REmoval of New  WH Solar AdjustMI" xfId="5913" xr:uid="{00000000-0005-0000-0000-000012170000}"/>
    <cellStyle name="_VC 6.15.06 update on 06GRC power costs.xls Chart 1_Rebuttal Power Costs_Electric Rev Req Model (2009 GRC) Rebuttal REmoval of New  WH Solar AdjustMI 2" xfId="5914" xr:uid="{00000000-0005-0000-0000-000013170000}"/>
    <cellStyle name="_VC 6.15.06 update on 06GRC power costs.xls Chart 1_Rebuttal Power Costs_Electric Rev Req Model (2009 GRC) Rebuttal REmoval of New  WH Solar AdjustMI 2 2" xfId="5915" xr:uid="{00000000-0005-0000-0000-000014170000}"/>
    <cellStyle name="_VC 6.15.06 update on 06GRC power costs.xls Chart 1_Rebuttal Power Costs_Electric Rev Req Model (2009 GRC) Rebuttal REmoval of New  WH Solar AdjustMI 3" xfId="5916" xr:uid="{00000000-0005-0000-0000-000015170000}"/>
    <cellStyle name="_VC 6.15.06 update on 06GRC power costs.xls Chart 1_Rebuttal Power Costs_Electric Rev Req Model (2009 GRC) Rebuttal REmoval of New  WH Solar AdjustMI 4" xfId="5917" xr:uid="{00000000-0005-0000-0000-000016170000}"/>
    <cellStyle name="_VC 6.15.06 update on 06GRC power costs.xls Chart 1_Rebuttal Power Costs_Electric Rev Req Model (2009 GRC) Revised 01-18-2010" xfId="5918" xr:uid="{00000000-0005-0000-0000-000017170000}"/>
    <cellStyle name="_VC 6.15.06 update on 06GRC power costs.xls Chart 1_Rebuttal Power Costs_Electric Rev Req Model (2009 GRC) Revised 01-18-2010 2" xfId="5919" xr:uid="{00000000-0005-0000-0000-000018170000}"/>
    <cellStyle name="_VC 6.15.06 update on 06GRC power costs.xls Chart 1_Rebuttal Power Costs_Electric Rev Req Model (2009 GRC) Revised 01-18-2010 2 2" xfId="5920" xr:uid="{00000000-0005-0000-0000-000019170000}"/>
    <cellStyle name="_VC 6.15.06 update on 06GRC power costs.xls Chart 1_Rebuttal Power Costs_Electric Rev Req Model (2009 GRC) Revised 01-18-2010 3" xfId="5921" xr:uid="{00000000-0005-0000-0000-00001A170000}"/>
    <cellStyle name="_VC 6.15.06 update on 06GRC power costs.xls Chart 1_Rebuttal Power Costs_Electric Rev Req Model (2009 GRC) Revised 01-18-2010 4" xfId="5922" xr:uid="{00000000-0005-0000-0000-00001B170000}"/>
    <cellStyle name="_VC 6.15.06 update on 06GRC power costs.xls Chart 1_Rebuttal Power Costs_Final Order Electric EXHIBIT A-1" xfId="5923" xr:uid="{00000000-0005-0000-0000-00001C170000}"/>
    <cellStyle name="_VC 6.15.06 update on 06GRC power costs.xls Chart 1_Rebuttal Power Costs_Final Order Electric EXHIBIT A-1 2" xfId="5924" xr:uid="{00000000-0005-0000-0000-00001D170000}"/>
    <cellStyle name="_VC 6.15.06 update on 06GRC power costs.xls Chart 1_Rebuttal Power Costs_Final Order Electric EXHIBIT A-1 2 2" xfId="5925" xr:uid="{00000000-0005-0000-0000-00001E170000}"/>
    <cellStyle name="_VC 6.15.06 update on 06GRC power costs.xls Chart 1_Rebuttal Power Costs_Final Order Electric EXHIBIT A-1 3" xfId="5926" xr:uid="{00000000-0005-0000-0000-00001F170000}"/>
    <cellStyle name="_VC 6.15.06 update on 06GRC power costs.xls Chart 1_Rebuttal Power Costs_Final Order Electric EXHIBIT A-1 4" xfId="5927" xr:uid="{00000000-0005-0000-0000-000020170000}"/>
    <cellStyle name="_VC 6.15.06 update on 06GRC power costs.xls Chart 1_ROR &amp; CONV FACTOR" xfId="5928" xr:uid="{00000000-0005-0000-0000-000021170000}"/>
    <cellStyle name="_VC 6.15.06 update on 06GRC power costs.xls Chart 1_ROR &amp; CONV FACTOR 2" xfId="5929" xr:uid="{00000000-0005-0000-0000-000022170000}"/>
    <cellStyle name="_VC 6.15.06 update on 06GRC power costs.xls Chart 1_ROR &amp; CONV FACTOR 2 2" xfId="5930" xr:uid="{00000000-0005-0000-0000-000023170000}"/>
    <cellStyle name="_VC 6.15.06 update on 06GRC power costs.xls Chart 1_ROR &amp; CONV FACTOR 3" xfId="5931" xr:uid="{00000000-0005-0000-0000-000024170000}"/>
    <cellStyle name="_VC 6.15.06 update on 06GRC power costs.xls Chart 1_ROR 5.02" xfId="5932" xr:uid="{00000000-0005-0000-0000-000025170000}"/>
    <cellStyle name="_VC 6.15.06 update on 06GRC power costs.xls Chart 1_ROR 5.02 2" xfId="5933" xr:uid="{00000000-0005-0000-0000-000026170000}"/>
    <cellStyle name="_VC 6.15.06 update on 06GRC power costs.xls Chart 1_ROR 5.02 2 2" xfId="5934" xr:uid="{00000000-0005-0000-0000-000027170000}"/>
    <cellStyle name="_VC 6.15.06 update on 06GRC power costs.xls Chart 1_ROR 5.02 3" xfId="5935" xr:uid="{00000000-0005-0000-0000-000028170000}"/>
    <cellStyle name="_VC 6.15.06 update on 06GRC power costs.xls Chart 1_Wind Integration 10GRC" xfId="5936" xr:uid="{00000000-0005-0000-0000-000029170000}"/>
    <cellStyle name="_VC 6.15.06 update on 06GRC power costs.xls Chart 1_Wind Integration 10GRC 2" xfId="5937" xr:uid="{00000000-0005-0000-0000-00002A170000}"/>
    <cellStyle name="_VC 6.15.06 update on 06GRC power costs.xls Chart 2" xfId="5938" xr:uid="{00000000-0005-0000-0000-00002B170000}"/>
    <cellStyle name="_VC 6.15.06 update on 06GRC power costs.xls Chart 2 2" xfId="5939" xr:uid="{00000000-0005-0000-0000-00002C170000}"/>
    <cellStyle name="_VC 6.15.06 update on 06GRC power costs.xls Chart 2 2 2" xfId="5940" xr:uid="{00000000-0005-0000-0000-00002D170000}"/>
    <cellStyle name="_VC 6.15.06 update on 06GRC power costs.xls Chart 2 2 2 2" xfId="5941" xr:uid="{00000000-0005-0000-0000-00002E170000}"/>
    <cellStyle name="_VC 6.15.06 update on 06GRC power costs.xls Chart 2 2 3" xfId="5942" xr:uid="{00000000-0005-0000-0000-00002F170000}"/>
    <cellStyle name="_VC 6.15.06 update on 06GRC power costs.xls Chart 2 3" xfId="5943" xr:uid="{00000000-0005-0000-0000-000030170000}"/>
    <cellStyle name="_VC 6.15.06 update on 06GRC power costs.xls Chart 2 3 2" xfId="5944" xr:uid="{00000000-0005-0000-0000-000031170000}"/>
    <cellStyle name="_VC 6.15.06 update on 06GRC power costs.xls Chart 2 3 2 2" xfId="5945" xr:uid="{00000000-0005-0000-0000-000032170000}"/>
    <cellStyle name="_VC 6.15.06 update on 06GRC power costs.xls Chart 2 3 3" xfId="5946" xr:uid="{00000000-0005-0000-0000-000033170000}"/>
    <cellStyle name="_VC 6.15.06 update on 06GRC power costs.xls Chart 2 3 3 2" xfId="5947" xr:uid="{00000000-0005-0000-0000-000034170000}"/>
    <cellStyle name="_VC 6.15.06 update on 06GRC power costs.xls Chart 2 3 4" xfId="5948" xr:uid="{00000000-0005-0000-0000-000035170000}"/>
    <cellStyle name="_VC 6.15.06 update on 06GRC power costs.xls Chart 2 3 4 2" xfId="5949" xr:uid="{00000000-0005-0000-0000-000036170000}"/>
    <cellStyle name="_VC 6.15.06 update on 06GRC power costs.xls Chart 2 4" xfId="5950" xr:uid="{00000000-0005-0000-0000-000037170000}"/>
    <cellStyle name="_VC 6.15.06 update on 06GRC power costs.xls Chart 2 4 2" xfId="5951" xr:uid="{00000000-0005-0000-0000-000038170000}"/>
    <cellStyle name="_VC 6.15.06 update on 06GRC power costs.xls Chart 2 5" xfId="5952" xr:uid="{00000000-0005-0000-0000-000039170000}"/>
    <cellStyle name="_VC 6.15.06 update on 06GRC power costs.xls Chart 2 6" xfId="5953" xr:uid="{00000000-0005-0000-0000-00003A170000}"/>
    <cellStyle name="_VC 6.15.06 update on 06GRC power costs.xls Chart 2 7" xfId="5954" xr:uid="{00000000-0005-0000-0000-00003B170000}"/>
    <cellStyle name="_VC 6.15.06 update on 06GRC power costs.xls Chart 2_04 07E Wild Horse Wind Expansion (C) (2)" xfId="5955" xr:uid="{00000000-0005-0000-0000-00003C170000}"/>
    <cellStyle name="_VC 6.15.06 update on 06GRC power costs.xls Chart 2_04 07E Wild Horse Wind Expansion (C) (2) 2" xfId="5956" xr:uid="{00000000-0005-0000-0000-00003D170000}"/>
    <cellStyle name="_VC 6.15.06 update on 06GRC power costs.xls Chart 2_04 07E Wild Horse Wind Expansion (C) (2) 2 2" xfId="5957" xr:uid="{00000000-0005-0000-0000-00003E170000}"/>
    <cellStyle name="_VC 6.15.06 update on 06GRC power costs.xls Chart 2_04 07E Wild Horse Wind Expansion (C) (2) 3" xfId="5958" xr:uid="{00000000-0005-0000-0000-00003F170000}"/>
    <cellStyle name="_VC 6.15.06 update on 06GRC power costs.xls Chart 2_04 07E Wild Horse Wind Expansion (C) (2) 4" xfId="5959" xr:uid="{00000000-0005-0000-0000-000040170000}"/>
    <cellStyle name="_VC 6.15.06 update on 06GRC power costs.xls Chart 2_04 07E Wild Horse Wind Expansion (C) (2)_Adj Bench DR 3 for Initial Briefs (Electric)" xfId="5960" xr:uid="{00000000-0005-0000-0000-000041170000}"/>
    <cellStyle name="_VC 6.15.06 update on 06GRC power costs.xls Chart 2_04 07E Wild Horse Wind Expansion (C) (2)_Adj Bench DR 3 for Initial Briefs (Electric) 2" xfId="5961" xr:uid="{00000000-0005-0000-0000-000042170000}"/>
    <cellStyle name="_VC 6.15.06 update on 06GRC power costs.xls Chart 2_04 07E Wild Horse Wind Expansion (C) (2)_Adj Bench DR 3 for Initial Briefs (Electric) 2 2" xfId="5962" xr:uid="{00000000-0005-0000-0000-000043170000}"/>
    <cellStyle name="_VC 6.15.06 update on 06GRC power costs.xls Chart 2_04 07E Wild Horse Wind Expansion (C) (2)_Adj Bench DR 3 for Initial Briefs (Electric) 3" xfId="5963" xr:uid="{00000000-0005-0000-0000-000044170000}"/>
    <cellStyle name="_VC 6.15.06 update on 06GRC power costs.xls Chart 2_04 07E Wild Horse Wind Expansion (C) (2)_Adj Bench DR 3 for Initial Briefs (Electric) 4" xfId="5964" xr:uid="{00000000-0005-0000-0000-000045170000}"/>
    <cellStyle name="_VC 6.15.06 update on 06GRC power costs.xls Chart 2_04 07E Wild Horse Wind Expansion (C) (2)_Book1" xfId="5965" xr:uid="{00000000-0005-0000-0000-000046170000}"/>
    <cellStyle name="_VC 6.15.06 update on 06GRC power costs.xls Chart 2_04 07E Wild Horse Wind Expansion (C) (2)_Electric Rev Req Model (2009 GRC) " xfId="5966" xr:uid="{00000000-0005-0000-0000-000047170000}"/>
    <cellStyle name="_VC 6.15.06 update on 06GRC power costs.xls Chart 2_04 07E Wild Horse Wind Expansion (C) (2)_Electric Rev Req Model (2009 GRC)  2" xfId="5967" xr:uid="{00000000-0005-0000-0000-000048170000}"/>
    <cellStyle name="_VC 6.15.06 update on 06GRC power costs.xls Chart 2_04 07E Wild Horse Wind Expansion (C) (2)_Electric Rev Req Model (2009 GRC)  2 2" xfId="5968" xr:uid="{00000000-0005-0000-0000-000049170000}"/>
    <cellStyle name="_VC 6.15.06 update on 06GRC power costs.xls Chart 2_04 07E Wild Horse Wind Expansion (C) (2)_Electric Rev Req Model (2009 GRC)  3" xfId="5969" xr:uid="{00000000-0005-0000-0000-00004A170000}"/>
    <cellStyle name="_VC 6.15.06 update on 06GRC power costs.xls Chart 2_04 07E Wild Horse Wind Expansion (C) (2)_Electric Rev Req Model (2009 GRC)  4" xfId="5970" xr:uid="{00000000-0005-0000-0000-00004B170000}"/>
    <cellStyle name="_VC 6.15.06 update on 06GRC power costs.xls Chart 2_04 07E Wild Horse Wind Expansion (C) (2)_Electric Rev Req Model (2009 GRC) Rebuttal" xfId="5971" xr:uid="{00000000-0005-0000-0000-00004C170000}"/>
    <cellStyle name="_VC 6.15.06 update on 06GRC power costs.xls Chart 2_04 07E Wild Horse Wind Expansion (C) (2)_Electric Rev Req Model (2009 GRC) Rebuttal 2" xfId="5972" xr:uid="{00000000-0005-0000-0000-00004D170000}"/>
    <cellStyle name="_VC 6.15.06 update on 06GRC power costs.xls Chart 2_04 07E Wild Horse Wind Expansion (C) (2)_Electric Rev Req Model (2009 GRC) Rebuttal 2 2" xfId="5973" xr:uid="{00000000-0005-0000-0000-00004E170000}"/>
    <cellStyle name="_VC 6.15.06 update on 06GRC power costs.xls Chart 2_04 07E Wild Horse Wind Expansion (C) (2)_Electric Rev Req Model (2009 GRC) Rebuttal 3" xfId="5974" xr:uid="{00000000-0005-0000-0000-00004F170000}"/>
    <cellStyle name="_VC 6.15.06 update on 06GRC power costs.xls Chart 2_04 07E Wild Horse Wind Expansion (C) (2)_Electric Rev Req Model (2009 GRC) Rebuttal 4" xfId="5975" xr:uid="{00000000-0005-0000-0000-000050170000}"/>
    <cellStyle name="_VC 6.15.06 update on 06GRC power costs.xls Chart 2_04 07E Wild Horse Wind Expansion (C) (2)_Electric Rev Req Model (2009 GRC) Rebuttal REmoval of New  WH Solar AdjustMI" xfId="5976" xr:uid="{00000000-0005-0000-0000-000051170000}"/>
    <cellStyle name="_VC 6.15.06 update on 06GRC power costs.xls Chart 2_04 07E Wild Horse Wind Expansion (C) (2)_Electric Rev Req Model (2009 GRC) Rebuttal REmoval of New  WH Solar AdjustMI 2" xfId="5977" xr:uid="{00000000-0005-0000-0000-000052170000}"/>
    <cellStyle name="_VC 6.15.06 update on 06GRC power costs.xls Chart 2_04 07E Wild Horse Wind Expansion (C) (2)_Electric Rev Req Model (2009 GRC) Rebuttal REmoval of New  WH Solar AdjustMI 2 2" xfId="5978" xr:uid="{00000000-0005-0000-0000-000053170000}"/>
    <cellStyle name="_VC 6.15.06 update on 06GRC power costs.xls Chart 2_04 07E Wild Horse Wind Expansion (C) (2)_Electric Rev Req Model (2009 GRC) Rebuttal REmoval of New  WH Solar AdjustMI 3" xfId="5979" xr:uid="{00000000-0005-0000-0000-000054170000}"/>
    <cellStyle name="_VC 6.15.06 update on 06GRC power costs.xls Chart 2_04 07E Wild Horse Wind Expansion (C) (2)_Electric Rev Req Model (2009 GRC) Rebuttal REmoval of New  WH Solar AdjustMI 4" xfId="5980" xr:uid="{00000000-0005-0000-0000-000055170000}"/>
    <cellStyle name="_VC 6.15.06 update on 06GRC power costs.xls Chart 2_04 07E Wild Horse Wind Expansion (C) (2)_Electric Rev Req Model (2009 GRC) Revised 01-18-2010" xfId="5981" xr:uid="{00000000-0005-0000-0000-000056170000}"/>
    <cellStyle name="_VC 6.15.06 update on 06GRC power costs.xls Chart 2_04 07E Wild Horse Wind Expansion (C) (2)_Electric Rev Req Model (2009 GRC) Revised 01-18-2010 2" xfId="5982" xr:uid="{00000000-0005-0000-0000-000057170000}"/>
    <cellStyle name="_VC 6.15.06 update on 06GRC power costs.xls Chart 2_04 07E Wild Horse Wind Expansion (C) (2)_Electric Rev Req Model (2009 GRC) Revised 01-18-2010 2 2" xfId="5983" xr:uid="{00000000-0005-0000-0000-000058170000}"/>
    <cellStyle name="_VC 6.15.06 update on 06GRC power costs.xls Chart 2_04 07E Wild Horse Wind Expansion (C) (2)_Electric Rev Req Model (2009 GRC) Revised 01-18-2010 3" xfId="5984" xr:uid="{00000000-0005-0000-0000-000059170000}"/>
    <cellStyle name="_VC 6.15.06 update on 06GRC power costs.xls Chart 2_04 07E Wild Horse Wind Expansion (C) (2)_Electric Rev Req Model (2009 GRC) Revised 01-18-2010 4" xfId="5985" xr:uid="{00000000-0005-0000-0000-00005A170000}"/>
    <cellStyle name="_VC 6.15.06 update on 06GRC power costs.xls Chart 2_04 07E Wild Horse Wind Expansion (C) (2)_Electric Rev Req Model (2010 GRC)" xfId="5986" xr:uid="{00000000-0005-0000-0000-00005B170000}"/>
    <cellStyle name="_VC 6.15.06 update on 06GRC power costs.xls Chart 2_04 07E Wild Horse Wind Expansion (C) (2)_Electric Rev Req Model (2010 GRC) SF" xfId="5987" xr:uid="{00000000-0005-0000-0000-00005C170000}"/>
    <cellStyle name="_VC 6.15.06 update on 06GRC power costs.xls Chart 2_04 07E Wild Horse Wind Expansion (C) (2)_Final Order Electric EXHIBIT A-1" xfId="5988" xr:uid="{00000000-0005-0000-0000-00005D170000}"/>
    <cellStyle name="_VC 6.15.06 update on 06GRC power costs.xls Chart 2_04 07E Wild Horse Wind Expansion (C) (2)_Final Order Electric EXHIBIT A-1 2" xfId="5989" xr:uid="{00000000-0005-0000-0000-00005E170000}"/>
    <cellStyle name="_VC 6.15.06 update on 06GRC power costs.xls Chart 2_04 07E Wild Horse Wind Expansion (C) (2)_Final Order Electric EXHIBIT A-1 2 2" xfId="5990" xr:uid="{00000000-0005-0000-0000-00005F170000}"/>
    <cellStyle name="_VC 6.15.06 update on 06GRC power costs.xls Chart 2_04 07E Wild Horse Wind Expansion (C) (2)_Final Order Electric EXHIBIT A-1 3" xfId="5991" xr:uid="{00000000-0005-0000-0000-000060170000}"/>
    <cellStyle name="_VC 6.15.06 update on 06GRC power costs.xls Chart 2_04 07E Wild Horse Wind Expansion (C) (2)_Final Order Electric EXHIBIT A-1 4" xfId="5992" xr:uid="{00000000-0005-0000-0000-000061170000}"/>
    <cellStyle name="_VC 6.15.06 update on 06GRC power costs.xls Chart 2_04 07E Wild Horse Wind Expansion (C) (2)_TENASKA REGULATORY ASSET" xfId="5993" xr:uid="{00000000-0005-0000-0000-000062170000}"/>
    <cellStyle name="_VC 6.15.06 update on 06GRC power costs.xls Chart 2_04 07E Wild Horse Wind Expansion (C) (2)_TENASKA REGULATORY ASSET 2" xfId="5994" xr:uid="{00000000-0005-0000-0000-000063170000}"/>
    <cellStyle name="_VC 6.15.06 update on 06GRC power costs.xls Chart 2_04 07E Wild Horse Wind Expansion (C) (2)_TENASKA REGULATORY ASSET 2 2" xfId="5995" xr:uid="{00000000-0005-0000-0000-000064170000}"/>
    <cellStyle name="_VC 6.15.06 update on 06GRC power costs.xls Chart 2_04 07E Wild Horse Wind Expansion (C) (2)_TENASKA REGULATORY ASSET 3" xfId="5996" xr:uid="{00000000-0005-0000-0000-000065170000}"/>
    <cellStyle name="_VC 6.15.06 update on 06GRC power costs.xls Chart 2_04 07E Wild Horse Wind Expansion (C) (2)_TENASKA REGULATORY ASSET 4" xfId="5997" xr:uid="{00000000-0005-0000-0000-000066170000}"/>
    <cellStyle name="_VC 6.15.06 update on 06GRC power costs.xls Chart 2_16.37E Wild Horse Expansion DeferralRevwrkingfile SF" xfId="5998" xr:uid="{00000000-0005-0000-0000-000067170000}"/>
    <cellStyle name="_VC 6.15.06 update on 06GRC power costs.xls Chart 2_16.37E Wild Horse Expansion DeferralRevwrkingfile SF 2" xfId="5999" xr:uid="{00000000-0005-0000-0000-000068170000}"/>
    <cellStyle name="_VC 6.15.06 update on 06GRC power costs.xls Chart 2_16.37E Wild Horse Expansion DeferralRevwrkingfile SF 2 2" xfId="6000" xr:uid="{00000000-0005-0000-0000-000069170000}"/>
    <cellStyle name="_VC 6.15.06 update on 06GRC power costs.xls Chart 2_16.37E Wild Horse Expansion DeferralRevwrkingfile SF 3" xfId="6001" xr:uid="{00000000-0005-0000-0000-00006A170000}"/>
    <cellStyle name="_VC 6.15.06 update on 06GRC power costs.xls Chart 2_16.37E Wild Horse Expansion DeferralRevwrkingfile SF 4" xfId="6002" xr:uid="{00000000-0005-0000-0000-00006B170000}"/>
    <cellStyle name="_VC 6.15.06 update on 06GRC power costs.xls Chart 2_2009 Compliance Filing PCA Exhibits for GRC" xfId="6003" xr:uid="{00000000-0005-0000-0000-00006C170000}"/>
    <cellStyle name="_VC 6.15.06 update on 06GRC power costs.xls Chart 2_2009 Compliance Filing PCA Exhibits for GRC 2" xfId="6004" xr:uid="{00000000-0005-0000-0000-00006D170000}"/>
    <cellStyle name="_VC 6.15.06 update on 06GRC power costs.xls Chart 2_2009 GRC Compl Filing - Exhibit D" xfId="6005" xr:uid="{00000000-0005-0000-0000-00006E170000}"/>
    <cellStyle name="_VC 6.15.06 update on 06GRC power costs.xls Chart 2_2009 GRC Compl Filing - Exhibit D 2" xfId="6006" xr:uid="{00000000-0005-0000-0000-00006F170000}"/>
    <cellStyle name="_VC 6.15.06 update on 06GRC power costs.xls Chart 2_2009 GRC Compl Filing - Exhibit D 3" xfId="6007" xr:uid="{00000000-0005-0000-0000-000070170000}"/>
    <cellStyle name="_VC 6.15.06 update on 06GRC power costs.xls Chart 2_3.01 Income Statement" xfId="6008" xr:uid="{00000000-0005-0000-0000-000071170000}"/>
    <cellStyle name="_VC 6.15.06 update on 06GRC power costs.xls Chart 2_4 31 Regulatory Assets and Liabilities  7 06- Exhibit D" xfId="6009" xr:uid="{00000000-0005-0000-0000-000072170000}"/>
    <cellStyle name="_VC 6.15.06 update on 06GRC power costs.xls Chart 2_4 31 Regulatory Assets and Liabilities  7 06- Exhibit D 2" xfId="6010" xr:uid="{00000000-0005-0000-0000-000073170000}"/>
    <cellStyle name="_VC 6.15.06 update on 06GRC power costs.xls Chart 2_4 31 Regulatory Assets and Liabilities  7 06- Exhibit D 2 2" xfId="6011" xr:uid="{00000000-0005-0000-0000-000074170000}"/>
    <cellStyle name="_VC 6.15.06 update on 06GRC power costs.xls Chart 2_4 31 Regulatory Assets and Liabilities  7 06- Exhibit D 3" xfId="6012" xr:uid="{00000000-0005-0000-0000-000075170000}"/>
    <cellStyle name="_VC 6.15.06 update on 06GRC power costs.xls Chart 2_4 31 Regulatory Assets and Liabilities  7 06- Exhibit D 4" xfId="6013" xr:uid="{00000000-0005-0000-0000-000076170000}"/>
    <cellStyle name="_VC 6.15.06 update on 06GRC power costs.xls Chart 2_4 31 Regulatory Assets and Liabilities  7 06- Exhibit D_NIM Summary" xfId="6014" xr:uid="{00000000-0005-0000-0000-000077170000}"/>
    <cellStyle name="_VC 6.15.06 update on 06GRC power costs.xls Chart 2_4 31 Regulatory Assets and Liabilities  7 06- Exhibit D_NIM Summary 2" xfId="6015" xr:uid="{00000000-0005-0000-0000-000078170000}"/>
    <cellStyle name="_VC 6.15.06 update on 06GRC power costs.xls Chart 2_4 32 Regulatory Assets and Liabilities  7 06- Exhibit D" xfId="6016" xr:uid="{00000000-0005-0000-0000-000079170000}"/>
    <cellStyle name="_VC 6.15.06 update on 06GRC power costs.xls Chart 2_4 32 Regulatory Assets and Liabilities  7 06- Exhibit D 2" xfId="6017" xr:uid="{00000000-0005-0000-0000-00007A170000}"/>
    <cellStyle name="_VC 6.15.06 update on 06GRC power costs.xls Chart 2_4 32 Regulatory Assets and Liabilities  7 06- Exhibit D 2 2" xfId="6018" xr:uid="{00000000-0005-0000-0000-00007B170000}"/>
    <cellStyle name="_VC 6.15.06 update on 06GRC power costs.xls Chart 2_4 32 Regulatory Assets and Liabilities  7 06- Exhibit D 3" xfId="6019" xr:uid="{00000000-0005-0000-0000-00007C170000}"/>
    <cellStyle name="_VC 6.15.06 update on 06GRC power costs.xls Chart 2_4 32 Regulatory Assets and Liabilities  7 06- Exhibit D 4" xfId="6020" xr:uid="{00000000-0005-0000-0000-00007D170000}"/>
    <cellStyle name="_VC 6.15.06 update on 06GRC power costs.xls Chart 2_4 32 Regulatory Assets and Liabilities  7 06- Exhibit D_NIM Summary" xfId="6021" xr:uid="{00000000-0005-0000-0000-00007E170000}"/>
    <cellStyle name="_VC 6.15.06 update on 06GRC power costs.xls Chart 2_4 32 Regulatory Assets and Liabilities  7 06- Exhibit D_NIM Summary 2" xfId="6022" xr:uid="{00000000-0005-0000-0000-00007F170000}"/>
    <cellStyle name="_VC 6.15.06 update on 06GRC power costs.xls Chart 2_ACCOUNTS" xfId="6023" xr:uid="{00000000-0005-0000-0000-000080170000}"/>
    <cellStyle name="_VC 6.15.06 update on 06GRC power costs.xls Chart 2_AURORA Total New" xfId="6024" xr:uid="{00000000-0005-0000-0000-000081170000}"/>
    <cellStyle name="_VC 6.15.06 update on 06GRC power costs.xls Chart 2_AURORA Total New 2" xfId="6025" xr:uid="{00000000-0005-0000-0000-000082170000}"/>
    <cellStyle name="_VC 6.15.06 update on 06GRC power costs.xls Chart 2_Book2" xfId="6026" xr:uid="{00000000-0005-0000-0000-000083170000}"/>
    <cellStyle name="_VC 6.15.06 update on 06GRC power costs.xls Chart 2_Book2 2" xfId="6027" xr:uid="{00000000-0005-0000-0000-000084170000}"/>
    <cellStyle name="_VC 6.15.06 update on 06GRC power costs.xls Chart 2_Book2 2 2" xfId="6028" xr:uid="{00000000-0005-0000-0000-000085170000}"/>
    <cellStyle name="_VC 6.15.06 update on 06GRC power costs.xls Chart 2_Book2 3" xfId="6029" xr:uid="{00000000-0005-0000-0000-000086170000}"/>
    <cellStyle name="_VC 6.15.06 update on 06GRC power costs.xls Chart 2_Book2 4" xfId="6030" xr:uid="{00000000-0005-0000-0000-000087170000}"/>
    <cellStyle name="_VC 6.15.06 update on 06GRC power costs.xls Chart 2_Book2_Adj Bench DR 3 for Initial Briefs (Electric)" xfId="6031" xr:uid="{00000000-0005-0000-0000-000088170000}"/>
    <cellStyle name="_VC 6.15.06 update on 06GRC power costs.xls Chart 2_Book2_Adj Bench DR 3 for Initial Briefs (Electric) 2" xfId="6032" xr:uid="{00000000-0005-0000-0000-000089170000}"/>
    <cellStyle name="_VC 6.15.06 update on 06GRC power costs.xls Chart 2_Book2_Adj Bench DR 3 for Initial Briefs (Electric) 2 2" xfId="6033" xr:uid="{00000000-0005-0000-0000-00008A170000}"/>
    <cellStyle name="_VC 6.15.06 update on 06GRC power costs.xls Chart 2_Book2_Adj Bench DR 3 for Initial Briefs (Electric) 3" xfId="6034" xr:uid="{00000000-0005-0000-0000-00008B170000}"/>
    <cellStyle name="_VC 6.15.06 update on 06GRC power costs.xls Chart 2_Book2_Adj Bench DR 3 for Initial Briefs (Electric) 4" xfId="6035" xr:uid="{00000000-0005-0000-0000-00008C170000}"/>
    <cellStyle name="_VC 6.15.06 update on 06GRC power costs.xls Chart 2_Book2_Electric Rev Req Model (2009 GRC) Rebuttal" xfId="6036" xr:uid="{00000000-0005-0000-0000-00008D170000}"/>
    <cellStyle name="_VC 6.15.06 update on 06GRC power costs.xls Chart 2_Book2_Electric Rev Req Model (2009 GRC) Rebuttal 2" xfId="6037" xr:uid="{00000000-0005-0000-0000-00008E170000}"/>
    <cellStyle name="_VC 6.15.06 update on 06GRC power costs.xls Chart 2_Book2_Electric Rev Req Model (2009 GRC) Rebuttal 2 2" xfId="6038" xr:uid="{00000000-0005-0000-0000-00008F170000}"/>
    <cellStyle name="_VC 6.15.06 update on 06GRC power costs.xls Chart 2_Book2_Electric Rev Req Model (2009 GRC) Rebuttal 3" xfId="6039" xr:uid="{00000000-0005-0000-0000-000090170000}"/>
    <cellStyle name="_VC 6.15.06 update on 06GRC power costs.xls Chart 2_Book2_Electric Rev Req Model (2009 GRC) Rebuttal 4" xfId="6040" xr:uid="{00000000-0005-0000-0000-000091170000}"/>
    <cellStyle name="_VC 6.15.06 update on 06GRC power costs.xls Chart 2_Book2_Electric Rev Req Model (2009 GRC) Rebuttal REmoval of New  WH Solar AdjustMI" xfId="6041" xr:uid="{00000000-0005-0000-0000-000092170000}"/>
    <cellStyle name="_VC 6.15.06 update on 06GRC power costs.xls Chart 2_Book2_Electric Rev Req Model (2009 GRC) Rebuttal REmoval of New  WH Solar AdjustMI 2" xfId="6042" xr:uid="{00000000-0005-0000-0000-000093170000}"/>
    <cellStyle name="_VC 6.15.06 update on 06GRC power costs.xls Chart 2_Book2_Electric Rev Req Model (2009 GRC) Rebuttal REmoval of New  WH Solar AdjustMI 2 2" xfId="6043" xr:uid="{00000000-0005-0000-0000-000094170000}"/>
    <cellStyle name="_VC 6.15.06 update on 06GRC power costs.xls Chart 2_Book2_Electric Rev Req Model (2009 GRC) Rebuttal REmoval of New  WH Solar AdjustMI 3" xfId="6044" xr:uid="{00000000-0005-0000-0000-000095170000}"/>
    <cellStyle name="_VC 6.15.06 update on 06GRC power costs.xls Chart 2_Book2_Electric Rev Req Model (2009 GRC) Rebuttal REmoval of New  WH Solar AdjustMI 4" xfId="6045" xr:uid="{00000000-0005-0000-0000-000096170000}"/>
    <cellStyle name="_VC 6.15.06 update on 06GRC power costs.xls Chart 2_Book2_Electric Rev Req Model (2009 GRC) Revised 01-18-2010" xfId="6046" xr:uid="{00000000-0005-0000-0000-000097170000}"/>
    <cellStyle name="_VC 6.15.06 update on 06GRC power costs.xls Chart 2_Book2_Electric Rev Req Model (2009 GRC) Revised 01-18-2010 2" xfId="6047" xr:uid="{00000000-0005-0000-0000-000098170000}"/>
    <cellStyle name="_VC 6.15.06 update on 06GRC power costs.xls Chart 2_Book2_Electric Rev Req Model (2009 GRC) Revised 01-18-2010 2 2" xfId="6048" xr:uid="{00000000-0005-0000-0000-000099170000}"/>
    <cellStyle name="_VC 6.15.06 update on 06GRC power costs.xls Chart 2_Book2_Electric Rev Req Model (2009 GRC) Revised 01-18-2010 3" xfId="6049" xr:uid="{00000000-0005-0000-0000-00009A170000}"/>
    <cellStyle name="_VC 6.15.06 update on 06GRC power costs.xls Chart 2_Book2_Electric Rev Req Model (2009 GRC) Revised 01-18-2010 4" xfId="6050" xr:uid="{00000000-0005-0000-0000-00009B170000}"/>
    <cellStyle name="_VC 6.15.06 update on 06GRC power costs.xls Chart 2_Book2_Final Order Electric EXHIBIT A-1" xfId="6051" xr:uid="{00000000-0005-0000-0000-00009C170000}"/>
    <cellStyle name="_VC 6.15.06 update on 06GRC power costs.xls Chart 2_Book2_Final Order Electric EXHIBIT A-1 2" xfId="6052" xr:uid="{00000000-0005-0000-0000-00009D170000}"/>
    <cellStyle name="_VC 6.15.06 update on 06GRC power costs.xls Chart 2_Book2_Final Order Electric EXHIBIT A-1 2 2" xfId="6053" xr:uid="{00000000-0005-0000-0000-00009E170000}"/>
    <cellStyle name="_VC 6.15.06 update on 06GRC power costs.xls Chart 2_Book2_Final Order Electric EXHIBIT A-1 3" xfId="6054" xr:uid="{00000000-0005-0000-0000-00009F170000}"/>
    <cellStyle name="_VC 6.15.06 update on 06GRC power costs.xls Chart 2_Book2_Final Order Electric EXHIBIT A-1 4" xfId="6055" xr:uid="{00000000-0005-0000-0000-0000A0170000}"/>
    <cellStyle name="_VC 6.15.06 update on 06GRC power costs.xls Chart 2_Book4" xfId="6056" xr:uid="{00000000-0005-0000-0000-0000A1170000}"/>
    <cellStyle name="_VC 6.15.06 update on 06GRC power costs.xls Chart 2_Book4 2" xfId="6057" xr:uid="{00000000-0005-0000-0000-0000A2170000}"/>
    <cellStyle name="_VC 6.15.06 update on 06GRC power costs.xls Chart 2_Book4 2 2" xfId="6058" xr:uid="{00000000-0005-0000-0000-0000A3170000}"/>
    <cellStyle name="_VC 6.15.06 update on 06GRC power costs.xls Chart 2_Book4 3" xfId="6059" xr:uid="{00000000-0005-0000-0000-0000A4170000}"/>
    <cellStyle name="_VC 6.15.06 update on 06GRC power costs.xls Chart 2_Book4 4" xfId="6060" xr:uid="{00000000-0005-0000-0000-0000A5170000}"/>
    <cellStyle name="_VC 6.15.06 update on 06GRC power costs.xls Chart 2_Book9" xfId="6061" xr:uid="{00000000-0005-0000-0000-0000A6170000}"/>
    <cellStyle name="_VC 6.15.06 update on 06GRC power costs.xls Chart 2_Book9 2" xfId="6062" xr:uid="{00000000-0005-0000-0000-0000A7170000}"/>
    <cellStyle name="_VC 6.15.06 update on 06GRC power costs.xls Chart 2_Book9 2 2" xfId="6063" xr:uid="{00000000-0005-0000-0000-0000A8170000}"/>
    <cellStyle name="_VC 6.15.06 update on 06GRC power costs.xls Chart 2_Book9 3" xfId="6064" xr:uid="{00000000-0005-0000-0000-0000A9170000}"/>
    <cellStyle name="_VC 6.15.06 update on 06GRC power costs.xls Chart 2_Book9 4" xfId="6065" xr:uid="{00000000-0005-0000-0000-0000AA170000}"/>
    <cellStyle name="_VC 6.15.06 update on 06GRC power costs.xls Chart 2_Chelan PUD Power Costs (8-10)" xfId="6066" xr:uid="{00000000-0005-0000-0000-0000AB170000}"/>
    <cellStyle name="_VC 6.15.06 update on 06GRC power costs.xls Chart 2_Gas Rev Req Model (2010 GRC)" xfId="6067" xr:uid="{00000000-0005-0000-0000-0000AC170000}"/>
    <cellStyle name="_VC 6.15.06 update on 06GRC power costs.xls Chart 2_INPUTS" xfId="6068" xr:uid="{00000000-0005-0000-0000-0000AD170000}"/>
    <cellStyle name="_VC 6.15.06 update on 06GRC power costs.xls Chart 2_INPUTS 2" xfId="6069" xr:uid="{00000000-0005-0000-0000-0000AE170000}"/>
    <cellStyle name="_VC 6.15.06 update on 06GRC power costs.xls Chart 2_INPUTS 2 2" xfId="6070" xr:uid="{00000000-0005-0000-0000-0000AF170000}"/>
    <cellStyle name="_VC 6.15.06 update on 06GRC power costs.xls Chart 2_INPUTS 3" xfId="6071" xr:uid="{00000000-0005-0000-0000-0000B0170000}"/>
    <cellStyle name="_VC 6.15.06 update on 06GRC power costs.xls Chart 2_NIM Summary" xfId="6072" xr:uid="{00000000-0005-0000-0000-0000B1170000}"/>
    <cellStyle name="_VC 6.15.06 update on 06GRC power costs.xls Chart 2_NIM Summary 09GRC" xfId="6073" xr:uid="{00000000-0005-0000-0000-0000B2170000}"/>
    <cellStyle name="_VC 6.15.06 update on 06GRC power costs.xls Chart 2_NIM Summary 09GRC 2" xfId="6074" xr:uid="{00000000-0005-0000-0000-0000B3170000}"/>
    <cellStyle name="_VC 6.15.06 update on 06GRC power costs.xls Chart 2_NIM Summary 2" xfId="6075" xr:uid="{00000000-0005-0000-0000-0000B4170000}"/>
    <cellStyle name="_VC 6.15.06 update on 06GRC power costs.xls Chart 2_NIM Summary 3" xfId="6076" xr:uid="{00000000-0005-0000-0000-0000B5170000}"/>
    <cellStyle name="_VC 6.15.06 update on 06GRC power costs.xls Chart 2_NIM Summary 4" xfId="6077" xr:uid="{00000000-0005-0000-0000-0000B6170000}"/>
    <cellStyle name="_VC 6.15.06 update on 06GRC power costs.xls Chart 2_NIM Summary 5" xfId="6078" xr:uid="{00000000-0005-0000-0000-0000B7170000}"/>
    <cellStyle name="_VC 6.15.06 update on 06GRC power costs.xls Chart 2_NIM Summary 6" xfId="6079" xr:uid="{00000000-0005-0000-0000-0000B8170000}"/>
    <cellStyle name="_VC 6.15.06 update on 06GRC power costs.xls Chart 2_NIM Summary 7" xfId="6080" xr:uid="{00000000-0005-0000-0000-0000B9170000}"/>
    <cellStyle name="_VC 6.15.06 update on 06GRC power costs.xls Chart 2_NIM Summary 8" xfId="6081" xr:uid="{00000000-0005-0000-0000-0000BA170000}"/>
    <cellStyle name="_VC 6.15.06 update on 06GRC power costs.xls Chart 2_NIM Summary 9" xfId="6082" xr:uid="{00000000-0005-0000-0000-0000BB170000}"/>
    <cellStyle name="_VC 6.15.06 update on 06GRC power costs.xls Chart 2_PCA 10 -  Exhibit D from A Kellogg Jan 2011" xfId="6083" xr:uid="{00000000-0005-0000-0000-0000BC170000}"/>
    <cellStyle name="_VC 6.15.06 update on 06GRC power costs.xls Chart 2_PCA 10 -  Exhibit D from A Kellogg July 2011" xfId="6084" xr:uid="{00000000-0005-0000-0000-0000BD170000}"/>
    <cellStyle name="_VC 6.15.06 update on 06GRC power costs.xls Chart 2_PCA 10 -  Exhibit D from S Free Rcv'd 12-11" xfId="6085" xr:uid="{00000000-0005-0000-0000-0000BE170000}"/>
    <cellStyle name="_VC 6.15.06 update on 06GRC power costs.xls Chart 2_PCA 9 -  Exhibit D April 2010" xfId="6086" xr:uid="{00000000-0005-0000-0000-0000BF170000}"/>
    <cellStyle name="_VC 6.15.06 update on 06GRC power costs.xls Chart 2_PCA 9 -  Exhibit D April 2010 (3)" xfId="6087" xr:uid="{00000000-0005-0000-0000-0000C0170000}"/>
    <cellStyle name="_VC 6.15.06 update on 06GRC power costs.xls Chart 2_PCA 9 -  Exhibit D April 2010 (3) 2" xfId="6088" xr:uid="{00000000-0005-0000-0000-0000C1170000}"/>
    <cellStyle name="_VC 6.15.06 update on 06GRC power costs.xls Chart 2_PCA 9 -  Exhibit D April 2010 2" xfId="6089" xr:uid="{00000000-0005-0000-0000-0000C2170000}"/>
    <cellStyle name="_VC 6.15.06 update on 06GRC power costs.xls Chart 2_PCA 9 -  Exhibit D April 2010 3" xfId="6090" xr:uid="{00000000-0005-0000-0000-0000C3170000}"/>
    <cellStyle name="_VC 6.15.06 update on 06GRC power costs.xls Chart 2_PCA 9 -  Exhibit D Nov 2010" xfId="6091" xr:uid="{00000000-0005-0000-0000-0000C4170000}"/>
    <cellStyle name="_VC 6.15.06 update on 06GRC power costs.xls Chart 2_PCA 9 -  Exhibit D Nov 2010 2" xfId="6092" xr:uid="{00000000-0005-0000-0000-0000C5170000}"/>
    <cellStyle name="_VC 6.15.06 update on 06GRC power costs.xls Chart 2_PCA 9 - Exhibit D at August 2010" xfId="6093" xr:uid="{00000000-0005-0000-0000-0000C6170000}"/>
    <cellStyle name="_VC 6.15.06 update on 06GRC power costs.xls Chart 2_PCA 9 - Exhibit D at August 2010 2" xfId="6094" xr:uid="{00000000-0005-0000-0000-0000C7170000}"/>
    <cellStyle name="_VC 6.15.06 update on 06GRC power costs.xls Chart 2_PCA 9 - Exhibit D June 2010 GRC" xfId="6095" xr:uid="{00000000-0005-0000-0000-0000C8170000}"/>
    <cellStyle name="_VC 6.15.06 update on 06GRC power costs.xls Chart 2_PCA 9 - Exhibit D June 2010 GRC 2" xfId="6096" xr:uid="{00000000-0005-0000-0000-0000C9170000}"/>
    <cellStyle name="_VC 6.15.06 update on 06GRC power costs.xls Chart 2_Power Costs - Comparison bx Rbtl-Staff-Jt-PC" xfId="6097" xr:uid="{00000000-0005-0000-0000-0000CA170000}"/>
    <cellStyle name="_VC 6.15.06 update on 06GRC power costs.xls Chart 2_Power Costs - Comparison bx Rbtl-Staff-Jt-PC 2" xfId="6098" xr:uid="{00000000-0005-0000-0000-0000CB170000}"/>
    <cellStyle name="_VC 6.15.06 update on 06GRC power costs.xls Chart 2_Power Costs - Comparison bx Rbtl-Staff-Jt-PC 2 2" xfId="6099" xr:uid="{00000000-0005-0000-0000-0000CC170000}"/>
    <cellStyle name="_VC 6.15.06 update on 06GRC power costs.xls Chart 2_Power Costs - Comparison bx Rbtl-Staff-Jt-PC 3" xfId="6100" xr:uid="{00000000-0005-0000-0000-0000CD170000}"/>
    <cellStyle name="_VC 6.15.06 update on 06GRC power costs.xls Chart 2_Power Costs - Comparison bx Rbtl-Staff-Jt-PC 4" xfId="6101" xr:uid="{00000000-0005-0000-0000-0000CE170000}"/>
    <cellStyle name="_VC 6.15.06 update on 06GRC power costs.xls Chart 2_Power Costs - Comparison bx Rbtl-Staff-Jt-PC_Adj Bench DR 3 for Initial Briefs (Electric)" xfId="6102" xr:uid="{00000000-0005-0000-0000-0000CF170000}"/>
    <cellStyle name="_VC 6.15.06 update on 06GRC power costs.xls Chart 2_Power Costs - Comparison bx Rbtl-Staff-Jt-PC_Adj Bench DR 3 for Initial Briefs (Electric) 2" xfId="6103" xr:uid="{00000000-0005-0000-0000-0000D0170000}"/>
    <cellStyle name="_VC 6.15.06 update on 06GRC power costs.xls Chart 2_Power Costs - Comparison bx Rbtl-Staff-Jt-PC_Adj Bench DR 3 for Initial Briefs (Electric) 2 2" xfId="6104" xr:uid="{00000000-0005-0000-0000-0000D1170000}"/>
    <cellStyle name="_VC 6.15.06 update on 06GRC power costs.xls Chart 2_Power Costs - Comparison bx Rbtl-Staff-Jt-PC_Adj Bench DR 3 for Initial Briefs (Electric) 3" xfId="6105" xr:uid="{00000000-0005-0000-0000-0000D2170000}"/>
    <cellStyle name="_VC 6.15.06 update on 06GRC power costs.xls Chart 2_Power Costs - Comparison bx Rbtl-Staff-Jt-PC_Adj Bench DR 3 for Initial Briefs (Electric) 4" xfId="6106" xr:uid="{00000000-0005-0000-0000-0000D3170000}"/>
    <cellStyle name="_VC 6.15.06 update on 06GRC power costs.xls Chart 2_Power Costs - Comparison bx Rbtl-Staff-Jt-PC_Electric Rev Req Model (2009 GRC) Rebuttal" xfId="6107" xr:uid="{00000000-0005-0000-0000-0000D4170000}"/>
    <cellStyle name="_VC 6.15.06 update on 06GRC power costs.xls Chart 2_Power Costs - Comparison bx Rbtl-Staff-Jt-PC_Electric Rev Req Model (2009 GRC) Rebuttal 2" xfId="6108" xr:uid="{00000000-0005-0000-0000-0000D5170000}"/>
    <cellStyle name="_VC 6.15.06 update on 06GRC power costs.xls Chart 2_Power Costs - Comparison bx Rbtl-Staff-Jt-PC_Electric Rev Req Model (2009 GRC) Rebuttal 2 2" xfId="6109" xr:uid="{00000000-0005-0000-0000-0000D6170000}"/>
    <cellStyle name="_VC 6.15.06 update on 06GRC power costs.xls Chart 2_Power Costs - Comparison bx Rbtl-Staff-Jt-PC_Electric Rev Req Model (2009 GRC) Rebuttal 3" xfId="6110" xr:uid="{00000000-0005-0000-0000-0000D7170000}"/>
    <cellStyle name="_VC 6.15.06 update on 06GRC power costs.xls Chart 2_Power Costs - Comparison bx Rbtl-Staff-Jt-PC_Electric Rev Req Model (2009 GRC) Rebuttal 4" xfId="6111" xr:uid="{00000000-0005-0000-0000-0000D8170000}"/>
    <cellStyle name="_VC 6.15.06 update on 06GRC power costs.xls Chart 2_Power Costs - Comparison bx Rbtl-Staff-Jt-PC_Electric Rev Req Model (2009 GRC) Rebuttal REmoval of New  WH Solar AdjustMI" xfId="6112" xr:uid="{00000000-0005-0000-0000-0000D9170000}"/>
    <cellStyle name="_VC 6.15.06 update on 06GRC power costs.xls Chart 2_Power Costs - Comparison bx Rbtl-Staff-Jt-PC_Electric Rev Req Model (2009 GRC) Rebuttal REmoval of New  WH Solar AdjustMI 2" xfId="6113" xr:uid="{00000000-0005-0000-0000-0000DA170000}"/>
    <cellStyle name="_VC 6.15.06 update on 06GRC power costs.xls Chart 2_Power Costs - Comparison bx Rbtl-Staff-Jt-PC_Electric Rev Req Model (2009 GRC) Rebuttal REmoval of New  WH Solar AdjustMI 2 2" xfId="6114" xr:uid="{00000000-0005-0000-0000-0000DB170000}"/>
    <cellStyle name="_VC 6.15.06 update on 06GRC power costs.xls Chart 2_Power Costs - Comparison bx Rbtl-Staff-Jt-PC_Electric Rev Req Model (2009 GRC) Rebuttal REmoval of New  WH Solar AdjustMI 3" xfId="6115" xr:uid="{00000000-0005-0000-0000-0000DC170000}"/>
    <cellStyle name="_VC 6.15.06 update on 06GRC power costs.xls Chart 2_Power Costs - Comparison bx Rbtl-Staff-Jt-PC_Electric Rev Req Model (2009 GRC) Rebuttal REmoval of New  WH Solar AdjustMI 4" xfId="6116" xr:uid="{00000000-0005-0000-0000-0000DD170000}"/>
    <cellStyle name="_VC 6.15.06 update on 06GRC power costs.xls Chart 2_Power Costs - Comparison bx Rbtl-Staff-Jt-PC_Electric Rev Req Model (2009 GRC) Revised 01-18-2010" xfId="6117" xr:uid="{00000000-0005-0000-0000-0000DE170000}"/>
    <cellStyle name="_VC 6.15.06 update on 06GRC power costs.xls Chart 2_Power Costs - Comparison bx Rbtl-Staff-Jt-PC_Electric Rev Req Model (2009 GRC) Revised 01-18-2010 2" xfId="6118" xr:uid="{00000000-0005-0000-0000-0000DF170000}"/>
    <cellStyle name="_VC 6.15.06 update on 06GRC power costs.xls Chart 2_Power Costs - Comparison bx Rbtl-Staff-Jt-PC_Electric Rev Req Model (2009 GRC) Revised 01-18-2010 2 2" xfId="6119" xr:uid="{00000000-0005-0000-0000-0000E0170000}"/>
    <cellStyle name="_VC 6.15.06 update on 06GRC power costs.xls Chart 2_Power Costs - Comparison bx Rbtl-Staff-Jt-PC_Electric Rev Req Model (2009 GRC) Revised 01-18-2010 3" xfId="6120" xr:uid="{00000000-0005-0000-0000-0000E1170000}"/>
    <cellStyle name="_VC 6.15.06 update on 06GRC power costs.xls Chart 2_Power Costs - Comparison bx Rbtl-Staff-Jt-PC_Electric Rev Req Model (2009 GRC) Revised 01-18-2010 4" xfId="6121" xr:uid="{00000000-0005-0000-0000-0000E2170000}"/>
    <cellStyle name="_VC 6.15.06 update on 06GRC power costs.xls Chart 2_Power Costs - Comparison bx Rbtl-Staff-Jt-PC_Final Order Electric EXHIBIT A-1" xfId="6122" xr:uid="{00000000-0005-0000-0000-0000E3170000}"/>
    <cellStyle name="_VC 6.15.06 update on 06GRC power costs.xls Chart 2_Power Costs - Comparison bx Rbtl-Staff-Jt-PC_Final Order Electric EXHIBIT A-1 2" xfId="6123" xr:uid="{00000000-0005-0000-0000-0000E4170000}"/>
    <cellStyle name="_VC 6.15.06 update on 06GRC power costs.xls Chart 2_Power Costs - Comparison bx Rbtl-Staff-Jt-PC_Final Order Electric EXHIBIT A-1 2 2" xfId="6124" xr:uid="{00000000-0005-0000-0000-0000E5170000}"/>
    <cellStyle name="_VC 6.15.06 update on 06GRC power costs.xls Chart 2_Power Costs - Comparison bx Rbtl-Staff-Jt-PC_Final Order Electric EXHIBIT A-1 3" xfId="6125" xr:uid="{00000000-0005-0000-0000-0000E6170000}"/>
    <cellStyle name="_VC 6.15.06 update on 06GRC power costs.xls Chart 2_Power Costs - Comparison bx Rbtl-Staff-Jt-PC_Final Order Electric EXHIBIT A-1 4" xfId="6126" xr:uid="{00000000-0005-0000-0000-0000E7170000}"/>
    <cellStyle name="_VC 6.15.06 update on 06GRC power costs.xls Chart 2_Production Adj 4.37" xfId="6127" xr:uid="{00000000-0005-0000-0000-0000E8170000}"/>
    <cellStyle name="_VC 6.15.06 update on 06GRC power costs.xls Chart 2_Production Adj 4.37 2" xfId="6128" xr:uid="{00000000-0005-0000-0000-0000E9170000}"/>
    <cellStyle name="_VC 6.15.06 update on 06GRC power costs.xls Chart 2_Production Adj 4.37 2 2" xfId="6129" xr:uid="{00000000-0005-0000-0000-0000EA170000}"/>
    <cellStyle name="_VC 6.15.06 update on 06GRC power costs.xls Chart 2_Production Adj 4.37 3" xfId="6130" xr:uid="{00000000-0005-0000-0000-0000EB170000}"/>
    <cellStyle name="_VC 6.15.06 update on 06GRC power costs.xls Chart 2_Purchased Power Adj 4.03" xfId="6131" xr:uid="{00000000-0005-0000-0000-0000EC170000}"/>
    <cellStyle name="_VC 6.15.06 update on 06GRC power costs.xls Chart 2_Purchased Power Adj 4.03 2" xfId="6132" xr:uid="{00000000-0005-0000-0000-0000ED170000}"/>
    <cellStyle name="_VC 6.15.06 update on 06GRC power costs.xls Chart 2_Purchased Power Adj 4.03 2 2" xfId="6133" xr:uid="{00000000-0005-0000-0000-0000EE170000}"/>
    <cellStyle name="_VC 6.15.06 update on 06GRC power costs.xls Chart 2_Purchased Power Adj 4.03 3" xfId="6134" xr:uid="{00000000-0005-0000-0000-0000EF170000}"/>
    <cellStyle name="_VC 6.15.06 update on 06GRC power costs.xls Chart 2_Rebuttal Power Costs" xfId="6135" xr:uid="{00000000-0005-0000-0000-0000F0170000}"/>
    <cellStyle name="_VC 6.15.06 update on 06GRC power costs.xls Chart 2_Rebuttal Power Costs 2" xfId="6136" xr:uid="{00000000-0005-0000-0000-0000F1170000}"/>
    <cellStyle name="_VC 6.15.06 update on 06GRC power costs.xls Chart 2_Rebuttal Power Costs 2 2" xfId="6137" xr:uid="{00000000-0005-0000-0000-0000F2170000}"/>
    <cellStyle name="_VC 6.15.06 update on 06GRC power costs.xls Chart 2_Rebuttal Power Costs 3" xfId="6138" xr:uid="{00000000-0005-0000-0000-0000F3170000}"/>
    <cellStyle name="_VC 6.15.06 update on 06GRC power costs.xls Chart 2_Rebuttal Power Costs 4" xfId="6139" xr:uid="{00000000-0005-0000-0000-0000F4170000}"/>
    <cellStyle name="_VC 6.15.06 update on 06GRC power costs.xls Chart 2_Rebuttal Power Costs_Adj Bench DR 3 for Initial Briefs (Electric)" xfId="6140" xr:uid="{00000000-0005-0000-0000-0000F5170000}"/>
    <cellStyle name="_VC 6.15.06 update on 06GRC power costs.xls Chart 2_Rebuttal Power Costs_Adj Bench DR 3 for Initial Briefs (Electric) 2" xfId="6141" xr:uid="{00000000-0005-0000-0000-0000F6170000}"/>
    <cellStyle name="_VC 6.15.06 update on 06GRC power costs.xls Chart 2_Rebuttal Power Costs_Adj Bench DR 3 for Initial Briefs (Electric) 2 2" xfId="6142" xr:uid="{00000000-0005-0000-0000-0000F7170000}"/>
    <cellStyle name="_VC 6.15.06 update on 06GRC power costs.xls Chart 2_Rebuttal Power Costs_Adj Bench DR 3 for Initial Briefs (Electric) 3" xfId="6143" xr:uid="{00000000-0005-0000-0000-0000F8170000}"/>
    <cellStyle name="_VC 6.15.06 update on 06GRC power costs.xls Chart 2_Rebuttal Power Costs_Adj Bench DR 3 for Initial Briefs (Electric) 4" xfId="6144" xr:uid="{00000000-0005-0000-0000-0000F9170000}"/>
    <cellStyle name="_VC 6.15.06 update on 06GRC power costs.xls Chart 2_Rebuttal Power Costs_Electric Rev Req Model (2009 GRC) Rebuttal" xfId="6145" xr:uid="{00000000-0005-0000-0000-0000FA170000}"/>
    <cellStyle name="_VC 6.15.06 update on 06GRC power costs.xls Chart 2_Rebuttal Power Costs_Electric Rev Req Model (2009 GRC) Rebuttal 2" xfId="6146" xr:uid="{00000000-0005-0000-0000-0000FB170000}"/>
    <cellStyle name="_VC 6.15.06 update on 06GRC power costs.xls Chart 2_Rebuttal Power Costs_Electric Rev Req Model (2009 GRC) Rebuttal 2 2" xfId="6147" xr:uid="{00000000-0005-0000-0000-0000FC170000}"/>
    <cellStyle name="_VC 6.15.06 update on 06GRC power costs.xls Chart 2_Rebuttal Power Costs_Electric Rev Req Model (2009 GRC) Rebuttal 3" xfId="6148" xr:uid="{00000000-0005-0000-0000-0000FD170000}"/>
    <cellStyle name="_VC 6.15.06 update on 06GRC power costs.xls Chart 2_Rebuttal Power Costs_Electric Rev Req Model (2009 GRC) Rebuttal 4" xfId="6149" xr:uid="{00000000-0005-0000-0000-0000FE170000}"/>
    <cellStyle name="_VC 6.15.06 update on 06GRC power costs.xls Chart 2_Rebuttal Power Costs_Electric Rev Req Model (2009 GRC) Rebuttal REmoval of New  WH Solar AdjustMI" xfId="6150" xr:uid="{00000000-0005-0000-0000-0000FF170000}"/>
    <cellStyle name="_VC 6.15.06 update on 06GRC power costs.xls Chart 2_Rebuttal Power Costs_Electric Rev Req Model (2009 GRC) Rebuttal REmoval of New  WH Solar AdjustMI 2" xfId="6151" xr:uid="{00000000-0005-0000-0000-000000180000}"/>
    <cellStyle name="_VC 6.15.06 update on 06GRC power costs.xls Chart 2_Rebuttal Power Costs_Electric Rev Req Model (2009 GRC) Rebuttal REmoval of New  WH Solar AdjustMI 2 2" xfId="6152" xr:uid="{00000000-0005-0000-0000-000001180000}"/>
    <cellStyle name="_VC 6.15.06 update on 06GRC power costs.xls Chart 2_Rebuttal Power Costs_Electric Rev Req Model (2009 GRC) Rebuttal REmoval of New  WH Solar AdjustMI 3" xfId="6153" xr:uid="{00000000-0005-0000-0000-000002180000}"/>
    <cellStyle name="_VC 6.15.06 update on 06GRC power costs.xls Chart 2_Rebuttal Power Costs_Electric Rev Req Model (2009 GRC) Rebuttal REmoval of New  WH Solar AdjustMI 4" xfId="6154" xr:uid="{00000000-0005-0000-0000-000003180000}"/>
    <cellStyle name="_VC 6.15.06 update on 06GRC power costs.xls Chart 2_Rebuttal Power Costs_Electric Rev Req Model (2009 GRC) Revised 01-18-2010" xfId="6155" xr:uid="{00000000-0005-0000-0000-000004180000}"/>
    <cellStyle name="_VC 6.15.06 update on 06GRC power costs.xls Chart 2_Rebuttal Power Costs_Electric Rev Req Model (2009 GRC) Revised 01-18-2010 2" xfId="6156" xr:uid="{00000000-0005-0000-0000-000005180000}"/>
    <cellStyle name="_VC 6.15.06 update on 06GRC power costs.xls Chart 2_Rebuttal Power Costs_Electric Rev Req Model (2009 GRC) Revised 01-18-2010 2 2" xfId="6157" xr:uid="{00000000-0005-0000-0000-000006180000}"/>
    <cellStyle name="_VC 6.15.06 update on 06GRC power costs.xls Chart 2_Rebuttal Power Costs_Electric Rev Req Model (2009 GRC) Revised 01-18-2010 3" xfId="6158" xr:uid="{00000000-0005-0000-0000-000007180000}"/>
    <cellStyle name="_VC 6.15.06 update on 06GRC power costs.xls Chart 2_Rebuttal Power Costs_Electric Rev Req Model (2009 GRC) Revised 01-18-2010 4" xfId="6159" xr:uid="{00000000-0005-0000-0000-000008180000}"/>
    <cellStyle name="_VC 6.15.06 update on 06GRC power costs.xls Chart 2_Rebuttal Power Costs_Final Order Electric EXHIBIT A-1" xfId="6160" xr:uid="{00000000-0005-0000-0000-000009180000}"/>
    <cellStyle name="_VC 6.15.06 update on 06GRC power costs.xls Chart 2_Rebuttal Power Costs_Final Order Electric EXHIBIT A-1 2" xfId="6161" xr:uid="{00000000-0005-0000-0000-00000A180000}"/>
    <cellStyle name="_VC 6.15.06 update on 06GRC power costs.xls Chart 2_Rebuttal Power Costs_Final Order Electric EXHIBIT A-1 2 2" xfId="6162" xr:uid="{00000000-0005-0000-0000-00000B180000}"/>
    <cellStyle name="_VC 6.15.06 update on 06GRC power costs.xls Chart 2_Rebuttal Power Costs_Final Order Electric EXHIBIT A-1 3" xfId="6163" xr:uid="{00000000-0005-0000-0000-00000C180000}"/>
    <cellStyle name="_VC 6.15.06 update on 06GRC power costs.xls Chart 2_Rebuttal Power Costs_Final Order Electric EXHIBIT A-1 4" xfId="6164" xr:uid="{00000000-0005-0000-0000-00000D180000}"/>
    <cellStyle name="_VC 6.15.06 update on 06GRC power costs.xls Chart 2_ROR &amp; CONV FACTOR" xfId="6165" xr:uid="{00000000-0005-0000-0000-00000E180000}"/>
    <cellStyle name="_VC 6.15.06 update on 06GRC power costs.xls Chart 2_ROR &amp; CONV FACTOR 2" xfId="6166" xr:uid="{00000000-0005-0000-0000-00000F180000}"/>
    <cellStyle name="_VC 6.15.06 update on 06GRC power costs.xls Chart 2_ROR &amp; CONV FACTOR 2 2" xfId="6167" xr:uid="{00000000-0005-0000-0000-000010180000}"/>
    <cellStyle name="_VC 6.15.06 update on 06GRC power costs.xls Chart 2_ROR &amp; CONV FACTOR 3" xfId="6168" xr:uid="{00000000-0005-0000-0000-000011180000}"/>
    <cellStyle name="_VC 6.15.06 update on 06GRC power costs.xls Chart 2_ROR 5.02" xfId="6169" xr:uid="{00000000-0005-0000-0000-000012180000}"/>
    <cellStyle name="_VC 6.15.06 update on 06GRC power costs.xls Chart 2_ROR 5.02 2" xfId="6170" xr:uid="{00000000-0005-0000-0000-000013180000}"/>
    <cellStyle name="_VC 6.15.06 update on 06GRC power costs.xls Chart 2_ROR 5.02 2 2" xfId="6171" xr:uid="{00000000-0005-0000-0000-000014180000}"/>
    <cellStyle name="_VC 6.15.06 update on 06GRC power costs.xls Chart 2_ROR 5.02 3" xfId="6172" xr:uid="{00000000-0005-0000-0000-000015180000}"/>
    <cellStyle name="_VC 6.15.06 update on 06GRC power costs.xls Chart 2_Wind Integration 10GRC" xfId="6173" xr:uid="{00000000-0005-0000-0000-000016180000}"/>
    <cellStyle name="_VC 6.15.06 update on 06GRC power costs.xls Chart 2_Wind Integration 10GRC 2" xfId="6174" xr:uid="{00000000-0005-0000-0000-000017180000}"/>
    <cellStyle name="_VC 6.15.06 update on 06GRC power costs.xls Chart 3" xfId="6175" xr:uid="{00000000-0005-0000-0000-000018180000}"/>
    <cellStyle name="_VC 6.15.06 update on 06GRC power costs.xls Chart 3 2" xfId="6176" xr:uid="{00000000-0005-0000-0000-000019180000}"/>
    <cellStyle name="_VC 6.15.06 update on 06GRC power costs.xls Chart 3 2 2" xfId="6177" xr:uid="{00000000-0005-0000-0000-00001A180000}"/>
    <cellStyle name="_VC 6.15.06 update on 06GRC power costs.xls Chart 3 2 2 2" xfId="6178" xr:uid="{00000000-0005-0000-0000-00001B180000}"/>
    <cellStyle name="_VC 6.15.06 update on 06GRC power costs.xls Chart 3 2 3" xfId="6179" xr:uid="{00000000-0005-0000-0000-00001C180000}"/>
    <cellStyle name="_VC 6.15.06 update on 06GRC power costs.xls Chart 3 3" xfId="6180" xr:uid="{00000000-0005-0000-0000-00001D180000}"/>
    <cellStyle name="_VC 6.15.06 update on 06GRC power costs.xls Chart 3 3 2" xfId="6181" xr:uid="{00000000-0005-0000-0000-00001E180000}"/>
    <cellStyle name="_VC 6.15.06 update on 06GRC power costs.xls Chart 3 3 2 2" xfId="6182" xr:uid="{00000000-0005-0000-0000-00001F180000}"/>
    <cellStyle name="_VC 6.15.06 update on 06GRC power costs.xls Chart 3 3 3" xfId="6183" xr:uid="{00000000-0005-0000-0000-000020180000}"/>
    <cellStyle name="_VC 6.15.06 update on 06GRC power costs.xls Chart 3 3 3 2" xfId="6184" xr:uid="{00000000-0005-0000-0000-000021180000}"/>
    <cellStyle name="_VC 6.15.06 update on 06GRC power costs.xls Chart 3 3 4" xfId="6185" xr:uid="{00000000-0005-0000-0000-000022180000}"/>
    <cellStyle name="_VC 6.15.06 update on 06GRC power costs.xls Chart 3 3 4 2" xfId="6186" xr:uid="{00000000-0005-0000-0000-000023180000}"/>
    <cellStyle name="_VC 6.15.06 update on 06GRC power costs.xls Chart 3 4" xfId="6187" xr:uid="{00000000-0005-0000-0000-000024180000}"/>
    <cellStyle name="_VC 6.15.06 update on 06GRC power costs.xls Chart 3 4 2" xfId="6188" xr:uid="{00000000-0005-0000-0000-000025180000}"/>
    <cellStyle name="_VC 6.15.06 update on 06GRC power costs.xls Chart 3 5" xfId="6189" xr:uid="{00000000-0005-0000-0000-000026180000}"/>
    <cellStyle name="_VC 6.15.06 update on 06GRC power costs.xls Chart 3 6" xfId="6190" xr:uid="{00000000-0005-0000-0000-000027180000}"/>
    <cellStyle name="_VC 6.15.06 update on 06GRC power costs.xls Chart 3 7" xfId="6191" xr:uid="{00000000-0005-0000-0000-000028180000}"/>
    <cellStyle name="_VC 6.15.06 update on 06GRC power costs.xls Chart 3_04 07E Wild Horse Wind Expansion (C) (2)" xfId="6192" xr:uid="{00000000-0005-0000-0000-000029180000}"/>
    <cellStyle name="_VC 6.15.06 update on 06GRC power costs.xls Chart 3_04 07E Wild Horse Wind Expansion (C) (2) 2" xfId="6193" xr:uid="{00000000-0005-0000-0000-00002A180000}"/>
    <cellStyle name="_VC 6.15.06 update on 06GRC power costs.xls Chart 3_04 07E Wild Horse Wind Expansion (C) (2) 2 2" xfId="6194" xr:uid="{00000000-0005-0000-0000-00002B180000}"/>
    <cellStyle name="_VC 6.15.06 update on 06GRC power costs.xls Chart 3_04 07E Wild Horse Wind Expansion (C) (2) 3" xfId="6195" xr:uid="{00000000-0005-0000-0000-00002C180000}"/>
    <cellStyle name="_VC 6.15.06 update on 06GRC power costs.xls Chart 3_04 07E Wild Horse Wind Expansion (C) (2) 4" xfId="6196" xr:uid="{00000000-0005-0000-0000-00002D180000}"/>
    <cellStyle name="_VC 6.15.06 update on 06GRC power costs.xls Chart 3_04 07E Wild Horse Wind Expansion (C) (2)_Adj Bench DR 3 for Initial Briefs (Electric)" xfId="6197" xr:uid="{00000000-0005-0000-0000-00002E180000}"/>
    <cellStyle name="_VC 6.15.06 update on 06GRC power costs.xls Chart 3_04 07E Wild Horse Wind Expansion (C) (2)_Adj Bench DR 3 for Initial Briefs (Electric) 2" xfId="6198" xr:uid="{00000000-0005-0000-0000-00002F180000}"/>
    <cellStyle name="_VC 6.15.06 update on 06GRC power costs.xls Chart 3_04 07E Wild Horse Wind Expansion (C) (2)_Adj Bench DR 3 for Initial Briefs (Electric) 2 2" xfId="6199" xr:uid="{00000000-0005-0000-0000-000030180000}"/>
    <cellStyle name="_VC 6.15.06 update on 06GRC power costs.xls Chart 3_04 07E Wild Horse Wind Expansion (C) (2)_Adj Bench DR 3 for Initial Briefs (Electric) 3" xfId="6200" xr:uid="{00000000-0005-0000-0000-000031180000}"/>
    <cellStyle name="_VC 6.15.06 update on 06GRC power costs.xls Chart 3_04 07E Wild Horse Wind Expansion (C) (2)_Adj Bench DR 3 for Initial Briefs (Electric) 4" xfId="6201" xr:uid="{00000000-0005-0000-0000-000032180000}"/>
    <cellStyle name="_VC 6.15.06 update on 06GRC power costs.xls Chart 3_04 07E Wild Horse Wind Expansion (C) (2)_Book1" xfId="6202" xr:uid="{00000000-0005-0000-0000-000033180000}"/>
    <cellStyle name="_VC 6.15.06 update on 06GRC power costs.xls Chart 3_04 07E Wild Horse Wind Expansion (C) (2)_Electric Rev Req Model (2009 GRC) " xfId="6203" xr:uid="{00000000-0005-0000-0000-000034180000}"/>
    <cellStyle name="_VC 6.15.06 update on 06GRC power costs.xls Chart 3_04 07E Wild Horse Wind Expansion (C) (2)_Electric Rev Req Model (2009 GRC)  2" xfId="6204" xr:uid="{00000000-0005-0000-0000-000035180000}"/>
    <cellStyle name="_VC 6.15.06 update on 06GRC power costs.xls Chart 3_04 07E Wild Horse Wind Expansion (C) (2)_Electric Rev Req Model (2009 GRC)  2 2" xfId="6205" xr:uid="{00000000-0005-0000-0000-000036180000}"/>
    <cellStyle name="_VC 6.15.06 update on 06GRC power costs.xls Chart 3_04 07E Wild Horse Wind Expansion (C) (2)_Electric Rev Req Model (2009 GRC)  3" xfId="6206" xr:uid="{00000000-0005-0000-0000-000037180000}"/>
    <cellStyle name="_VC 6.15.06 update on 06GRC power costs.xls Chart 3_04 07E Wild Horse Wind Expansion (C) (2)_Electric Rev Req Model (2009 GRC)  4" xfId="6207" xr:uid="{00000000-0005-0000-0000-000038180000}"/>
    <cellStyle name="_VC 6.15.06 update on 06GRC power costs.xls Chart 3_04 07E Wild Horse Wind Expansion (C) (2)_Electric Rev Req Model (2009 GRC) Rebuttal" xfId="6208" xr:uid="{00000000-0005-0000-0000-000039180000}"/>
    <cellStyle name="_VC 6.15.06 update on 06GRC power costs.xls Chart 3_04 07E Wild Horse Wind Expansion (C) (2)_Electric Rev Req Model (2009 GRC) Rebuttal 2" xfId="6209" xr:uid="{00000000-0005-0000-0000-00003A180000}"/>
    <cellStyle name="_VC 6.15.06 update on 06GRC power costs.xls Chart 3_04 07E Wild Horse Wind Expansion (C) (2)_Electric Rev Req Model (2009 GRC) Rebuttal 2 2" xfId="6210" xr:uid="{00000000-0005-0000-0000-00003B180000}"/>
    <cellStyle name="_VC 6.15.06 update on 06GRC power costs.xls Chart 3_04 07E Wild Horse Wind Expansion (C) (2)_Electric Rev Req Model (2009 GRC) Rebuttal 3" xfId="6211" xr:uid="{00000000-0005-0000-0000-00003C180000}"/>
    <cellStyle name="_VC 6.15.06 update on 06GRC power costs.xls Chart 3_04 07E Wild Horse Wind Expansion (C) (2)_Electric Rev Req Model (2009 GRC) Rebuttal 4" xfId="6212" xr:uid="{00000000-0005-0000-0000-00003D180000}"/>
    <cellStyle name="_VC 6.15.06 update on 06GRC power costs.xls Chart 3_04 07E Wild Horse Wind Expansion (C) (2)_Electric Rev Req Model (2009 GRC) Rebuttal REmoval of New  WH Solar AdjustMI" xfId="6213" xr:uid="{00000000-0005-0000-0000-00003E180000}"/>
    <cellStyle name="_VC 6.15.06 update on 06GRC power costs.xls Chart 3_04 07E Wild Horse Wind Expansion (C) (2)_Electric Rev Req Model (2009 GRC) Rebuttal REmoval of New  WH Solar AdjustMI 2" xfId="6214" xr:uid="{00000000-0005-0000-0000-00003F180000}"/>
    <cellStyle name="_VC 6.15.06 update on 06GRC power costs.xls Chart 3_04 07E Wild Horse Wind Expansion (C) (2)_Electric Rev Req Model (2009 GRC) Rebuttal REmoval of New  WH Solar AdjustMI 2 2" xfId="6215" xr:uid="{00000000-0005-0000-0000-000040180000}"/>
    <cellStyle name="_VC 6.15.06 update on 06GRC power costs.xls Chart 3_04 07E Wild Horse Wind Expansion (C) (2)_Electric Rev Req Model (2009 GRC) Rebuttal REmoval of New  WH Solar AdjustMI 3" xfId="6216" xr:uid="{00000000-0005-0000-0000-000041180000}"/>
    <cellStyle name="_VC 6.15.06 update on 06GRC power costs.xls Chart 3_04 07E Wild Horse Wind Expansion (C) (2)_Electric Rev Req Model (2009 GRC) Rebuttal REmoval of New  WH Solar AdjustMI 4" xfId="6217" xr:uid="{00000000-0005-0000-0000-000042180000}"/>
    <cellStyle name="_VC 6.15.06 update on 06GRC power costs.xls Chart 3_04 07E Wild Horse Wind Expansion (C) (2)_Electric Rev Req Model (2009 GRC) Revised 01-18-2010" xfId="6218" xr:uid="{00000000-0005-0000-0000-000043180000}"/>
    <cellStyle name="_VC 6.15.06 update on 06GRC power costs.xls Chart 3_04 07E Wild Horse Wind Expansion (C) (2)_Electric Rev Req Model (2009 GRC) Revised 01-18-2010 2" xfId="6219" xr:uid="{00000000-0005-0000-0000-000044180000}"/>
    <cellStyle name="_VC 6.15.06 update on 06GRC power costs.xls Chart 3_04 07E Wild Horse Wind Expansion (C) (2)_Electric Rev Req Model (2009 GRC) Revised 01-18-2010 2 2" xfId="6220" xr:uid="{00000000-0005-0000-0000-000045180000}"/>
    <cellStyle name="_VC 6.15.06 update on 06GRC power costs.xls Chart 3_04 07E Wild Horse Wind Expansion (C) (2)_Electric Rev Req Model (2009 GRC) Revised 01-18-2010 3" xfId="6221" xr:uid="{00000000-0005-0000-0000-000046180000}"/>
    <cellStyle name="_VC 6.15.06 update on 06GRC power costs.xls Chart 3_04 07E Wild Horse Wind Expansion (C) (2)_Electric Rev Req Model (2009 GRC) Revised 01-18-2010 4" xfId="6222" xr:uid="{00000000-0005-0000-0000-000047180000}"/>
    <cellStyle name="_VC 6.15.06 update on 06GRC power costs.xls Chart 3_04 07E Wild Horse Wind Expansion (C) (2)_Electric Rev Req Model (2010 GRC)" xfId="6223" xr:uid="{00000000-0005-0000-0000-000048180000}"/>
    <cellStyle name="_VC 6.15.06 update on 06GRC power costs.xls Chart 3_04 07E Wild Horse Wind Expansion (C) (2)_Electric Rev Req Model (2010 GRC) SF" xfId="6224" xr:uid="{00000000-0005-0000-0000-000049180000}"/>
    <cellStyle name="_VC 6.15.06 update on 06GRC power costs.xls Chart 3_04 07E Wild Horse Wind Expansion (C) (2)_Final Order Electric EXHIBIT A-1" xfId="6225" xr:uid="{00000000-0005-0000-0000-00004A180000}"/>
    <cellStyle name="_VC 6.15.06 update on 06GRC power costs.xls Chart 3_04 07E Wild Horse Wind Expansion (C) (2)_Final Order Electric EXHIBIT A-1 2" xfId="6226" xr:uid="{00000000-0005-0000-0000-00004B180000}"/>
    <cellStyle name="_VC 6.15.06 update on 06GRC power costs.xls Chart 3_04 07E Wild Horse Wind Expansion (C) (2)_Final Order Electric EXHIBIT A-1 2 2" xfId="6227" xr:uid="{00000000-0005-0000-0000-00004C180000}"/>
    <cellStyle name="_VC 6.15.06 update on 06GRC power costs.xls Chart 3_04 07E Wild Horse Wind Expansion (C) (2)_Final Order Electric EXHIBIT A-1 3" xfId="6228" xr:uid="{00000000-0005-0000-0000-00004D180000}"/>
    <cellStyle name="_VC 6.15.06 update on 06GRC power costs.xls Chart 3_04 07E Wild Horse Wind Expansion (C) (2)_Final Order Electric EXHIBIT A-1 4" xfId="6229" xr:uid="{00000000-0005-0000-0000-00004E180000}"/>
    <cellStyle name="_VC 6.15.06 update on 06GRC power costs.xls Chart 3_04 07E Wild Horse Wind Expansion (C) (2)_TENASKA REGULATORY ASSET" xfId="6230" xr:uid="{00000000-0005-0000-0000-00004F180000}"/>
    <cellStyle name="_VC 6.15.06 update on 06GRC power costs.xls Chart 3_04 07E Wild Horse Wind Expansion (C) (2)_TENASKA REGULATORY ASSET 2" xfId="6231" xr:uid="{00000000-0005-0000-0000-000050180000}"/>
    <cellStyle name="_VC 6.15.06 update on 06GRC power costs.xls Chart 3_04 07E Wild Horse Wind Expansion (C) (2)_TENASKA REGULATORY ASSET 2 2" xfId="6232" xr:uid="{00000000-0005-0000-0000-000051180000}"/>
    <cellStyle name="_VC 6.15.06 update on 06GRC power costs.xls Chart 3_04 07E Wild Horse Wind Expansion (C) (2)_TENASKA REGULATORY ASSET 3" xfId="6233" xr:uid="{00000000-0005-0000-0000-000052180000}"/>
    <cellStyle name="_VC 6.15.06 update on 06GRC power costs.xls Chart 3_04 07E Wild Horse Wind Expansion (C) (2)_TENASKA REGULATORY ASSET 4" xfId="6234" xr:uid="{00000000-0005-0000-0000-000053180000}"/>
    <cellStyle name="_VC 6.15.06 update on 06GRC power costs.xls Chart 3_16.37E Wild Horse Expansion DeferralRevwrkingfile SF" xfId="6235" xr:uid="{00000000-0005-0000-0000-000054180000}"/>
    <cellStyle name="_VC 6.15.06 update on 06GRC power costs.xls Chart 3_16.37E Wild Horse Expansion DeferralRevwrkingfile SF 2" xfId="6236" xr:uid="{00000000-0005-0000-0000-000055180000}"/>
    <cellStyle name="_VC 6.15.06 update on 06GRC power costs.xls Chart 3_16.37E Wild Horse Expansion DeferralRevwrkingfile SF 2 2" xfId="6237" xr:uid="{00000000-0005-0000-0000-000056180000}"/>
    <cellStyle name="_VC 6.15.06 update on 06GRC power costs.xls Chart 3_16.37E Wild Horse Expansion DeferralRevwrkingfile SF 3" xfId="6238" xr:uid="{00000000-0005-0000-0000-000057180000}"/>
    <cellStyle name="_VC 6.15.06 update on 06GRC power costs.xls Chart 3_16.37E Wild Horse Expansion DeferralRevwrkingfile SF 4" xfId="6239" xr:uid="{00000000-0005-0000-0000-000058180000}"/>
    <cellStyle name="_VC 6.15.06 update on 06GRC power costs.xls Chart 3_2009 Compliance Filing PCA Exhibits for GRC" xfId="6240" xr:uid="{00000000-0005-0000-0000-000059180000}"/>
    <cellStyle name="_VC 6.15.06 update on 06GRC power costs.xls Chart 3_2009 Compliance Filing PCA Exhibits for GRC 2" xfId="6241" xr:uid="{00000000-0005-0000-0000-00005A180000}"/>
    <cellStyle name="_VC 6.15.06 update on 06GRC power costs.xls Chart 3_2009 GRC Compl Filing - Exhibit D" xfId="6242" xr:uid="{00000000-0005-0000-0000-00005B180000}"/>
    <cellStyle name="_VC 6.15.06 update on 06GRC power costs.xls Chart 3_2009 GRC Compl Filing - Exhibit D 2" xfId="6243" xr:uid="{00000000-0005-0000-0000-00005C180000}"/>
    <cellStyle name="_VC 6.15.06 update on 06GRC power costs.xls Chart 3_2009 GRC Compl Filing - Exhibit D 3" xfId="6244" xr:uid="{00000000-0005-0000-0000-00005D180000}"/>
    <cellStyle name="_VC 6.15.06 update on 06GRC power costs.xls Chart 3_3.01 Income Statement" xfId="6245" xr:uid="{00000000-0005-0000-0000-00005E180000}"/>
    <cellStyle name="_VC 6.15.06 update on 06GRC power costs.xls Chart 3_4 31 Regulatory Assets and Liabilities  7 06- Exhibit D" xfId="6246" xr:uid="{00000000-0005-0000-0000-00005F180000}"/>
    <cellStyle name="_VC 6.15.06 update on 06GRC power costs.xls Chart 3_4 31 Regulatory Assets and Liabilities  7 06- Exhibit D 2" xfId="6247" xr:uid="{00000000-0005-0000-0000-000060180000}"/>
    <cellStyle name="_VC 6.15.06 update on 06GRC power costs.xls Chart 3_4 31 Regulatory Assets and Liabilities  7 06- Exhibit D 2 2" xfId="6248" xr:uid="{00000000-0005-0000-0000-000061180000}"/>
    <cellStyle name="_VC 6.15.06 update on 06GRC power costs.xls Chart 3_4 31 Regulatory Assets and Liabilities  7 06- Exhibit D 3" xfId="6249" xr:uid="{00000000-0005-0000-0000-000062180000}"/>
    <cellStyle name="_VC 6.15.06 update on 06GRC power costs.xls Chart 3_4 31 Regulatory Assets and Liabilities  7 06- Exhibit D 4" xfId="6250" xr:uid="{00000000-0005-0000-0000-000063180000}"/>
    <cellStyle name="_VC 6.15.06 update on 06GRC power costs.xls Chart 3_4 31 Regulatory Assets and Liabilities  7 06- Exhibit D_NIM Summary" xfId="6251" xr:uid="{00000000-0005-0000-0000-000064180000}"/>
    <cellStyle name="_VC 6.15.06 update on 06GRC power costs.xls Chart 3_4 31 Regulatory Assets and Liabilities  7 06- Exhibit D_NIM Summary 2" xfId="6252" xr:uid="{00000000-0005-0000-0000-000065180000}"/>
    <cellStyle name="_VC 6.15.06 update on 06GRC power costs.xls Chart 3_4 32 Regulatory Assets and Liabilities  7 06- Exhibit D" xfId="6253" xr:uid="{00000000-0005-0000-0000-000066180000}"/>
    <cellStyle name="_VC 6.15.06 update on 06GRC power costs.xls Chart 3_4 32 Regulatory Assets and Liabilities  7 06- Exhibit D 2" xfId="6254" xr:uid="{00000000-0005-0000-0000-000067180000}"/>
    <cellStyle name="_VC 6.15.06 update on 06GRC power costs.xls Chart 3_4 32 Regulatory Assets and Liabilities  7 06- Exhibit D 2 2" xfId="6255" xr:uid="{00000000-0005-0000-0000-000068180000}"/>
    <cellStyle name="_VC 6.15.06 update on 06GRC power costs.xls Chart 3_4 32 Regulatory Assets and Liabilities  7 06- Exhibit D 3" xfId="6256" xr:uid="{00000000-0005-0000-0000-000069180000}"/>
    <cellStyle name="_VC 6.15.06 update on 06GRC power costs.xls Chart 3_4 32 Regulatory Assets and Liabilities  7 06- Exhibit D 4" xfId="6257" xr:uid="{00000000-0005-0000-0000-00006A180000}"/>
    <cellStyle name="_VC 6.15.06 update on 06GRC power costs.xls Chart 3_4 32 Regulatory Assets and Liabilities  7 06- Exhibit D_NIM Summary" xfId="6258" xr:uid="{00000000-0005-0000-0000-00006B180000}"/>
    <cellStyle name="_VC 6.15.06 update on 06GRC power costs.xls Chart 3_4 32 Regulatory Assets and Liabilities  7 06- Exhibit D_NIM Summary 2" xfId="6259" xr:uid="{00000000-0005-0000-0000-00006C180000}"/>
    <cellStyle name="_VC 6.15.06 update on 06GRC power costs.xls Chart 3_ACCOUNTS" xfId="6260" xr:uid="{00000000-0005-0000-0000-00006D180000}"/>
    <cellStyle name="_VC 6.15.06 update on 06GRC power costs.xls Chart 3_AURORA Total New" xfId="6261" xr:uid="{00000000-0005-0000-0000-00006E180000}"/>
    <cellStyle name="_VC 6.15.06 update on 06GRC power costs.xls Chart 3_AURORA Total New 2" xfId="6262" xr:uid="{00000000-0005-0000-0000-00006F180000}"/>
    <cellStyle name="_VC 6.15.06 update on 06GRC power costs.xls Chart 3_Book2" xfId="6263" xr:uid="{00000000-0005-0000-0000-000070180000}"/>
    <cellStyle name="_VC 6.15.06 update on 06GRC power costs.xls Chart 3_Book2 2" xfId="6264" xr:uid="{00000000-0005-0000-0000-000071180000}"/>
    <cellStyle name="_VC 6.15.06 update on 06GRC power costs.xls Chart 3_Book2 2 2" xfId="6265" xr:uid="{00000000-0005-0000-0000-000072180000}"/>
    <cellStyle name="_VC 6.15.06 update on 06GRC power costs.xls Chart 3_Book2 3" xfId="6266" xr:uid="{00000000-0005-0000-0000-000073180000}"/>
    <cellStyle name="_VC 6.15.06 update on 06GRC power costs.xls Chart 3_Book2 4" xfId="6267" xr:uid="{00000000-0005-0000-0000-000074180000}"/>
    <cellStyle name="_VC 6.15.06 update on 06GRC power costs.xls Chart 3_Book2_Adj Bench DR 3 for Initial Briefs (Electric)" xfId="6268" xr:uid="{00000000-0005-0000-0000-000075180000}"/>
    <cellStyle name="_VC 6.15.06 update on 06GRC power costs.xls Chart 3_Book2_Adj Bench DR 3 for Initial Briefs (Electric) 2" xfId="6269" xr:uid="{00000000-0005-0000-0000-000076180000}"/>
    <cellStyle name="_VC 6.15.06 update on 06GRC power costs.xls Chart 3_Book2_Adj Bench DR 3 for Initial Briefs (Electric) 2 2" xfId="6270" xr:uid="{00000000-0005-0000-0000-000077180000}"/>
    <cellStyle name="_VC 6.15.06 update on 06GRC power costs.xls Chart 3_Book2_Adj Bench DR 3 for Initial Briefs (Electric) 3" xfId="6271" xr:uid="{00000000-0005-0000-0000-000078180000}"/>
    <cellStyle name="_VC 6.15.06 update on 06GRC power costs.xls Chart 3_Book2_Adj Bench DR 3 for Initial Briefs (Electric) 4" xfId="6272" xr:uid="{00000000-0005-0000-0000-000079180000}"/>
    <cellStyle name="_VC 6.15.06 update on 06GRC power costs.xls Chart 3_Book2_Electric Rev Req Model (2009 GRC) Rebuttal" xfId="6273" xr:uid="{00000000-0005-0000-0000-00007A180000}"/>
    <cellStyle name="_VC 6.15.06 update on 06GRC power costs.xls Chart 3_Book2_Electric Rev Req Model (2009 GRC) Rebuttal 2" xfId="6274" xr:uid="{00000000-0005-0000-0000-00007B180000}"/>
    <cellStyle name="_VC 6.15.06 update on 06GRC power costs.xls Chart 3_Book2_Electric Rev Req Model (2009 GRC) Rebuttal 2 2" xfId="6275" xr:uid="{00000000-0005-0000-0000-00007C180000}"/>
    <cellStyle name="_VC 6.15.06 update on 06GRC power costs.xls Chart 3_Book2_Electric Rev Req Model (2009 GRC) Rebuttal 3" xfId="6276" xr:uid="{00000000-0005-0000-0000-00007D180000}"/>
    <cellStyle name="_VC 6.15.06 update on 06GRC power costs.xls Chart 3_Book2_Electric Rev Req Model (2009 GRC) Rebuttal 4" xfId="6277" xr:uid="{00000000-0005-0000-0000-00007E180000}"/>
    <cellStyle name="_VC 6.15.06 update on 06GRC power costs.xls Chart 3_Book2_Electric Rev Req Model (2009 GRC) Rebuttal REmoval of New  WH Solar AdjustMI" xfId="6278" xr:uid="{00000000-0005-0000-0000-00007F180000}"/>
    <cellStyle name="_VC 6.15.06 update on 06GRC power costs.xls Chart 3_Book2_Electric Rev Req Model (2009 GRC) Rebuttal REmoval of New  WH Solar AdjustMI 2" xfId="6279" xr:uid="{00000000-0005-0000-0000-000080180000}"/>
    <cellStyle name="_VC 6.15.06 update on 06GRC power costs.xls Chart 3_Book2_Electric Rev Req Model (2009 GRC) Rebuttal REmoval of New  WH Solar AdjustMI 2 2" xfId="6280" xr:uid="{00000000-0005-0000-0000-000081180000}"/>
    <cellStyle name="_VC 6.15.06 update on 06GRC power costs.xls Chart 3_Book2_Electric Rev Req Model (2009 GRC) Rebuttal REmoval of New  WH Solar AdjustMI 3" xfId="6281" xr:uid="{00000000-0005-0000-0000-000082180000}"/>
    <cellStyle name="_VC 6.15.06 update on 06GRC power costs.xls Chart 3_Book2_Electric Rev Req Model (2009 GRC) Rebuttal REmoval of New  WH Solar AdjustMI 4" xfId="6282" xr:uid="{00000000-0005-0000-0000-000083180000}"/>
    <cellStyle name="_VC 6.15.06 update on 06GRC power costs.xls Chart 3_Book2_Electric Rev Req Model (2009 GRC) Revised 01-18-2010" xfId="6283" xr:uid="{00000000-0005-0000-0000-000084180000}"/>
    <cellStyle name="_VC 6.15.06 update on 06GRC power costs.xls Chart 3_Book2_Electric Rev Req Model (2009 GRC) Revised 01-18-2010 2" xfId="6284" xr:uid="{00000000-0005-0000-0000-000085180000}"/>
    <cellStyle name="_VC 6.15.06 update on 06GRC power costs.xls Chart 3_Book2_Electric Rev Req Model (2009 GRC) Revised 01-18-2010 2 2" xfId="6285" xr:uid="{00000000-0005-0000-0000-000086180000}"/>
    <cellStyle name="_VC 6.15.06 update on 06GRC power costs.xls Chart 3_Book2_Electric Rev Req Model (2009 GRC) Revised 01-18-2010 3" xfId="6286" xr:uid="{00000000-0005-0000-0000-000087180000}"/>
    <cellStyle name="_VC 6.15.06 update on 06GRC power costs.xls Chart 3_Book2_Electric Rev Req Model (2009 GRC) Revised 01-18-2010 4" xfId="6287" xr:uid="{00000000-0005-0000-0000-000088180000}"/>
    <cellStyle name="_VC 6.15.06 update on 06GRC power costs.xls Chart 3_Book2_Final Order Electric EXHIBIT A-1" xfId="6288" xr:uid="{00000000-0005-0000-0000-000089180000}"/>
    <cellStyle name="_VC 6.15.06 update on 06GRC power costs.xls Chart 3_Book2_Final Order Electric EXHIBIT A-1 2" xfId="6289" xr:uid="{00000000-0005-0000-0000-00008A180000}"/>
    <cellStyle name="_VC 6.15.06 update on 06GRC power costs.xls Chart 3_Book2_Final Order Electric EXHIBIT A-1 2 2" xfId="6290" xr:uid="{00000000-0005-0000-0000-00008B180000}"/>
    <cellStyle name="_VC 6.15.06 update on 06GRC power costs.xls Chart 3_Book2_Final Order Electric EXHIBIT A-1 3" xfId="6291" xr:uid="{00000000-0005-0000-0000-00008C180000}"/>
    <cellStyle name="_VC 6.15.06 update on 06GRC power costs.xls Chart 3_Book2_Final Order Electric EXHIBIT A-1 4" xfId="6292" xr:uid="{00000000-0005-0000-0000-00008D180000}"/>
    <cellStyle name="_VC 6.15.06 update on 06GRC power costs.xls Chart 3_Book4" xfId="6293" xr:uid="{00000000-0005-0000-0000-00008E180000}"/>
    <cellStyle name="_VC 6.15.06 update on 06GRC power costs.xls Chart 3_Book4 2" xfId="6294" xr:uid="{00000000-0005-0000-0000-00008F180000}"/>
    <cellStyle name="_VC 6.15.06 update on 06GRC power costs.xls Chart 3_Book4 2 2" xfId="6295" xr:uid="{00000000-0005-0000-0000-000090180000}"/>
    <cellStyle name="_VC 6.15.06 update on 06GRC power costs.xls Chart 3_Book4 3" xfId="6296" xr:uid="{00000000-0005-0000-0000-000091180000}"/>
    <cellStyle name="_VC 6.15.06 update on 06GRC power costs.xls Chart 3_Book4 4" xfId="6297" xr:uid="{00000000-0005-0000-0000-000092180000}"/>
    <cellStyle name="_VC 6.15.06 update on 06GRC power costs.xls Chart 3_Book9" xfId="6298" xr:uid="{00000000-0005-0000-0000-000093180000}"/>
    <cellStyle name="_VC 6.15.06 update on 06GRC power costs.xls Chart 3_Book9 2" xfId="6299" xr:uid="{00000000-0005-0000-0000-000094180000}"/>
    <cellStyle name="_VC 6.15.06 update on 06GRC power costs.xls Chart 3_Book9 2 2" xfId="6300" xr:uid="{00000000-0005-0000-0000-000095180000}"/>
    <cellStyle name="_VC 6.15.06 update on 06GRC power costs.xls Chart 3_Book9 3" xfId="6301" xr:uid="{00000000-0005-0000-0000-000096180000}"/>
    <cellStyle name="_VC 6.15.06 update on 06GRC power costs.xls Chart 3_Book9 4" xfId="6302" xr:uid="{00000000-0005-0000-0000-000097180000}"/>
    <cellStyle name="_VC 6.15.06 update on 06GRC power costs.xls Chart 3_Chelan PUD Power Costs (8-10)" xfId="6303" xr:uid="{00000000-0005-0000-0000-000098180000}"/>
    <cellStyle name="_VC 6.15.06 update on 06GRC power costs.xls Chart 3_Gas Rev Req Model (2010 GRC)" xfId="6304" xr:uid="{00000000-0005-0000-0000-000099180000}"/>
    <cellStyle name="_VC 6.15.06 update on 06GRC power costs.xls Chart 3_INPUTS" xfId="6305" xr:uid="{00000000-0005-0000-0000-00009A180000}"/>
    <cellStyle name="_VC 6.15.06 update on 06GRC power costs.xls Chart 3_INPUTS 2" xfId="6306" xr:uid="{00000000-0005-0000-0000-00009B180000}"/>
    <cellStyle name="_VC 6.15.06 update on 06GRC power costs.xls Chart 3_INPUTS 2 2" xfId="6307" xr:uid="{00000000-0005-0000-0000-00009C180000}"/>
    <cellStyle name="_VC 6.15.06 update on 06GRC power costs.xls Chart 3_INPUTS 3" xfId="6308" xr:uid="{00000000-0005-0000-0000-00009D180000}"/>
    <cellStyle name="_VC 6.15.06 update on 06GRC power costs.xls Chart 3_NIM Summary" xfId="6309" xr:uid="{00000000-0005-0000-0000-00009E180000}"/>
    <cellStyle name="_VC 6.15.06 update on 06GRC power costs.xls Chart 3_NIM Summary 09GRC" xfId="6310" xr:uid="{00000000-0005-0000-0000-00009F180000}"/>
    <cellStyle name="_VC 6.15.06 update on 06GRC power costs.xls Chart 3_NIM Summary 09GRC 2" xfId="6311" xr:uid="{00000000-0005-0000-0000-0000A0180000}"/>
    <cellStyle name="_VC 6.15.06 update on 06GRC power costs.xls Chart 3_NIM Summary 2" xfId="6312" xr:uid="{00000000-0005-0000-0000-0000A1180000}"/>
    <cellStyle name="_VC 6.15.06 update on 06GRC power costs.xls Chart 3_NIM Summary 3" xfId="6313" xr:uid="{00000000-0005-0000-0000-0000A2180000}"/>
    <cellStyle name="_VC 6.15.06 update on 06GRC power costs.xls Chart 3_NIM Summary 4" xfId="6314" xr:uid="{00000000-0005-0000-0000-0000A3180000}"/>
    <cellStyle name="_VC 6.15.06 update on 06GRC power costs.xls Chart 3_NIM Summary 5" xfId="6315" xr:uid="{00000000-0005-0000-0000-0000A4180000}"/>
    <cellStyle name="_VC 6.15.06 update on 06GRC power costs.xls Chart 3_NIM Summary 6" xfId="6316" xr:uid="{00000000-0005-0000-0000-0000A5180000}"/>
    <cellStyle name="_VC 6.15.06 update on 06GRC power costs.xls Chart 3_NIM Summary 7" xfId="6317" xr:uid="{00000000-0005-0000-0000-0000A6180000}"/>
    <cellStyle name="_VC 6.15.06 update on 06GRC power costs.xls Chart 3_NIM Summary 8" xfId="6318" xr:uid="{00000000-0005-0000-0000-0000A7180000}"/>
    <cellStyle name="_VC 6.15.06 update on 06GRC power costs.xls Chart 3_NIM Summary 9" xfId="6319" xr:uid="{00000000-0005-0000-0000-0000A8180000}"/>
    <cellStyle name="_VC 6.15.06 update on 06GRC power costs.xls Chart 3_PCA 10 -  Exhibit D from A Kellogg Jan 2011" xfId="6320" xr:uid="{00000000-0005-0000-0000-0000A9180000}"/>
    <cellStyle name="_VC 6.15.06 update on 06GRC power costs.xls Chart 3_PCA 10 -  Exhibit D from A Kellogg July 2011" xfId="6321" xr:uid="{00000000-0005-0000-0000-0000AA180000}"/>
    <cellStyle name="_VC 6.15.06 update on 06GRC power costs.xls Chart 3_PCA 10 -  Exhibit D from S Free Rcv'd 12-11" xfId="6322" xr:uid="{00000000-0005-0000-0000-0000AB180000}"/>
    <cellStyle name="_VC 6.15.06 update on 06GRC power costs.xls Chart 3_PCA 9 -  Exhibit D April 2010" xfId="6323" xr:uid="{00000000-0005-0000-0000-0000AC180000}"/>
    <cellStyle name="_VC 6.15.06 update on 06GRC power costs.xls Chart 3_PCA 9 -  Exhibit D April 2010 (3)" xfId="6324" xr:uid="{00000000-0005-0000-0000-0000AD180000}"/>
    <cellStyle name="_VC 6.15.06 update on 06GRC power costs.xls Chart 3_PCA 9 -  Exhibit D April 2010 (3) 2" xfId="6325" xr:uid="{00000000-0005-0000-0000-0000AE180000}"/>
    <cellStyle name="_VC 6.15.06 update on 06GRC power costs.xls Chart 3_PCA 9 -  Exhibit D April 2010 2" xfId="6326" xr:uid="{00000000-0005-0000-0000-0000AF180000}"/>
    <cellStyle name="_VC 6.15.06 update on 06GRC power costs.xls Chart 3_PCA 9 -  Exhibit D April 2010 3" xfId="6327" xr:uid="{00000000-0005-0000-0000-0000B0180000}"/>
    <cellStyle name="_VC 6.15.06 update on 06GRC power costs.xls Chart 3_PCA 9 -  Exhibit D Nov 2010" xfId="6328" xr:uid="{00000000-0005-0000-0000-0000B1180000}"/>
    <cellStyle name="_VC 6.15.06 update on 06GRC power costs.xls Chart 3_PCA 9 -  Exhibit D Nov 2010 2" xfId="6329" xr:uid="{00000000-0005-0000-0000-0000B2180000}"/>
    <cellStyle name="_VC 6.15.06 update on 06GRC power costs.xls Chart 3_PCA 9 - Exhibit D at August 2010" xfId="6330" xr:uid="{00000000-0005-0000-0000-0000B3180000}"/>
    <cellStyle name="_VC 6.15.06 update on 06GRC power costs.xls Chart 3_PCA 9 - Exhibit D at August 2010 2" xfId="6331" xr:uid="{00000000-0005-0000-0000-0000B4180000}"/>
    <cellStyle name="_VC 6.15.06 update on 06GRC power costs.xls Chart 3_PCA 9 - Exhibit D June 2010 GRC" xfId="6332" xr:uid="{00000000-0005-0000-0000-0000B5180000}"/>
    <cellStyle name="_VC 6.15.06 update on 06GRC power costs.xls Chart 3_PCA 9 - Exhibit D June 2010 GRC 2" xfId="6333" xr:uid="{00000000-0005-0000-0000-0000B6180000}"/>
    <cellStyle name="_VC 6.15.06 update on 06GRC power costs.xls Chart 3_Power Costs - Comparison bx Rbtl-Staff-Jt-PC" xfId="6334" xr:uid="{00000000-0005-0000-0000-0000B7180000}"/>
    <cellStyle name="_VC 6.15.06 update on 06GRC power costs.xls Chart 3_Power Costs - Comparison bx Rbtl-Staff-Jt-PC 2" xfId="6335" xr:uid="{00000000-0005-0000-0000-0000B8180000}"/>
    <cellStyle name="_VC 6.15.06 update on 06GRC power costs.xls Chart 3_Power Costs - Comparison bx Rbtl-Staff-Jt-PC 2 2" xfId="6336" xr:uid="{00000000-0005-0000-0000-0000B9180000}"/>
    <cellStyle name="_VC 6.15.06 update on 06GRC power costs.xls Chart 3_Power Costs - Comparison bx Rbtl-Staff-Jt-PC 3" xfId="6337" xr:uid="{00000000-0005-0000-0000-0000BA180000}"/>
    <cellStyle name="_VC 6.15.06 update on 06GRC power costs.xls Chart 3_Power Costs - Comparison bx Rbtl-Staff-Jt-PC 4" xfId="6338" xr:uid="{00000000-0005-0000-0000-0000BB180000}"/>
    <cellStyle name="_VC 6.15.06 update on 06GRC power costs.xls Chart 3_Power Costs - Comparison bx Rbtl-Staff-Jt-PC_Adj Bench DR 3 for Initial Briefs (Electric)" xfId="6339" xr:uid="{00000000-0005-0000-0000-0000BC180000}"/>
    <cellStyle name="_VC 6.15.06 update on 06GRC power costs.xls Chart 3_Power Costs - Comparison bx Rbtl-Staff-Jt-PC_Adj Bench DR 3 for Initial Briefs (Electric) 2" xfId="6340" xr:uid="{00000000-0005-0000-0000-0000BD180000}"/>
    <cellStyle name="_VC 6.15.06 update on 06GRC power costs.xls Chart 3_Power Costs - Comparison bx Rbtl-Staff-Jt-PC_Adj Bench DR 3 for Initial Briefs (Electric) 2 2" xfId="6341" xr:uid="{00000000-0005-0000-0000-0000BE180000}"/>
    <cellStyle name="_VC 6.15.06 update on 06GRC power costs.xls Chart 3_Power Costs - Comparison bx Rbtl-Staff-Jt-PC_Adj Bench DR 3 for Initial Briefs (Electric) 3" xfId="6342" xr:uid="{00000000-0005-0000-0000-0000BF180000}"/>
    <cellStyle name="_VC 6.15.06 update on 06GRC power costs.xls Chart 3_Power Costs - Comparison bx Rbtl-Staff-Jt-PC_Adj Bench DR 3 for Initial Briefs (Electric) 4" xfId="6343" xr:uid="{00000000-0005-0000-0000-0000C0180000}"/>
    <cellStyle name="_VC 6.15.06 update on 06GRC power costs.xls Chart 3_Power Costs - Comparison bx Rbtl-Staff-Jt-PC_Electric Rev Req Model (2009 GRC) Rebuttal" xfId="6344" xr:uid="{00000000-0005-0000-0000-0000C1180000}"/>
    <cellStyle name="_VC 6.15.06 update on 06GRC power costs.xls Chart 3_Power Costs - Comparison bx Rbtl-Staff-Jt-PC_Electric Rev Req Model (2009 GRC) Rebuttal 2" xfId="6345" xr:uid="{00000000-0005-0000-0000-0000C2180000}"/>
    <cellStyle name="_VC 6.15.06 update on 06GRC power costs.xls Chart 3_Power Costs - Comparison bx Rbtl-Staff-Jt-PC_Electric Rev Req Model (2009 GRC) Rebuttal 2 2" xfId="6346" xr:uid="{00000000-0005-0000-0000-0000C3180000}"/>
    <cellStyle name="_VC 6.15.06 update on 06GRC power costs.xls Chart 3_Power Costs - Comparison bx Rbtl-Staff-Jt-PC_Electric Rev Req Model (2009 GRC) Rebuttal 3" xfId="6347" xr:uid="{00000000-0005-0000-0000-0000C4180000}"/>
    <cellStyle name="_VC 6.15.06 update on 06GRC power costs.xls Chart 3_Power Costs - Comparison bx Rbtl-Staff-Jt-PC_Electric Rev Req Model (2009 GRC) Rebuttal 4" xfId="6348" xr:uid="{00000000-0005-0000-0000-0000C5180000}"/>
    <cellStyle name="_VC 6.15.06 update on 06GRC power costs.xls Chart 3_Power Costs - Comparison bx Rbtl-Staff-Jt-PC_Electric Rev Req Model (2009 GRC) Rebuttal REmoval of New  WH Solar AdjustMI" xfId="6349" xr:uid="{00000000-0005-0000-0000-0000C6180000}"/>
    <cellStyle name="_VC 6.15.06 update on 06GRC power costs.xls Chart 3_Power Costs - Comparison bx Rbtl-Staff-Jt-PC_Electric Rev Req Model (2009 GRC) Rebuttal REmoval of New  WH Solar AdjustMI 2" xfId="6350" xr:uid="{00000000-0005-0000-0000-0000C7180000}"/>
    <cellStyle name="_VC 6.15.06 update on 06GRC power costs.xls Chart 3_Power Costs - Comparison bx Rbtl-Staff-Jt-PC_Electric Rev Req Model (2009 GRC) Rebuttal REmoval of New  WH Solar AdjustMI 2 2" xfId="6351" xr:uid="{00000000-0005-0000-0000-0000C8180000}"/>
    <cellStyle name="_VC 6.15.06 update on 06GRC power costs.xls Chart 3_Power Costs - Comparison bx Rbtl-Staff-Jt-PC_Electric Rev Req Model (2009 GRC) Rebuttal REmoval of New  WH Solar AdjustMI 3" xfId="6352" xr:uid="{00000000-0005-0000-0000-0000C9180000}"/>
    <cellStyle name="_VC 6.15.06 update on 06GRC power costs.xls Chart 3_Power Costs - Comparison bx Rbtl-Staff-Jt-PC_Electric Rev Req Model (2009 GRC) Rebuttal REmoval of New  WH Solar AdjustMI 4" xfId="6353" xr:uid="{00000000-0005-0000-0000-0000CA180000}"/>
    <cellStyle name="_VC 6.15.06 update on 06GRC power costs.xls Chart 3_Power Costs - Comparison bx Rbtl-Staff-Jt-PC_Electric Rev Req Model (2009 GRC) Revised 01-18-2010" xfId="6354" xr:uid="{00000000-0005-0000-0000-0000CB180000}"/>
    <cellStyle name="_VC 6.15.06 update on 06GRC power costs.xls Chart 3_Power Costs - Comparison bx Rbtl-Staff-Jt-PC_Electric Rev Req Model (2009 GRC) Revised 01-18-2010 2" xfId="6355" xr:uid="{00000000-0005-0000-0000-0000CC180000}"/>
    <cellStyle name="_VC 6.15.06 update on 06GRC power costs.xls Chart 3_Power Costs - Comparison bx Rbtl-Staff-Jt-PC_Electric Rev Req Model (2009 GRC) Revised 01-18-2010 2 2" xfId="6356" xr:uid="{00000000-0005-0000-0000-0000CD180000}"/>
    <cellStyle name="_VC 6.15.06 update on 06GRC power costs.xls Chart 3_Power Costs - Comparison bx Rbtl-Staff-Jt-PC_Electric Rev Req Model (2009 GRC) Revised 01-18-2010 3" xfId="6357" xr:uid="{00000000-0005-0000-0000-0000CE180000}"/>
    <cellStyle name="_VC 6.15.06 update on 06GRC power costs.xls Chart 3_Power Costs - Comparison bx Rbtl-Staff-Jt-PC_Electric Rev Req Model (2009 GRC) Revised 01-18-2010 4" xfId="6358" xr:uid="{00000000-0005-0000-0000-0000CF180000}"/>
    <cellStyle name="_VC 6.15.06 update on 06GRC power costs.xls Chart 3_Power Costs - Comparison bx Rbtl-Staff-Jt-PC_Final Order Electric EXHIBIT A-1" xfId="6359" xr:uid="{00000000-0005-0000-0000-0000D0180000}"/>
    <cellStyle name="_VC 6.15.06 update on 06GRC power costs.xls Chart 3_Power Costs - Comparison bx Rbtl-Staff-Jt-PC_Final Order Electric EXHIBIT A-1 2" xfId="6360" xr:uid="{00000000-0005-0000-0000-0000D1180000}"/>
    <cellStyle name="_VC 6.15.06 update on 06GRC power costs.xls Chart 3_Power Costs - Comparison bx Rbtl-Staff-Jt-PC_Final Order Electric EXHIBIT A-1 2 2" xfId="6361" xr:uid="{00000000-0005-0000-0000-0000D2180000}"/>
    <cellStyle name="_VC 6.15.06 update on 06GRC power costs.xls Chart 3_Power Costs - Comparison bx Rbtl-Staff-Jt-PC_Final Order Electric EXHIBIT A-1 3" xfId="6362" xr:uid="{00000000-0005-0000-0000-0000D3180000}"/>
    <cellStyle name="_VC 6.15.06 update on 06GRC power costs.xls Chart 3_Power Costs - Comparison bx Rbtl-Staff-Jt-PC_Final Order Electric EXHIBIT A-1 4" xfId="6363" xr:uid="{00000000-0005-0000-0000-0000D4180000}"/>
    <cellStyle name="_VC 6.15.06 update on 06GRC power costs.xls Chart 3_Production Adj 4.37" xfId="6364" xr:uid="{00000000-0005-0000-0000-0000D5180000}"/>
    <cellStyle name="_VC 6.15.06 update on 06GRC power costs.xls Chart 3_Production Adj 4.37 2" xfId="6365" xr:uid="{00000000-0005-0000-0000-0000D6180000}"/>
    <cellStyle name="_VC 6.15.06 update on 06GRC power costs.xls Chart 3_Production Adj 4.37 2 2" xfId="6366" xr:uid="{00000000-0005-0000-0000-0000D7180000}"/>
    <cellStyle name="_VC 6.15.06 update on 06GRC power costs.xls Chart 3_Production Adj 4.37 3" xfId="6367" xr:uid="{00000000-0005-0000-0000-0000D8180000}"/>
    <cellStyle name="_VC 6.15.06 update on 06GRC power costs.xls Chart 3_Purchased Power Adj 4.03" xfId="6368" xr:uid="{00000000-0005-0000-0000-0000D9180000}"/>
    <cellStyle name="_VC 6.15.06 update on 06GRC power costs.xls Chart 3_Purchased Power Adj 4.03 2" xfId="6369" xr:uid="{00000000-0005-0000-0000-0000DA180000}"/>
    <cellStyle name="_VC 6.15.06 update on 06GRC power costs.xls Chart 3_Purchased Power Adj 4.03 2 2" xfId="6370" xr:uid="{00000000-0005-0000-0000-0000DB180000}"/>
    <cellStyle name="_VC 6.15.06 update on 06GRC power costs.xls Chart 3_Purchased Power Adj 4.03 3" xfId="6371" xr:uid="{00000000-0005-0000-0000-0000DC180000}"/>
    <cellStyle name="_VC 6.15.06 update on 06GRC power costs.xls Chart 3_Rebuttal Power Costs" xfId="6372" xr:uid="{00000000-0005-0000-0000-0000DD180000}"/>
    <cellStyle name="_VC 6.15.06 update on 06GRC power costs.xls Chart 3_Rebuttal Power Costs 2" xfId="6373" xr:uid="{00000000-0005-0000-0000-0000DE180000}"/>
    <cellStyle name="_VC 6.15.06 update on 06GRC power costs.xls Chart 3_Rebuttal Power Costs 2 2" xfId="6374" xr:uid="{00000000-0005-0000-0000-0000DF180000}"/>
    <cellStyle name="_VC 6.15.06 update on 06GRC power costs.xls Chart 3_Rebuttal Power Costs 3" xfId="6375" xr:uid="{00000000-0005-0000-0000-0000E0180000}"/>
    <cellStyle name="_VC 6.15.06 update on 06GRC power costs.xls Chart 3_Rebuttal Power Costs 4" xfId="6376" xr:uid="{00000000-0005-0000-0000-0000E1180000}"/>
    <cellStyle name="_VC 6.15.06 update on 06GRC power costs.xls Chart 3_Rebuttal Power Costs_Adj Bench DR 3 for Initial Briefs (Electric)" xfId="6377" xr:uid="{00000000-0005-0000-0000-0000E2180000}"/>
    <cellStyle name="_VC 6.15.06 update on 06GRC power costs.xls Chart 3_Rebuttal Power Costs_Adj Bench DR 3 for Initial Briefs (Electric) 2" xfId="6378" xr:uid="{00000000-0005-0000-0000-0000E3180000}"/>
    <cellStyle name="_VC 6.15.06 update on 06GRC power costs.xls Chart 3_Rebuttal Power Costs_Adj Bench DR 3 for Initial Briefs (Electric) 2 2" xfId="6379" xr:uid="{00000000-0005-0000-0000-0000E4180000}"/>
    <cellStyle name="_VC 6.15.06 update on 06GRC power costs.xls Chart 3_Rebuttal Power Costs_Adj Bench DR 3 for Initial Briefs (Electric) 3" xfId="6380" xr:uid="{00000000-0005-0000-0000-0000E5180000}"/>
    <cellStyle name="_VC 6.15.06 update on 06GRC power costs.xls Chart 3_Rebuttal Power Costs_Adj Bench DR 3 for Initial Briefs (Electric) 4" xfId="6381" xr:uid="{00000000-0005-0000-0000-0000E6180000}"/>
    <cellStyle name="_VC 6.15.06 update on 06GRC power costs.xls Chart 3_Rebuttal Power Costs_Electric Rev Req Model (2009 GRC) Rebuttal" xfId="6382" xr:uid="{00000000-0005-0000-0000-0000E7180000}"/>
    <cellStyle name="_VC 6.15.06 update on 06GRC power costs.xls Chart 3_Rebuttal Power Costs_Electric Rev Req Model (2009 GRC) Rebuttal 2" xfId="6383" xr:uid="{00000000-0005-0000-0000-0000E8180000}"/>
    <cellStyle name="_VC 6.15.06 update on 06GRC power costs.xls Chart 3_Rebuttal Power Costs_Electric Rev Req Model (2009 GRC) Rebuttal 2 2" xfId="6384" xr:uid="{00000000-0005-0000-0000-0000E9180000}"/>
    <cellStyle name="_VC 6.15.06 update on 06GRC power costs.xls Chart 3_Rebuttal Power Costs_Electric Rev Req Model (2009 GRC) Rebuttal 3" xfId="6385" xr:uid="{00000000-0005-0000-0000-0000EA180000}"/>
    <cellStyle name="_VC 6.15.06 update on 06GRC power costs.xls Chart 3_Rebuttal Power Costs_Electric Rev Req Model (2009 GRC) Rebuttal 4" xfId="6386" xr:uid="{00000000-0005-0000-0000-0000EB180000}"/>
    <cellStyle name="_VC 6.15.06 update on 06GRC power costs.xls Chart 3_Rebuttal Power Costs_Electric Rev Req Model (2009 GRC) Rebuttal REmoval of New  WH Solar AdjustMI" xfId="6387" xr:uid="{00000000-0005-0000-0000-0000EC180000}"/>
    <cellStyle name="_VC 6.15.06 update on 06GRC power costs.xls Chart 3_Rebuttal Power Costs_Electric Rev Req Model (2009 GRC) Rebuttal REmoval of New  WH Solar AdjustMI 2" xfId="6388" xr:uid="{00000000-0005-0000-0000-0000ED180000}"/>
    <cellStyle name="_VC 6.15.06 update on 06GRC power costs.xls Chart 3_Rebuttal Power Costs_Electric Rev Req Model (2009 GRC) Rebuttal REmoval of New  WH Solar AdjustMI 2 2" xfId="6389" xr:uid="{00000000-0005-0000-0000-0000EE180000}"/>
    <cellStyle name="_VC 6.15.06 update on 06GRC power costs.xls Chart 3_Rebuttal Power Costs_Electric Rev Req Model (2009 GRC) Rebuttal REmoval of New  WH Solar AdjustMI 3" xfId="6390" xr:uid="{00000000-0005-0000-0000-0000EF180000}"/>
    <cellStyle name="_VC 6.15.06 update on 06GRC power costs.xls Chart 3_Rebuttal Power Costs_Electric Rev Req Model (2009 GRC) Rebuttal REmoval of New  WH Solar AdjustMI 4" xfId="6391" xr:uid="{00000000-0005-0000-0000-0000F0180000}"/>
    <cellStyle name="_VC 6.15.06 update on 06GRC power costs.xls Chart 3_Rebuttal Power Costs_Electric Rev Req Model (2009 GRC) Revised 01-18-2010" xfId="6392" xr:uid="{00000000-0005-0000-0000-0000F1180000}"/>
    <cellStyle name="_VC 6.15.06 update on 06GRC power costs.xls Chart 3_Rebuttal Power Costs_Electric Rev Req Model (2009 GRC) Revised 01-18-2010 2" xfId="6393" xr:uid="{00000000-0005-0000-0000-0000F2180000}"/>
    <cellStyle name="_VC 6.15.06 update on 06GRC power costs.xls Chart 3_Rebuttal Power Costs_Electric Rev Req Model (2009 GRC) Revised 01-18-2010 2 2" xfId="6394" xr:uid="{00000000-0005-0000-0000-0000F3180000}"/>
    <cellStyle name="_VC 6.15.06 update on 06GRC power costs.xls Chart 3_Rebuttal Power Costs_Electric Rev Req Model (2009 GRC) Revised 01-18-2010 3" xfId="6395" xr:uid="{00000000-0005-0000-0000-0000F4180000}"/>
    <cellStyle name="_VC 6.15.06 update on 06GRC power costs.xls Chart 3_Rebuttal Power Costs_Electric Rev Req Model (2009 GRC) Revised 01-18-2010 4" xfId="6396" xr:uid="{00000000-0005-0000-0000-0000F5180000}"/>
    <cellStyle name="_VC 6.15.06 update on 06GRC power costs.xls Chart 3_Rebuttal Power Costs_Final Order Electric EXHIBIT A-1" xfId="6397" xr:uid="{00000000-0005-0000-0000-0000F6180000}"/>
    <cellStyle name="_VC 6.15.06 update on 06GRC power costs.xls Chart 3_Rebuttal Power Costs_Final Order Electric EXHIBIT A-1 2" xfId="6398" xr:uid="{00000000-0005-0000-0000-0000F7180000}"/>
    <cellStyle name="_VC 6.15.06 update on 06GRC power costs.xls Chart 3_Rebuttal Power Costs_Final Order Electric EXHIBIT A-1 2 2" xfId="6399" xr:uid="{00000000-0005-0000-0000-0000F8180000}"/>
    <cellStyle name="_VC 6.15.06 update on 06GRC power costs.xls Chart 3_Rebuttal Power Costs_Final Order Electric EXHIBIT A-1 3" xfId="6400" xr:uid="{00000000-0005-0000-0000-0000F9180000}"/>
    <cellStyle name="_VC 6.15.06 update on 06GRC power costs.xls Chart 3_Rebuttal Power Costs_Final Order Electric EXHIBIT A-1 4" xfId="6401" xr:uid="{00000000-0005-0000-0000-0000FA180000}"/>
    <cellStyle name="_VC 6.15.06 update on 06GRC power costs.xls Chart 3_ROR &amp; CONV FACTOR" xfId="6402" xr:uid="{00000000-0005-0000-0000-0000FB180000}"/>
    <cellStyle name="_VC 6.15.06 update on 06GRC power costs.xls Chart 3_ROR &amp; CONV FACTOR 2" xfId="6403" xr:uid="{00000000-0005-0000-0000-0000FC180000}"/>
    <cellStyle name="_VC 6.15.06 update on 06GRC power costs.xls Chart 3_ROR &amp; CONV FACTOR 2 2" xfId="6404" xr:uid="{00000000-0005-0000-0000-0000FD180000}"/>
    <cellStyle name="_VC 6.15.06 update on 06GRC power costs.xls Chart 3_ROR &amp; CONV FACTOR 3" xfId="6405" xr:uid="{00000000-0005-0000-0000-0000FE180000}"/>
    <cellStyle name="_VC 6.15.06 update on 06GRC power costs.xls Chart 3_ROR 5.02" xfId="6406" xr:uid="{00000000-0005-0000-0000-0000FF180000}"/>
    <cellStyle name="_VC 6.15.06 update on 06GRC power costs.xls Chart 3_ROR 5.02 2" xfId="6407" xr:uid="{00000000-0005-0000-0000-000000190000}"/>
    <cellStyle name="_VC 6.15.06 update on 06GRC power costs.xls Chart 3_ROR 5.02 2 2" xfId="6408" xr:uid="{00000000-0005-0000-0000-000001190000}"/>
    <cellStyle name="_VC 6.15.06 update on 06GRC power costs.xls Chart 3_ROR 5.02 3" xfId="6409" xr:uid="{00000000-0005-0000-0000-000002190000}"/>
    <cellStyle name="_VC 6.15.06 update on 06GRC power costs.xls Chart 3_Wind Integration 10GRC" xfId="6410" xr:uid="{00000000-0005-0000-0000-000003190000}"/>
    <cellStyle name="_VC 6.15.06 update on 06GRC power costs.xls Chart 3_Wind Integration 10GRC 2" xfId="6411" xr:uid="{00000000-0005-0000-0000-000004190000}"/>
    <cellStyle name="_Worksheet" xfId="6412" xr:uid="{00000000-0005-0000-0000-000005190000}"/>
    <cellStyle name="_Worksheet 2" xfId="6413" xr:uid="{00000000-0005-0000-0000-000006190000}"/>
    <cellStyle name="_Worksheet_Chelan PUD Power Costs (8-10)" xfId="6414" xr:uid="{00000000-0005-0000-0000-000007190000}"/>
    <cellStyle name="_Worksheet_NIM Summary" xfId="6415" xr:uid="{00000000-0005-0000-0000-000008190000}"/>
    <cellStyle name="_Worksheet_NIM Summary 2" xfId="6416" xr:uid="{00000000-0005-0000-0000-000009190000}"/>
    <cellStyle name="_Worksheet_Transmission Workbook for May BOD" xfId="6417" xr:uid="{00000000-0005-0000-0000-00000A190000}"/>
    <cellStyle name="_Worksheet_Transmission Workbook for May BOD 2" xfId="6418" xr:uid="{00000000-0005-0000-0000-00000B190000}"/>
    <cellStyle name="_Worksheet_Wind Integration 10GRC" xfId="6419" xr:uid="{00000000-0005-0000-0000-00000C190000}"/>
    <cellStyle name="_Worksheet_Wind Integration 10GRC 2" xfId="6420" xr:uid="{00000000-0005-0000-0000-00000D190000}"/>
    <cellStyle name="0,0_x000d__x000a_NA_x000d__x000a_" xfId="6421" xr:uid="{00000000-0005-0000-0000-00000E190000}"/>
    <cellStyle name="0,0_x000d__x000a_NA_x000d__x000a_ 2" xfId="6422" xr:uid="{00000000-0005-0000-0000-00000F190000}"/>
    <cellStyle name="0000" xfId="6423" xr:uid="{00000000-0005-0000-0000-000010190000}"/>
    <cellStyle name="000000" xfId="6424" xr:uid="{00000000-0005-0000-0000-000011190000}"/>
    <cellStyle name="14BLIN - Style8" xfId="6425" xr:uid="{00000000-0005-0000-0000-000012190000}"/>
    <cellStyle name="14-BT - Style1" xfId="6426" xr:uid="{00000000-0005-0000-0000-000013190000}"/>
    <cellStyle name="20% - Accent1 2" xfId="6427" xr:uid="{00000000-0005-0000-0000-000014190000}"/>
    <cellStyle name="20% - Accent1 2 2" xfId="6428" xr:uid="{00000000-0005-0000-0000-000015190000}"/>
    <cellStyle name="20% - Accent1 2 2 2" xfId="6429" xr:uid="{00000000-0005-0000-0000-000016190000}"/>
    <cellStyle name="20% - Accent1 2 2 3" xfId="6430" xr:uid="{00000000-0005-0000-0000-000017190000}"/>
    <cellStyle name="20% - Accent1 2 3" xfId="6431" xr:uid="{00000000-0005-0000-0000-000018190000}"/>
    <cellStyle name="20% - Accent1 2 3 2" xfId="6432" xr:uid="{00000000-0005-0000-0000-000019190000}"/>
    <cellStyle name="20% - Accent1 2 4" xfId="6433" xr:uid="{00000000-0005-0000-0000-00001A190000}"/>
    <cellStyle name="20% - Accent1 2 4 2" xfId="6434" xr:uid="{00000000-0005-0000-0000-00001B190000}"/>
    <cellStyle name="20% - Accent1 2 5" xfId="6435" xr:uid="{00000000-0005-0000-0000-00001C190000}"/>
    <cellStyle name="20% - Accent1 2_2009 GRC Compl Filing - Exhibit D" xfId="6436" xr:uid="{00000000-0005-0000-0000-00001D190000}"/>
    <cellStyle name="20% - Accent1 3" xfId="6437" xr:uid="{00000000-0005-0000-0000-00001E190000}"/>
    <cellStyle name="20% - Accent1 3 2" xfId="6438" xr:uid="{00000000-0005-0000-0000-00001F190000}"/>
    <cellStyle name="20% - Accent1 3 3" xfId="6439" xr:uid="{00000000-0005-0000-0000-000020190000}"/>
    <cellStyle name="20% - Accent1 3 4" xfId="6440" xr:uid="{00000000-0005-0000-0000-000021190000}"/>
    <cellStyle name="20% - Accent1 4" xfId="6441" xr:uid="{00000000-0005-0000-0000-000022190000}"/>
    <cellStyle name="20% - Accent1 4 2" xfId="6442" xr:uid="{00000000-0005-0000-0000-000023190000}"/>
    <cellStyle name="20% - Accent1 4 2 2" xfId="6443" xr:uid="{00000000-0005-0000-0000-000024190000}"/>
    <cellStyle name="20% - Accent1 4 2 3" xfId="6444" xr:uid="{00000000-0005-0000-0000-000025190000}"/>
    <cellStyle name="20% - Accent1 4 2 4" xfId="6445" xr:uid="{00000000-0005-0000-0000-000026190000}"/>
    <cellStyle name="20% - Accent1 4 3" xfId="6446" xr:uid="{00000000-0005-0000-0000-000027190000}"/>
    <cellStyle name="20% - Accent1 4 3 2" xfId="6447" xr:uid="{00000000-0005-0000-0000-000028190000}"/>
    <cellStyle name="20% - Accent1 4 4" xfId="6448" xr:uid="{00000000-0005-0000-0000-000029190000}"/>
    <cellStyle name="20% - Accent1 4 5" xfId="6449" xr:uid="{00000000-0005-0000-0000-00002A190000}"/>
    <cellStyle name="20% - Accent1 4 6" xfId="6450" xr:uid="{00000000-0005-0000-0000-00002B190000}"/>
    <cellStyle name="20% - Accent1 4 7" xfId="6451" xr:uid="{00000000-0005-0000-0000-00002C190000}"/>
    <cellStyle name="20% - Accent1 4 8" xfId="6452" xr:uid="{00000000-0005-0000-0000-00002D190000}"/>
    <cellStyle name="20% - Accent1 5" xfId="6453" xr:uid="{00000000-0005-0000-0000-00002E190000}"/>
    <cellStyle name="20% - Accent1 5 2" xfId="6454" xr:uid="{00000000-0005-0000-0000-00002F190000}"/>
    <cellStyle name="20% - Accent1 6" xfId="6455" xr:uid="{00000000-0005-0000-0000-000030190000}"/>
    <cellStyle name="20% - Accent1 7" xfId="6456" xr:uid="{00000000-0005-0000-0000-000031190000}"/>
    <cellStyle name="20% - Accent1 8" xfId="6457" xr:uid="{00000000-0005-0000-0000-000032190000}"/>
    <cellStyle name="20% - Accent1 9" xfId="6458" xr:uid="{00000000-0005-0000-0000-000033190000}"/>
    <cellStyle name="20% - Accent2 2" xfId="6459" xr:uid="{00000000-0005-0000-0000-000034190000}"/>
    <cellStyle name="20% - Accent2 2 2" xfId="6460" xr:uid="{00000000-0005-0000-0000-000035190000}"/>
    <cellStyle name="20% - Accent2 2 2 2" xfId="6461" xr:uid="{00000000-0005-0000-0000-000036190000}"/>
    <cellStyle name="20% - Accent2 2 2 3" xfId="6462" xr:uid="{00000000-0005-0000-0000-000037190000}"/>
    <cellStyle name="20% - Accent2 2 3" xfId="6463" xr:uid="{00000000-0005-0000-0000-000038190000}"/>
    <cellStyle name="20% - Accent2 2 3 2" xfId="6464" xr:uid="{00000000-0005-0000-0000-000039190000}"/>
    <cellStyle name="20% - Accent2 2 4" xfId="6465" xr:uid="{00000000-0005-0000-0000-00003A190000}"/>
    <cellStyle name="20% - Accent2 2 4 2" xfId="6466" xr:uid="{00000000-0005-0000-0000-00003B190000}"/>
    <cellStyle name="20% - Accent2 2 5" xfId="6467" xr:uid="{00000000-0005-0000-0000-00003C190000}"/>
    <cellStyle name="20% - Accent2 2_2009 GRC Compl Filing - Exhibit D" xfId="6468" xr:uid="{00000000-0005-0000-0000-00003D190000}"/>
    <cellStyle name="20% - Accent2 3" xfId="6469" xr:uid="{00000000-0005-0000-0000-00003E190000}"/>
    <cellStyle name="20% - Accent2 3 2" xfId="6470" xr:uid="{00000000-0005-0000-0000-00003F190000}"/>
    <cellStyle name="20% - Accent2 3 3" xfId="6471" xr:uid="{00000000-0005-0000-0000-000040190000}"/>
    <cellStyle name="20% - Accent2 3 4" xfId="6472" xr:uid="{00000000-0005-0000-0000-000041190000}"/>
    <cellStyle name="20% - Accent2 4" xfId="6473" xr:uid="{00000000-0005-0000-0000-000042190000}"/>
    <cellStyle name="20% - Accent2 4 2" xfId="6474" xr:uid="{00000000-0005-0000-0000-000043190000}"/>
    <cellStyle name="20% - Accent2 4 2 2" xfId="6475" xr:uid="{00000000-0005-0000-0000-000044190000}"/>
    <cellStyle name="20% - Accent2 4 2 3" xfId="6476" xr:uid="{00000000-0005-0000-0000-000045190000}"/>
    <cellStyle name="20% - Accent2 4 2 4" xfId="6477" xr:uid="{00000000-0005-0000-0000-000046190000}"/>
    <cellStyle name="20% - Accent2 4 3" xfId="6478" xr:uid="{00000000-0005-0000-0000-000047190000}"/>
    <cellStyle name="20% - Accent2 4 3 2" xfId="6479" xr:uid="{00000000-0005-0000-0000-000048190000}"/>
    <cellStyle name="20% - Accent2 4 4" xfId="6480" xr:uid="{00000000-0005-0000-0000-000049190000}"/>
    <cellStyle name="20% - Accent2 4 5" xfId="6481" xr:uid="{00000000-0005-0000-0000-00004A190000}"/>
    <cellStyle name="20% - Accent2 4 6" xfId="6482" xr:uid="{00000000-0005-0000-0000-00004B190000}"/>
    <cellStyle name="20% - Accent2 4 7" xfId="6483" xr:uid="{00000000-0005-0000-0000-00004C190000}"/>
    <cellStyle name="20% - Accent2 4 8" xfId="6484" xr:uid="{00000000-0005-0000-0000-00004D190000}"/>
    <cellStyle name="20% - Accent2 5" xfId="6485" xr:uid="{00000000-0005-0000-0000-00004E190000}"/>
    <cellStyle name="20% - Accent2 5 2" xfId="6486" xr:uid="{00000000-0005-0000-0000-00004F190000}"/>
    <cellStyle name="20% - Accent2 6" xfId="6487" xr:uid="{00000000-0005-0000-0000-000050190000}"/>
    <cellStyle name="20% - Accent2 7" xfId="6488" xr:uid="{00000000-0005-0000-0000-000051190000}"/>
    <cellStyle name="20% - Accent2 8" xfId="6489" xr:uid="{00000000-0005-0000-0000-000052190000}"/>
    <cellStyle name="20% - Accent2 9" xfId="6490" xr:uid="{00000000-0005-0000-0000-000053190000}"/>
    <cellStyle name="20% - Accent3 2" xfId="6491" xr:uid="{00000000-0005-0000-0000-000054190000}"/>
    <cellStyle name="20% - Accent3 2 2" xfId="6492" xr:uid="{00000000-0005-0000-0000-000055190000}"/>
    <cellStyle name="20% - Accent3 2 2 2" xfId="6493" xr:uid="{00000000-0005-0000-0000-000056190000}"/>
    <cellStyle name="20% - Accent3 2 2 3" xfId="6494" xr:uid="{00000000-0005-0000-0000-000057190000}"/>
    <cellStyle name="20% - Accent3 2 3" xfId="6495" xr:uid="{00000000-0005-0000-0000-000058190000}"/>
    <cellStyle name="20% - Accent3 2 3 2" xfId="6496" xr:uid="{00000000-0005-0000-0000-000059190000}"/>
    <cellStyle name="20% - Accent3 2 4" xfId="6497" xr:uid="{00000000-0005-0000-0000-00005A190000}"/>
    <cellStyle name="20% - Accent3 2 4 2" xfId="6498" xr:uid="{00000000-0005-0000-0000-00005B190000}"/>
    <cellStyle name="20% - Accent3 2 5" xfId="6499" xr:uid="{00000000-0005-0000-0000-00005C190000}"/>
    <cellStyle name="20% - Accent3 2_2009 GRC Compl Filing - Exhibit D" xfId="6500" xr:uid="{00000000-0005-0000-0000-00005D190000}"/>
    <cellStyle name="20% - Accent3 3" xfId="6501" xr:uid="{00000000-0005-0000-0000-00005E190000}"/>
    <cellStyle name="20% - Accent3 3 2" xfId="6502" xr:uid="{00000000-0005-0000-0000-00005F190000}"/>
    <cellStyle name="20% - Accent3 3 3" xfId="6503" xr:uid="{00000000-0005-0000-0000-000060190000}"/>
    <cellStyle name="20% - Accent3 3 4" xfId="6504" xr:uid="{00000000-0005-0000-0000-000061190000}"/>
    <cellStyle name="20% - Accent3 4" xfId="6505" xr:uid="{00000000-0005-0000-0000-000062190000}"/>
    <cellStyle name="20% - Accent3 4 2" xfId="6506" xr:uid="{00000000-0005-0000-0000-000063190000}"/>
    <cellStyle name="20% - Accent3 4 2 2" xfId="6507" xr:uid="{00000000-0005-0000-0000-000064190000}"/>
    <cellStyle name="20% - Accent3 4 2 3" xfId="6508" xr:uid="{00000000-0005-0000-0000-000065190000}"/>
    <cellStyle name="20% - Accent3 4 2 4" xfId="6509" xr:uid="{00000000-0005-0000-0000-000066190000}"/>
    <cellStyle name="20% - Accent3 4 3" xfId="6510" xr:uid="{00000000-0005-0000-0000-000067190000}"/>
    <cellStyle name="20% - Accent3 4 3 2" xfId="6511" xr:uid="{00000000-0005-0000-0000-000068190000}"/>
    <cellStyle name="20% - Accent3 4 4" xfId="6512" xr:uid="{00000000-0005-0000-0000-000069190000}"/>
    <cellStyle name="20% - Accent3 4 5" xfId="6513" xr:uid="{00000000-0005-0000-0000-00006A190000}"/>
    <cellStyle name="20% - Accent3 4 6" xfId="6514" xr:uid="{00000000-0005-0000-0000-00006B190000}"/>
    <cellStyle name="20% - Accent3 4 7" xfId="6515" xr:uid="{00000000-0005-0000-0000-00006C190000}"/>
    <cellStyle name="20% - Accent3 4 8" xfId="6516" xr:uid="{00000000-0005-0000-0000-00006D190000}"/>
    <cellStyle name="20% - Accent3 5" xfId="6517" xr:uid="{00000000-0005-0000-0000-00006E190000}"/>
    <cellStyle name="20% - Accent3 5 2" xfId="6518" xr:uid="{00000000-0005-0000-0000-00006F190000}"/>
    <cellStyle name="20% - Accent3 6" xfId="6519" xr:uid="{00000000-0005-0000-0000-000070190000}"/>
    <cellStyle name="20% - Accent3 7" xfId="6520" xr:uid="{00000000-0005-0000-0000-000071190000}"/>
    <cellStyle name="20% - Accent3 8" xfId="6521" xr:uid="{00000000-0005-0000-0000-000072190000}"/>
    <cellStyle name="20% - Accent3 9" xfId="6522" xr:uid="{00000000-0005-0000-0000-000073190000}"/>
    <cellStyle name="20% - Accent4 2" xfId="6523" xr:uid="{00000000-0005-0000-0000-000074190000}"/>
    <cellStyle name="20% - Accent4 2 2" xfId="6524" xr:uid="{00000000-0005-0000-0000-000075190000}"/>
    <cellStyle name="20% - Accent4 2 2 2" xfId="6525" xr:uid="{00000000-0005-0000-0000-000076190000}"/>
    <cellStyle name="20% - Accent4 2 2 3" xfId="6526" xr:uid="{00000000-0005-0000-0000-000077190000}"/>
    <cellStyle name="20% - Accent4 2 3" xfId="6527" xr:uid="{00000000-0005-0000-0000-000078190000}"/>
    <cellStyle name="20% - Accent4 2 3 2" xfId="6528" xr:uid="{00000000-0005-0000-0000-000079190000}"/>
    <cellStyle name="20% - Accent4 2 4" xfId="6529" xr:uid="{00000000-0005-0000-0000-00007A190000}"/>
    <cellStyle name="20% - Accent4 2 4 2" xfId="6530" xr:uid="{00000000-0005-0000-0000-00007B190000}"/>
    <cellStyle name="20% - Accent4 2 5" xfId="6531" xr:uid="{00000000-0005-0000-0000-00007C190000}"/>
    <cellStyle name="20% - Accent4 2_2009 GRC Compl Filing - Exhibit D" xfId="6532" xr:uid="{00000000-0005-0000-0000-00007D190000}"/>
    <cellStyle name="20% - Accent4 3" xfId="6533" xr:uid="{00000000-0005-0000-0000-00007E190000}"/>
    <cellStyle name="20% - Accent4 3 2" xfId="6534" xr:uid="{00000000-0005-0000-0000-00007F190000}"/>
    <cellStyle name="20% - Accent4 3 3" xfId="6535" xr:uid="{00000000-0005-0000-0000-000080190000}"/>
    <cellStyle name="20% - Accent4 3 4" xfId="6536" xr:uid="{00000000-0005-0000-0000-000081190000}"/>
    <cellStyle name="20% - Accent4 4" xfId="6537" xr:uid="{00000000-0005-0000-0000-000082190000}"/>
    <cellStyle name="20% - Accent4 4 2" xfId="6538" xr:uid="{00000000-0005-0000-0000-000083190000}"/>
    <cellStyle name="20% - Accent4 4 2 2" xfId="6539" xr:uid="{00000000-0005-0000-0000-000084190000}"/>
    <cellStyle name="20% - Accent4 4 2 3" xfId="6540" xr:uid="{00000000-0005-0000-0000-000085190000}"/>
    <cellStyle name="20% - Accent4 4 2 4" xfId="6541" xr:uid="{00000000-0005-0000-0000-000086190000}"/>
    <cellStyle name="20% - Accent4 4 3" xfId="6542" xr:uid="{00000000-0005-0000-0000-000087190000}"/>
    <cellStyle name="20% - Accent4 4 3 2" xfId="6543" xr:uid="{00000000-0005-0000-0000-000088190000}"/>
    <cellStyle name="20% - Accent4 4 4" xfId="6544" xr:uid="{00000000-0005-0000-0000-000089190000}"/>
    <cellStyle name="20% - Accent4 4 5" xfId="6545" xr:uid="{00000000-0005-0000-0000-00008A190000}"/>
    <cellStyle name="20% - Accent4 4 6" xfId="6546" xr:uid="{00000000-0005-0000-0000-00008B190000}"/>
    <cellStyle name="20% - Accent4 4 7" xfId="6547" xr:uid="{00000000-0005-0000-0000-00008C190000}"/>
    <cellStyle name="20% - Accent4 4 8" xfId="6548" xr:uid="{00000000-0005-0000-0000-00008D190000}"/>
    <cellStyle name="20% - Accent4 5" xfId="6549" xr:uid="{00000000-0005-0000-0000-00008E190000}"/>
    <cellStyle name="20% - Accent4 5 2" xfId="6550" xr:uid="{00000000-0005-0000-0000-00008F190000}"/>
    <cellStyle name="20% - Accent4 6" xfId="6551" xr:uid="{00000000-0005-0000-0000-000090190000}"/>
    <cellStyle name="20% - Accent4 7" xfId="6552" xr:uid="{00000000-0005-0000-0000-000091190000}"/>
    <cellStyle name="20% - Accent4 8" xfId="6553" xr:uid="{00000000-0005-0000-0000-000092190000}"/>
    <cellStyle name="20% - Accent4 9" xfId="6554" xr:uid="{00000000-0005-0000-0000-000093190000}"/>
    <cellStyle name="20% - Accent5 2" xfId="6555" xr:uid="{00000000-0005-0000-0000-000094190000}"/>
    <cellStyle name="20% - Accent5 2 2" xfId="6556" xr:uid="{00000000-0005-0000-0000-000095190000}"/>
    <cellStyle name="20% - Accent5 2 2 2" xfId="6557" xr:uid="{00000000-0005-0000-0000-000096190000}"/>
    <cellStyle name="20% - Accent5 2 2 3" xfId="6558" xr:uid="{00000000-0005-0000-0000-000097190000}"/>
    <cellStyle name="20% - Accent5 2 3" xfId="6559" xr:uid="{00000000-0005-0000-0000-000098190000}"/>
    <cellStyle name="20% - Accent5 2 3 2" xfId="6560" xr:uid="{00000000-0005-0000-0000-000099190000}"/>
    <cellStyle name="20% - Accent5 2 4" xfId="6561" xr:uid="{00000000-0005-0000-0000-00009A190000}"/>
    <cellStyle name="20% - Accent5 2_2009 GRC Compl Filing - Exhibit D" xfId="6562" xr:uid="{00000000-0005-0000-0000-00009B190000}"/>
    <cellStyle name="20% - Accent5 3" xfId="6563" xr:uid="{00000000-0005-0000-0000-00009C190000}"/>
    <cellStyle name="20% - Accent5 3 2" xfId="6564" xr:uid="{00000000-0005-0000-0000-00009D190000}"/>
    <cellStyle name="20% - Accent5 3 3" xfId="6565" xr:uid="{00000000-0005-0000-0000-00009E190000}"/>
    <cellStyle name="20% - Accent5 3 4" xfId="6566" xr:uid="{00000000-0005-0000-0000-00009F190000}"/>
    <cellStyle name="20% - Accent5 4" xfId="6567" xr:uid="{00000000-0005-0000-0000-0000A0190000}"/>
    <cellStyle name="20% - Accent5 4 2" xfId="6568" xr:uid="{00000000-0005-0000-0000-0000A1190000}"/>
    <cellStyle name="20% - Accent5 4 3" xfId="6569" xr:uid="{00000000-0005-0000-0000-0000A2190000}"/>
    <cellStyle name="20% - Accent5 4 4" xfId="6570" xr:uid="{00000000-0005-0000-0000-0000A3190000}"/>
    <cellStyle name="20% - Accent5 5" xfId="6571" xr:uid="{00000000-0005-0000-0000-0000A4190000}"/>
    <cellStyle name="20% - Accent5 5 2" xfId="6572" xr:uid="{00000000-0005-0000-0000-0000A5190000}"/>
    <cellStyle name="20% - Accent5 6" xfId="6573" xr:uid="{00000000-0005-0000-0000-0000A6190000}"/>
    <cellStyle name="20% - Accent5 6 2" xfId="6574" xr:uid="{00000000-0005-0000-0000-0000A7190000}"/>
    <cellStyle name="20% - Accent5 7" xfId="6575" xr:uid="{00000000-0005-0000-0000-0000A8190000}"/>
    <cellStyle name="20% - Accent5 8" xfId="6576" xr:uid="{00000000-0005-0000-0000-0000A9190000}"/>
    <cellStyle name="20% - Accent5 9" xfId="6577" xr:uid="{00000000-0005-0000-0000-0000AA190000}"/>
    <cellStyle name="20% - Accent6 2" xfId="6578" xr:uid="{00000000-0005-0000-0000-0000AB190000}"/>
    <cellStyle name="20% - Accent6 2 2" xfId="6579" xr:uid="{00000000-0005-0000-0000-0000AC190000}"/>
    <cellStyle name="20% - Accent6 2 2 2" xfId="6580" xr:uid="{00000000-0005-0000-0000-0000AD190000}"/>
    <cellStyle name="20% - Accent6 2 2 3" xfId="6581" xr:uid="{00000000-0005-0000-0000-0000AE190000}"/>
    <cellStyle name="20% - Accent6 2 3" xfId="6582" xr:uid="{00000000-0005-0000-0000-0000AF190000}"/>
    <cellStyle name="20% - Accent6 2 3 2" xfId="6583" xr:uid="{00000000-0005-0000-0000-0000B0190000}"/>
    <cellStyle name="20% - Accent6 2 4" xfId="6584" xr:uid="{00000000-0005-0000-0000-0000B1190000}"/>
    <cellStyle name="20% - Accent6 2 4 2" xfId="6585" xr:uid="{00000000-0005-0000-0000-0000B2190000}"/>
    <cellStyle name="20% - Accent6 2 5" xfId="6586" xr:uid="{00000000-0005-0000-0000-0000B3190000}"/>
    <cellStyle name="20% - Accent6 2_2009 GRC Compl Filing - Exhibit D" xfId="6587" xr:uid="{00000000-0005-0000-0000-0000B4190000}"/>
    <cellStyle name="20% - Accent6 3" xfId="6588" xr:uid="{00000000-0005-0000-0000-0000B5190000}"/>
    <cellStyle name="20% - Accent6 3 2" xfId="6589" xr:uid="{00000000-0005-0000-0000-0000B6190000}"/>
    <cellStyle name="20% - Accent6 3 3" xfId="6590" xr:uid="{00000000-0005-0000-0000-0000B7190000}"/>
    <cellStyle name="20% - Accent6 3 4" xfId="6591" xr:uid="{00000000-0005-0000-0000-0000B8190000}"/>
    <cellStyle name="20% - Accent6 4" xfId="6592" xr:uid="{00000000-0005-0000-0000-0000B9190000}"/>
    <cellStyle name="20% - Accent6 4 2" xfId="6593" xr:uid="{00000000-0005-0000-0000-0000BA190000}"/>
    <cellStyle name="20% - Accent6 4 2 2" xfId="6594" xr:uid="{00000000-0005-0000-0000-0000BB190000}"/>
    <cellStyle name="20% - Accent6 4 2 3" xfId="6595" xr:uid="{00000000-0005-0000-0000-0000BC190000}"/>
    <cellStyle name="20% - Accent6 4 2 4" xfId="6596" xr:uid="{00000000-0005-0000-0000-0000BD190000}"/>
    <cellStyle name="20% - Accent6 4 3" xfId="6597" xr:uid="{00000000-0005-0000-0000-0000BE190000}"/>
    <cellStyle name="20% - Accent6 4 3 2" xfId="6598" xr:uid="{00000000-0005-0000-0000-0000BF190000}"/>
    <cellStyle name="20% - Accent6 4 4" xfId="6599" xr:uid="{00000000-0005-0000-0000-0000C0190000}"/>
    <cellStyle name="20% - Accent6 4 5" xfId="6600" xr:uid="{00000000-0005-0000-0000-0000C1190000}"/>
    <cellStyle name="20% - Accent6 4 6" xfId="6601" xr:uid="{00000000-0005-0000-0000-0000C2190000}"/>
    <cellStyle name="20% - Accent6 4 7" xfId="6602" xr:uid="{00000000-0005-0000-0000-0000C3190000}"/>
    <cellStyle name="20% - Accent6 4 8" xfId="6603" xr:uid="{00000000-0005-0000-0000-0000C4190000}"/>
    <cellStyle name="20% - Accent6 5" xfId="6604" xr:uid="{00000000-0005-0000-0000-0000C5190000}"/>
    <cellStyle name="20% - Accent6 5 2" xfId="6605" xr:uid="{00000000-0005-0000-0000-0000C6190000}"/>
    <cellStyle name="20% - Accent6 6" xfId="6606" xr:uid="{00000000-0005-0000-0000-0000C7190000}"/>
    <cellStyle name="20% - Accent6 7" xfId="6607" xr:uid="{00000000-0005-0000-0000-0000C8190000}"/>
    <cellStyle name="20% - Accent6 8" xfId="6608" xr:uid="{00000000-0005-0000-0000-0000C9190000}"/>
    <cellStyle name="20% - Accent6 9" xfId="6609" xr:uid="{00000000-0005-0000-0000-0000CA190000}"/>
    <cellStyle name="40% - Accent1 2" xfId="6610" xr:uid="{00000000-0005-0000-0000-0000CB190000}"/>
    <cellStyle name="40% - Accent1 2 2" xfId="6611" xr:uid="{00000000-0005-0000-0000-0000CC190000}"/>
    <cellStyle name="40% - Accent1 2 2 2" xfId="6612" xr:uid="{00000000-0005-0000-0000-0000CD190000}"/>
    <cellStyle name="40% - Accent1 2 2 3" xfId="6613" xr:uid="{00000000-0005-0000-0000-0000CE190000}"/>
    <cellStyle name="40% - Accent1 2 3" xfId="6614" xr:uid="{00000000-0005-0000-0000-0000CF190000}"/>
    <cellStyle name="40% - Accent1 2 3 2" xfId="6615" xr:uid="{00000000-0005-0000-0000-0000D0190000}"/>
    <cellStyle name="40% - Accent1 2 4" xfId="6616" xr:uid="{00000000-0005-0000-0000-0000D1190000}"/>
    <cellStyle name="40% - Accent1 2 4 2" xfId="6617" xr:uid="{00000000-0005-0000-0000-0000D2190000}"/>
    <cellStyle name="40% - Accent1 2 5" xfId="6618" xr:uid="{00000000-0005-0000-0000-0000D3190000}"/>
    <cellStyle name="40% - Accent1 2_2009 GRC Compl Filing - Exhibit D" xfId="6619" xr:uid="{00000000-0005-0000-0000-0000D4190000}"/>
    <cellStyle name="40% - Accent1 3" xfId="6620" xr:uid="{00000000-0005-0000-0000-0000D5190000}"/>
    <cellStyle name="40% - Accent1 3 2" xfId="6621" xr:uid="{00000000-0005-0000-0000-0000D6190000}"/>
    <cellStyle name="40% - Accent1 3 3" xfId="6622" xr:uid="{00000000-0005-0000-0000-0000D7190000}"/>
    <cellStyle name="40% - Accent1 3 4" xfId="6623" xr:uid="{00000000-0005-0000-0000-0000D8190000}"/>
    <cellStyle name="40% - Accent1 4" xfId="6624" xr:uid="{00000000-0005-0000-0000-0000D9190000}"/>
    <cellStyle name="40% - Accent1 4 2" xfId="6625" xr:uid="{00000000-0005-0000-0000-0000DA190000}"/>
    <cellStyle name="40% - Accent1 4 2 2" xfId="6626" xr:uid="{00000000-0005-0000-0000-0000DB190000}"/>
    <cellStyle name="40% - Accent1 4 2 3" xfId="6627" xr:uid="{00000000-0005-0000-0000-0000DC190000}"/>
    <cellStyle name="40% - Accent1 4 2 4" xfId="6628" xr:uid="{00000000-0005-0000-0000-0000DD190000}"/>
    <cellStyle name="40% - Accent1 4 3" xfId="6629" xr:uid="{00000000-0005-0000-0000-0000DE190000}"/>
    <cellStyle name="40% - Accent1 4 3 2" xfId="6630" xr:uid="{00000000-0005-0000-0000-0000DF190000}"/>
    <cellStyle name="40% - Accent1 4 4" xfId="6631" xr:uid="{00000000-0005-0000-0000-0000E0190000}"/>
    <cellStyle name="40% - Accent1 4 5" xfId="6632" xr:uid="{00000000-0005-0000-0000-0000E1190000}"/>
    <cellStyle name="40% - Accent1 4 6" xfId="6633" xr:uid="{00000000-0005-0000-0000-0000E2190000}"/>
    <cellStyle name="40% - Accent1 4 7" xfId="6634" xr:uid="{00000000-0005-0000-0000-0000E3190000}"/>
    <cellStyle name="40% - Accent1 4 8" xfId="6635" xr:uid="{00000000-0005-0000-0000-0000E4190000}"/>
    <cellStyle name="40% - Accent1 5" xfId="6636" xr:uid="{00000000-0005-0000-0000-0000E5190000}"/>
    <cellStyle name="40% - Accent1 5 2" xfId="6637" xr:uid="{00000000-0005-0000-0000-0000E6190000}"/>
    <cellStyle name="40% - Accent1 6" xfId="6638" xr:uid="{00000000-0005-0000-0000-0000E7190000}"/>
    <cellStyle name="40% - Accent1 7" xfId="6639" xr:uid="{00000000-0005-0000-0000-0000E8190000}"/>
    <cellStyle name="40% - Accent1 8" xfId="6640" xr:uid="{00000000-0005-0000-0000-0000E9190000}"/>
    <cellStyle name="40% - Accent1 9" xfId="6641" xr:uid="{00000000-0005-0000-0000-0000EA190000}"/>
    <cellStyle name="40% - Accent2 2" xfId="6642" xr:uid="{00000000-0005-0000-0000-0000EB190000}"/>
    <cellStyle name="40% - Accent2 2 2" xfId="6643" xr:uid="{00000000-0005-0000-0000-0000EC190000}"/>
    <cellStyle name="40% - Accent2 2 2 2" xfId="6644" xr:uid="{00000000-0005-0000-0000-0000ED190000}"/>
    <cellStyle name="40% - Accent2 2 2 3" xfId="6645" xr:uid="{00000000-0005-0000-0000-0000EE190000}"/>
    <cellStyle name="40% - Accent2 2 3" xfId="6646" xr:uid="{00000000-0005-0000-0000-0000EF190000}"/>
    <cellStyle name="40% - Accent2 2 3 2" xfId="6647" xr:uid="{00000000-0005-0000-0000-0000F0190000}"/>
    <cellStyle name="40% - Accent2 2 4" xfId="6648" xr:uid="{00000000-0005-0000-0000-0000F1190000}"/>
    <cellStyle name="40% - Accent2 2_2009 GRC Compl Filing - Exhibit D" xfId="6649" xr:uid="{00000000-0005-0000-0000-0000F2190000}"/>
    <cellStyle name="40% - Accent2 3" xfId="6650" xr:uid="{00000000-0005-0000-0000-0000F3190000}"/>
    <cellStyle name="40% - Accent2 3 2" xfId="6651" xr:uid="{00000000-0005-0000-0000-0000F4190000}"/>
    <cellStyle name="40% - Accent2 3 3" xfId="6652" xr:uid="{00000000-0005-0000-0000-0000F5190000}"/>
    <cellStyle name="40% - Accent2 3 4" xfId="6653" xr:uid="{00000000-0005-0000-0000-0000F6190000}"/>
    <cellStyle name="40% - Accent2 4" xfId="6654" xr:uid="{00000000-0005-0000-0000-0000F7190000}"/>
    <cellStyle name="40% - Accent2 4 2" xfId="6655" xr:uid="{00000000-0005-0000-0000-0000F8190000}"/>
    <cellStyle name="40% - Accent2 4 3" xfId="6656" xr:uid="{00000000-0005-0000-0000-0000F9190000}"/>
    <cellStyle name="40% - Accent2 4 4" xfId="6657" xr:uid="{00000000-0005-0000-0000-0000FA190000}"/>
    <cellStyle name="40% - Accent2 5" xfId="6658" xr:uid="{00000000-0005-0000-0000-0000FB190000}"/>
    <cellStyle name="40% - Accent2 5 2" xfId="6659" xr:uid="{00000000-0005-0000-0000-0000FC190000}"/>
    <cellStyle name="40% - Accent2 6" xfId="6660" xr:uid="{00000000-0005-0000-0000-0000FD190000}"/>
    <cellStyle name="40% - Accent2 6 2" xfId="6661" xr:uid="{00000000-0005-0000-0000-0000FE190000}"/>
    <cellStyle name="40% - Accent2 7" xfId="6662" xr:uid="{00000000-0005-0000-0000-0000FF190000}"/>
    <cellStyle name="40% - Accent2 8" xfId="6663" xr:uid="{00000000-0005-0000-0000-0000001A0000}"/>
    <cellStyle name="40% - Accent2 9" xfId="6664" xr:uid="{00000000-0005-0000-0000-0000011A0000}"/>
    <cellStyle name="40% - Accent3 2" xfId="6665" xr:uid="{00000000-0005-0000-0000-0000021A0000}"/>
    <cellStyle name="40% - Accent3 2 2" xfId="6666" xr:uid="{00000000-0005-0000-0000-0000031A0000}"/>
    <cellStyle name="40% - Accent3 2 2 2" xfId="6667" xr:uid="{00000000-0005-0000-0000-0000041A0000}"/>
    <cellStyle name="40% - Accent3 2 2 3" xfId="6668" xr:uid="{00000000-0005-0000-0000-0000051A0000}"/>
    <cellStyle name="40% - Accent3 2 3" xfId="6669" xr:uid="{00000000-0005-0000-0000-0000061A0000}"/>
    <cellStyle name="40% - Accent3 2 3 2" xfId="6670" xr:uid="{00000000-0005-0000-0000-0000071A0000}"/>
    <cellStyle name="40% - Accent3 2 4" xfId="6671" xr:uid="{00000000-0005-0000-0000-0000081A0000}"/>
    <cellStyle name="40% - Accent3 2 4 2" xfId="6672" xr:uid="{00000000-0005-0000-0000-0000091A0000}"/>
    <cellStyle name="40% - Accent3 2 5" xfId="6673" xr:uid="{00000000-0005-0000-0000-00000A1A0000}"/>
    <cellStyle name="40% - Accent3 2_2009 GRC Compl Filing - Exhibit D" xfId="6674" xr:uid="{00000000-0005-0000-0000-00000B1A0000}"/>
    <cellStyle name="40% - Accent3 3" xfId="6675" xr:uid="{00000000-0005-0000-0000-00000C1A0000}"/>
    <cellStyle name="40% - Accent3 3 2" xfId="6676" xr:uid="{00000000-0005-0000-0000-00000D1A0000}"/>
    <cellStyle name="40% - Accent3 3 3" xfId="6677" xr:uid="{00000000-0005-0000-0000-00000E1A0000}"/>
    <cellStyle name="40% - Accent3 3 4" xfId="6678" xr:uid="{00000000-0005-0000-0000-00000F1A0000}"/>
    <cellStyle name="40% - Accent3 4" xfId="6679" xr:uid="{00000000-0005-0000-0000-0000101A0000}"/>
    <cellStyle name="40% - Accent3 4 2" xfId="6680" xr:uid="{00000000-0005-0000-0000-0000111A0000}"/>
    <cellStyle name="40% - Accent3 4 2 2" xfId="6681" xr:uid="{00000000-0005-0000-0000-0000121A0000}"/>
    <cellStyle name="40% - Accent3 4 2 3" xfId="6682" xr:uid="{00000000-0005-0000-0000-0000131A0000}"/>
    <cellStyle name="40% - Accent3 4 2 4" xfId="6683" xr:uid="{00000000-0005-0000-0000-0000141A0000}"/>
    <cellStyle name="40% - Accent3 4 3" xfId="6684" xr:uid="{00000000-0005-0000-0000-0000151A0000}"/>
    <cellStyle name="40% - Accent3 4 3 2" xfId="6685" xr:uid="{00000000-0005-0000-0000-0000161A0000}"/>
    <cellStyle name="40% - Accent3 4 4" xfId="6686" xr:uid="{00000000-0005-0000-0000-0000171A0000}"/>
    <cellStyle name="40% - Accent3 4 5" xfId="6687" xr:uid="{00000000-0005-0000-0000-0000181A0000}"/>
    <cellStyle name="40% - Accent3 4 6" xfId="6688" xr:uid="{00000000-0005-0000-0000-0000191A0000}"/>
    <cellStyle name="40% - Accent3 4 7" xfId="6689" xr:uid="{00000000-0005-0000-0000-00001A1A0000}"/>
    <cellStyle name="40% - Accent3 4 8" xfId="6690" xr:uid="{00000000-0005-0000-0000-00001B1A0000}"/>
    <cellStyle name="40% - Accent3 5" xfId="6691" xr:uid="{00000000-0005-0000-0000-00001C1A0000}"/>
    <cellStyle name="40% - Accent3 5 2" xfId="6692" xr:uid="{00000000-0005-0000-0000-00001D1A0000}"/>
    <cellStyle name="40% - Accent3 6" xfId="6693" xr:uid="{00000000-0005-0000-0000-00001E1A0000}"/>
    <cellStyle name="40% - Accent3 7" xfId="6694" xr:uid="{00000000-0005-0000-0000-00001F1A0000}"/>
    <cellStyle name="40% - Accent3 8" xfId="6695" xr:uid="{00000000-0005-0000-0000-0000201A0000}"/>
    <cellStyle name="40% - Accent3 9" xfId="6696" xr:uid="{00000000-0005-0000-0000-0000211A0000}"/>
    <cellStyle name="40% - Accent4 2" xfId="6697" xr:uid="{00000000-0005-0000-0000-0000221A0000}"/>
    <cellStyle name="40% - Accent4 2 2" xfId="6698" xr:uid="{00000000-0005-0000-0000-0000231A0000}"/>
    <cellStyle name="40% - Accent4 2 2 2" xfId="6699" xr:uid="{00000000-0005-0000-0000-0000241A0000}"/>
    <cellStyle name="40% - Accent4 2 2 3" xfId="6700" xr:uid="{00000000-0005-0000-0000-0000251A0000}"/>
    <cellStyle name="40% - Accent4 2 3" xfId="6701" xr:uid="{00000000-0005-0000-0000-0000261A0000}"/>
    <cellStyle name="40% - Accent4 2 3 2" xfId="6702" xr:uid="{00000000-0005-0000-0000-0000271A0000}"/>
    <cellStyle name="40% - Accent4 2 4" xfId="6703" xr:uid="{00000000-0005-0000-0000-0000281A0000}"/>
    <cellStyle name="40% - Accent4 2 4 2" xfId="6704" xr:uid="{00000000-0005-0000-0000-0000291A0000}"/>
    <cellStyle name="40% - Accent4 2 5" xfId="6705" xr:uid="{00000000-0005-0000-0000-00002A1A0000}"/>
    <cellStyle name="40% - Accent4 2_2009 GRC Compl Filing - Exhibit D" xfId="6706" xr:uid="{00000000-0005-0000-0000-00002B1A0000}"/>
    <cellStyle name="40% - Accent4 3" xfId="6707" xr:uid="{00000000-0005-0000-0000-00002C1A0000}"/>
    <cellStyle name="40% - Accent4 3 2" xfId="6708" xr:uid="{00000000-0005-0000-0000-00002D1A0000}"/>
    <cellStyle name="40% - Accent4 3 3" xfId="6709" xr:uid="{00000000-0005-0000-0000-00002E1A0000}"/>
    <cellStyle name="40% - Accent4 3 4" xfId="6710" xr:uid="{00000000-0005-0000-0000-00002F1A0000}"/>
    <cellStyle name="40% - Accent4 4" xfId="6711" xr:uid="{00000000-0005-0000-0000-0000301A0000}"/>
    <cellStyle name="40% - Accent4 4 2" xfId="6712" xr:uid="{00000000-0005-0000-0000-0000311A0000}"/>
    <cellStyle name="40% - Accent4 4 2 2" xfId="6713" xr:uid="{00000000-0005-0000-0000-0000321A0000}"/>
    <cellStyle name="40% - Accent4 4 2 3" xfId="6714" xr:uid="{00000000-0005-0000-0000-0000331A0000}"/>
    <cellStyle name="40% - Accent4 4 2 4" xfId="6715" xr:uid="{00000000-0005-0000-0000-0000341A0000}"/>
    <cellStyle name="40% - Accent4 4 3" xfId="6716" xr:uid="{00000000-0005-0000-0000-0000351A0000}"/>
    <cellStyle name="40% - Accent4 4 3 2" xfId="6717" xr:uid="{00000000-0005-0000-0000-0000361A0000}"/>
    <cellStyle name="40% - Accent4 4 4" xfId="6718" xr:uid="{00000000-0005-0000-0000-0000371A0000}"/>
    <cellStyle name="40% - Accent4 4 5" xfId="6719" xr:uid="{00000000-0005-0000-0000-0000381A0000}"/>
    <cellStyle name="40% - Accent4 4 6" xfId="6720" xr:uid="{00000000-0005-0000-0000-0000391A0000}"/>
    <cellStyle name="40% - Accent4 4 7" xfId="6721" xr:uid="{00000000-0005-0000-0000-00003A1A0000}"/>
    <cellStyle name="40% - Accent4 4 8" xfId="6722" xr:uid="{00000000-0005-0000-0000-00003B1A0000}"/>
    <cellStyle name="40% - Accent4 5" xfId="6723" xr:uid="{00000000-0005-0000-0000-00003C1A0000}"/>
    <cellStyle name="40% - Accent4 5 2" xfId="6724" xr:uid="{00000000-0005-0000-0000-00003D1A0000}"/>
    <cellStyle name="40% - Accent4 6" xfId="6725" xr:uid="{00000000-0005-0000-0000-00003E1A0000}"/>
    <cellStyle name="40% - Accent4 7" xfId="6726" xr:uid="{00000000-0005-0000-0000-00003F1A0000}"/>
    <cellStyle name="40% - Accent4 8" xfId="6727" xr:uid="{00000000-0005-0000-0000-0000401A0000}"/>
    <cellStyle name="40% - Accent4 9" xfId="6728" xr:uid="{00000000-0005-0000-0000-0000411A0000}"/>
    <cellStyle name="40% - Accent5 2" xfId="6729" xr:uid="{00000000-0005-0000-0000-0000421A0000}"/>
    <cellStyle name="40% - Accent5 2 2" xfId="6730" xr:uid="{00000000-0005-0000-0000-0000431A0000}"/>
    <cellStyle name="40% - Accent5 2 2 2" xfId="6731" xr:uid="{00000000-0005-0000-0000-0000441A0000}"/>
    <cellStyle name="40% - Accent5 2 2 3" xfId="6732" xr:uid="{00000000-0005-0000-0000-0000451A0000}"/>
    <cellStyle name="40% - Accent5 2 3" xfId="6733" xr:uid="{00000000-0005-0000-0000-0000461A0000}"/>
    <cellStyle name="40% - Accent5 2 3 2" xfId="6734" xr:uid="{00000000-0005-0000-0000-0000471A0000}"/>
    <cellStyle name="40% - Accent5 2 4" xfId="6735" xr:uid="{00000000-0005-0000-0000-0000481A0000}"/>
    <cellStyle name="40% - Accent5 2 4 2" xfId="6736" xr:uid="{00000000-0005-0000-0000-0000491A0000}"/>
    <cellStyle name="40% - Accent5 2 5" xfId="6737" xr:uid="{00000000-0005-0000-0000-00004A1A0000}"/>
    <cellStyle name="40% - Accent5 2_2009 GRC Compl Filing - Exhibit D" xfId="6738" xr:uid="{00000000-0005-0000-0000-00004B1A0000}"/>
    <cellStyle name="40% - Accent5 3" xfId="6739" xr:uid="{00000000-0005-0000-0000-00004C1A0000}"/>
    <cellStyle name="40% - Accent5 3 2" xfId="6740" xr:uid="{00000000-0005-0000-0000-00004D1A0000}"/>
    <cellStyle name="40% - Accent5 3 3" xfId="6741" xr:uid="{00000000-0005-0000-0000-00004E1A0000}"/>
    <cellStyle name="40% - Accent5 3 4" xfId="6742" xr:uid="{00000000-0005-0000-0000-00004F1A0000}"/>
    <cellStyle name="40% - Accent5 4" xfId="6743" xr:uid="{00000000-0005-0000-0000-0000501A0000}"/>
    <cellStyle name="40% - Accent5 4 2" xfId="6744" xr:uid="{00000000-0005-0000-0000-0000511A0000}"/>
    <cellStyle name="40% - Accent5 4 2 2" xfId="6745" xr:uid="{00000000-0005-0000-0000-0000521A0000}"/>
    <cellStyle name="40% - Accent5 4 2 3" xfId="6746" xr:uid="{00000000-0005-0000-0000-0000531A0000}"/>
    <cellStyle name="40% - Accent5 4 2 4" xfId="6747" xr:uid="{00000000-0005-0000-0000-0000541A0000}"/>
    <cellStyle name="40% - Accent5 4 3" xfId="6748" xr:uid="{00000000-0005-0000-0000-0000551A0000}"/>
    <cellStyle name="40% - Accent5 4 3 2" xfId="6749" xr:uid="{00000000-0005-0000-0000-0000561A0000}"/>
    <cellStyle name="40% - Accent5 4 4" xfId="6750" xr:uid="{00000000-0005-0000-0000-0000571A0000}"/>
    <cellStyle name="40% - Accent5 4 5" xfId="6751" xr:uid="{00000000-0005-0000-0000-0000581A0000}"/>
    <cellStyle name="40% - Accent5 4 6" xfId="6752" xr:uid="{00000000-0005-0000-0000-0000591A0000}"/>
    <cellStyle name="40% - Accent5 4 7" xfId="6753" xr:uid="{00000000-0005-0000-0000-00005A1A0000}"/>
    <cellStyle name="40% - Accent5 4 8" xfId="6754" xr:uid="{00000000-0005-0000-0000-00005B1A0000}"/>
    <cellStyle name="40% - Accent5 5" xfId="6755" xr:uid="{00000000-0005-0000-0000-00005C1A0000}"/>
    <cellStyle name="40% - Accent5 5 2" xfId="6756" xr:uid="{00000000-0005-0000-0000-00005D1A0000}"/>
    <cellStyle name="40% - Accent5 6" xfId="6757" xr:uid="{00000000-0005-0000-0000-00005E1A0000}"/>
    <cellStyle name="40% - Accent5 7" xfId="6758" xr:uid="{00000000-0005-0000-0000-00005F1A0000}"/>
    <cellStyle name="40% - Accent5 8" xfId="6759" xr:uid="{00000000-0005-0000-0000-0000601A0000}"/>
    <cellStyle name="40% - Accent5 9" xfId="6760" xr:uid="{00000000-0005-0000-0000-0000611A0000}"/>
    <cellStyle name="40% - Accent6 2" xfId="6761" xr:uid="{00000000-0005-0000-0000-0000621A0000}"/>
    <cellStyle name="40% - Accent6 2 2" xfId="6762" xr:uid="{00000000-0005-0000-0000-0000631A0000}"/>
    <cellStyle name="40% - Accent6 2 2 2" xfId="6763" xr:uid="{00000000-0005-0000-0000-0000641A0000}"/>
    <cellStyle name="40% - Accent6 2 2 3" xfId="6764" xr:uid="{00000000-0005-0000-0000-0000651A0000}"/>
    <cellStyle name="40% - Accent6 2 3" xfId="6765" xr:uid="{00000000-0005-0000-0000-0000661A0000}"/>
    <cellStyle name="40% - Accent6 2 3 2" xfId="6766" xr:uid="{00000000-0005-0000-0000-0000671A0000}"/>
    <cellStyle name="40% - Accent6 2 4" xfId="6767" xr:uid="{00000000-0005-0000-0000-0000681A0000}"/>
    <cellStyle name="40% - Accent6 2 4 2" xfId="6768" xr:uid="{00000000-0005-0000-0000-0000691A0000}"/>
    <cellStyle name="40% - Accent6 2 5" xfId="6769" xr:uid="{00000000-0005-0000-0000-00006A1A0000}"/>
    <cellStyle name="40% - Accent6 2_2009 GRC Compl Filing - Exhibit D" xfId="6770" xr:uid="{00000000-0005-0000-0000-00006B1A0000}"/>
    <cellStyle name="40% - Accent6 3" xfId="6771" xr:uid="{00000000-0005-0000-0000-00006C1A0000}"/>
    <cellStyle name="40% - Accent6 3 2" xfId="6772" xr:uid="{00000000-0005-0000-0000-00006D1A0000}"/>
    <cellStyle name="40% - Accent6 3 3" xfId="6773" xr:uid="{00000000-0005-0000-0000-00006E1A0000}"/>
    <cellStyle name="40% - Accent6 3 4" xfId="6774" xr:uid="{00000000-0005-0000-0000-00006F1A0000}"/>
    <cellStyle name="40% - Accent6 4" xfId="6775" xr:uid="{00000000-0005-0000-0000-0000701A0000}"/>
    <cellStyle name="40% - Accent6 4 2" xfId="6776" xr:uid="{00000000-0005-0000-0000-0000711A0000}"/>
    <cellStyle name="40% - Accent6 4 2 2" xfId="6777" xr:uid="{00000000-0005-0000-0000-0000721A0000}"/>
    <cellStyle name="40% - Accent6 4 2 3" xfId="6778" xr:uid="{00000000-0005-0000-0000-0000731A0000}"/>
    <cellStyle name="40% - Accent6 4 2 4" xfId="6779" xr:uid="{00000000-0005-0000-0000-0000741A0000}"/>
    <cellStyle name="40% - Accent6 4 3" xfId="6780" xr:uid="{00000000-0005-0000-0000-0000751A0000}"/>
    <cellStyle name="40% - Accent6 4 3 2" xfId="6781" xr:uid="{00000000-0005-0000-0000-0000761A0000}"/>
    <cellStyle name="40% - Accent6 4 4" xfId="6782" xr:uid="{00000000-0005-0000-0000-0000771A0000}"/>
    <cellStyle name="40% - Accent6 4 5" xfId="6783" xr:uid="{00000000-0005-0000-0000-0000781A0000}"/>
    <cellStyle name="40% - Accent6 4 6" xfId="6784" xr:uid="{00000000-0005-0000-0000-0000791A0000}"/>
    <cellStyle name="40% - Accent6 4 7" xfId="6785" xr:uid="{00000000-0005-0000-0000-00007A1A0000}"/>
    <cellStyle name="40% - Accent6 4 8" xfId="6786" xr:uid="{00000000-0005-0000-0000-00007B1A0000}"/>
    <cellStyle name="40% - Accent6 5" xfId="6787" xr:uid="{00000000-0005-0000-0000-00007C1A0000}"/>
    <cellStyle name="40% - Accent6 5 2" xfId="6788" xr:uid="{00000000-0005-0000-0000-00007D1A0000}"/>
    <cellStyle name="40% - Accent6 6" xfId="6789" xr:uid="{00000000-0005-0000-0000-00007E1A0000}"/>
    <cellStyle name="40% - Accent6 7" xfId="6790" xr:uid="{00000000-0005-0000-0000-00007F1A0000}"/>
    <cellStyle name="40% - Accent6 8" xfId="6791" xr:uid="{00000000-0005-0000-0000-0000801A0000}"/>
    <cellStyle name="40% - Accent6 9" xfId="6792" xr:uid="{00000000-0005-0000-0000-0000811A0000}"/>
    <cellStyle name="60% - Accent1 2" xfId="6793" xr:uid="{00000000-0005-0000-0000-0000821A0000}"/>
    <cellStyle name="60% - Accent1 2 2" xfId="6794" xr:uid="{00000000-0005-0000-0000-0000831A0000}"/>
    <cellStyle name="60% - Accent1 2 2 2" xfId="6795" xr:uid="{00000000-0005-0000-0000-0000841A0000}"/>
    <cellStyle name="60% - Accent1 2 3" xfId="6796" xr:uid="{00000000-0005-0000-0000-0000851A0000}"/>
    <cellStyle name="60% - Accent1 3" xfId="6797" xr:uid="{00000000-0005-0000-0000-0000861A0000}"/>
    <cellStyle name="60% - Accent1 3 2" xfId="6798" xr:uid="{00000000-0005-0000-0000-0000871A0000}"/>
    <cellStyle name="60% - Accent1 3 3" xfId="6799" xr:uid="{00000000-0005-0000-0000-0000881A0000}"/>
    <cellStyle name="60% - Accent1 3 4" xfId="6800" xr:uid="{00000000-0005-0000-0000-0000891A0000}"/>
    <cellStyle name="60% - Accent1 4" xfId="6801" xr:uid="{00000000-0005-0000-0000-00008A1A0000}"/>
    <cellStyle name="60% - Accent1 5" xfId="6802" xr:uid="{00000000-0005-0000-0000-00008B1A0000}"/>
    <cellStyle name="60% - Accent1 6" xfId="6803" xr:uid="{00000000-0005-0000-0000-00008C1A0000}"/>
    <cellStyle name="60% - Accent2 2" xfId="6804" xr:uid="{00000000-0005-0000-0000-00008D1A0000}"/>
    <cellStyle name="60% - Accent2 2 2" xfId="6805" xr:uid="{00000000-0005-0000-0000-00008E1A0000}"/>
    <cellStyle name="60% - Accent2 2 2 2" xfId="6806" xr:uid="{00000000-0005-0000-0000-00008F1A0000}"/>
    <cellStyle name="60% - Accent2 2 3" xfId="6807" xr:uid="{00000000-0005-0000-0000-0000901A0000}"/>
    <cellStyle name="60% - Accent2 3" xfId="6808" xr:uid="{00000000-0005-0000-0000-0000911A0000}"/>
    <cellStyle name="60% - Accent2 3 2" xfId="6809" xr:uid="{00000000-0005-0000-0000-0000921A0000}"/>
    <cellStyle name="60% - Accent2 3 3" xfId="6810" xr:uid="{00000000-0005-0000-0000-0000931A0000}"/>
    <cellStyle name="60% - Accent2 3 4" xfId="6811" xr:uid="{00000000-0005-0000-0000-0000941A0000}"/>
    <cellStyle name="60% - Accent2 4" xfId="6812" xr:uid="{00000000-0005-0000-0000-0000951A0000}"/>
    <cellStyle name="60% - Accent2 5" xfId="6813" xr:uid="{00000000-0005-0000-0000-0000961A0000}"/>
    <cellStyle name="60% - Accent2 6" xfId="6814" xr:uid="{00000000-0005-0000-0000-0000971A0000}"/>
    <cellStyle name="60% - Accent3 2" xfId="6815" xr:uid="{00000000-0005-0000-0000-0000981A0000}"/>
    <cellStyle name="60% - Accent3 2 2" xfId="6816" xr:uid="{00000000-0005-0000-0000-0000991A0000}"/>
    <cellStyle name="60% - Accent3 2 2 2" xfId="6817" xr:uid="{00000000-0005-0000-0000-00009A1A0000}"/>
    <cellStyle name="60% - Accent3 2 3" xfId="6818" xr:uid="{00000000-0005-0000-0000-00009B1A0000}"/>
    <cellStyle name="60% - Accent3 3" xfId="6819" xr:uid="{00000000-0005-0000-0000-00009C1A0000}"/>
    <cellStyle name="60% - Accent3 3 2" xfId="6820" xr:uid="{00000000-0005-0000-0000-00009D1A0000}"/>
    <cellStyle name="60% - Accent3 3 3" xfId="6821" xr:uid="{00000000-0005-0000-0000-00009E1A0000}"/>
    <cellStyle name="60% - Accent3 3 4" xfId="6822" xr:uid="{00000000-0005-0000-0000-00009F1A0000}"/>
    <cellStyle name="60% - Accent3 4" xfId="6823" xr:uid="{00000000-0005-0000-0000-0000A01A0000}"/>
    <cellStyle name="60% - Accent3 5" xfId="6824" xr:uid="{00000000-0005-0000-0000-0000A11A0000}"/>
    <cellStyle name="60% - Accent3 6" xfId="6825" xr:uid="{00000000-0005-0000-0000-0000A21A0000}"/>
    <cellStyle name="60% - Accent4 2" xfId="6826" xr:uid="{00000000-0005-0000-0000-0000A31A0000}"/>
    <cellStyle name="60% - Accent4 2 2" xfId="6827" xr:uid="{00000000-0005-0000-0000-0000A41A0000}"/>
    <cellStyle name="60% - Accent4 2 2 2" xfId="6828" xr:uid="{00000000-0005-0000-0000-0000A51A0000}"/>
    <cellStyle name="60% - Accent4 2 3" xfId="6829" xr:uid="{00000000-0005-0000-0000-0000A61A0000}"/>
    <cellStyle name="60% - Accent4 3" xfId="6830" xr:uid="{00000000-0005-0000-0000-0000A71A0000}"/>
    <cellStyle name="60% - Accent4 3 2" xfId="6831" xr:uid="{00000000-0005-0000-0000-0000A81A0000}"/>
    <cellStyle name="60% - Accent4 3 3" xfId="6832" xr:uid="{00000000-0005-0000-0000-0000A91A0000}"/>
    <cellStyle name="60% - Accent4 3 4" xfId="6833" xr:uid="{00000000-0005-0000-0000-0000AA1A0000}"/>
    <cellStyle name="60% - Accent4 4" xfId="6834" xr:uid="{00000000-0005-0000-0000-0000AB1A0000}"/>
    <cellStyle name="60% - Accent4 5" xfId="6835" xr:uid="{00000000-0005-0000-0000-0000AC1A0000}"/>
    <cellStyle name="60% - Accent4 6" xfId="6836" xr:uid="{00000000-0005-0000-0000-0000AD1A0000}"/>
    <cellStyle name="60% - Accent5 2" xfId="6837" xr:uid="{00000000-0005-0000-0000-0000AE1A0000}"/>
    <cellStyle name="60% - Accent5 2 2" xfId="6838" xr:uid="{00000000-0005-0000-0000-0000AF1A0000}"/>
    <cellStyle name="60% - Accent5 2 2 2" xfId="6839" xr:uid="{00000000-0005-0000-0000-0000B01A0000}"/>
    <cellStyle name="60% - Accent5 2 3" xfId="6840" xr:uid="{00000000-0005-0000-0000-0000B11A0000}"/>
    <cellStyle name="60% - Accent5 3" xfId="6841" xr:uid="{00000000-0005-0000-0000-0000B21A0000}"/>
    <cellStyle name="60% - Accent5 3 2" xfId="6842" xr:uid="{00000000-0005-0000-0000-0000B31A0000}"/>
    <cellStyle name="60% - Accent5 3 3" xfId="6843" xr:uid="{00000000-0005-0000-0000-0000B41A0000}"/>
    <cellStyle name="60% - Accent5 3 4" xfId="6844" xr:uid="{00000000-0005-0000-0000-0000B51A0000}"/>
    <cellStyle name="60% - Accent5 4" xfId="6845" xr:uid="{00000000-0005-0000-0000-0000B61A0000}"/>
    <cellStyle name="60% - Accent5 5" xfId="6846" xr:uid="{00000000-0005-0000-0000-0000B71A0000}"/>
    <cellStyle name="60% - Accent5 6" xfId="6847" xr:uid="{00000000-0005-0000-0000-0000B81A0000}"/>
    <cellStyle name="60% - Accent6 2" xfId="6848" xr:uid="{00000000-0005-0000-0000-0000B91A0000}"/>
    <cellStyle name="60% - Accent6 2 2" xfId="6849" xr:uid="{00000000-0005-0000-0000-0000BA1A0000}"/>
    <cellStyle name="60% - Accent6 2 2 2" xfId="6850" xr:uid="{00000000-0005-0000-0000-0000BB1A0000}"/>
    <cellStyle name="60% - Accent6 2 3" xfId="6851" xr:uid="{00000000-0005-0000-0000-0000BC1A0000}"/>
    <cellStyle name="60% - Accent6 3" xfId="6852" xr:uid="{00000000-0005-0000-0000-0000BD1A0000}"/>
    <cellStyle name="60% - Accent6 3 2" xfId="6853" xr:uid="{00000000-0005-0000-0000-0000BE1A0000}"/>
    <cellStyle name="60% - Accent6 3 3" xfId="6854" xr:uid="{00000000-0005-0000-0000-0000BF1A0000}"/>
    <cellStyle name="60% - Accent6 3 4" xfId="6855" xr:uid="{00000000-0005-0000-0000-0000C01A0000}"/>
    <cellStyle name="60% - Accent6 4" xfId="6856" xr:uid="{00000000-0005-0000-0000-0000C11A0000}"/>
    <cellStyle name="60% - Accent6 5" xfId="6857" xr:uid="{00000000-0005-0000-0000-0000C21A0000}"/>
    <cellStyle name="60% - Accent6 6" xfId="6858" xr:uid="{00000000-0005-0000-0000-0000C31A0000}"/>
    <cellStyle name="Accent1 - 20%" xfId="6859" xr:uid="{00000000-0005-0000-0000-0000C41A0000}"/>
    <cellStyle name="Accent1 - 20% 2" xfId="6860" xr:uid="{00000000-0005-0000-0000-0000C51A0000}"/>
    <cellStyle name="Accent1 - 40%" xfId="6861" xr:uid="{00000000-0005-0000-0000-0000C61A0000}"/>
    <cellStyle name="Accent1 - 40% 2" xfId="6862" xr:uid="{00000000-0005-0000-0000-0000C71A0000}"/>
    <cellStyle name="Accent1 - 60%" xfId="6863" xr:uid="{00000000-0005-0000-0000-0000C81A0000}"/>
    <cellStyle name="Accent1 10" xfId="6864" xr:uid="{00000000-0005-0000-0000-0000C91A0000}"/>
    <cellStyle name="Accent1 11" xfId="6865" xr:uid="{00000000-0005-0000-0000-0000CA1A0000}"/>
    <cellStyle name="Accent1 2" xfId="6866" xr:uid="{00000000-0005-0000-0000-0000CB1A0000}"/>
    <cellStyle name="Accent1 2 2" xfId="6867" xr:uid="{00000000-0005-0000-0000-0000CC1A0000}"/>
    <cellStyle name="Accent1 2 2 2" xfId="6868" xr:uid="{00000000-0005-0000-0000-0000CD1A0000}"/>
    <cellStyle name="Accent1 2 3" xfId="6869" xr:uid="{00000000-0005-0000-0000-0000CE1A0000}"/>
    <cellStyle name="Accent1 3" xfId="6870" xr:uid="{00000000-0005-0000-0000-0000CF1A0000}"/>
    <cellStyle name="Accent1 3 2" xfId="6871" xr:uid="{00000000-0005-0000-0000-0000D01A0000}"/>
    <cellStyle name="Accent1 3 3" xfId="6872" xr:uid="{00000000-0005-0000-0000-0000D11A0000}"/>
    <cellStyle name="Accent1 3 4" xfId="6873" xr:uid="{00000000-0005-0000-0000-0000D21A0000}"/>
    <cellStyle name="Accent1 4" xfId="6874" xr:uid="{00000000-0005-0000-0000-0000D31A0000}"/>
    <cellStyle name="Accent1 4 2" xfId="6875" xr:uid="{00000000-0005-0000-0000-0000D41A0000}"/>
    <cellStyle name="Accent1 4 3" xfId="6876" xr:uid="{00000000-0005-0000-0000-0000D51A0000}"/>
    <cellStyle name="Accent1 5" xfId="6877" xr:uid="{00000000-0005-0000-0000-0000D61A0000}"/>
    <cellStyle name="Accent1 6" xfId="6878" xr:uid="{00000000-0005-0000-0000-0000D71A0000}"/>
    <cellStyle name="Accent1 7" xfId="6879" xr:uid="{00000000-0005-0000-0000-0000D81A0000}"/>
    <cellStyle name="Accent1 8" xfId="6880" xr:uid="{00000000-0005-0000-0000-0000D91A0000}"/>
    <cellStyle name="Accent1 9" xfId="6881" xr:uid="{00000000-0005-0000-0000-0000DA1A0000}"/>
    <cellStyle name="Accent2 - 20%" xfId="6882" xr:uid="{00000000-0005-0000-0000-0000DB1A0000}"/>
    <cellStyle name="Accent2 - 20% 2" xfId="6883" xr:uid="{00000000-0005-0000-0000-0000DC1A0000}"/>
    <cellStyle name="Accent2 - 40%" xfId="6884" xr:uid="{00000000-0005-0000-0000-0000DD1A0000}"/>
    <cellStyle name="Accent2 - 40% 2" xfId="6885" xr:uid="{00000000-0005-0000-0000-0000DE1A0000}"/>
    <cellStyle name="Accent2 - 60%" xfId="6886" xr:uid="{00000000-0005-0000-0000-0000DF1A0000}"/>
    <cellStyle name="Accent2 10" xfId="6887" xr:uid="{00000000-0005-0000-0000-0000E01A0000}"/>
    <cellStyle name="Accent2 11" xfId="6888" xr:uid="{00000000-0005-0000-0000-0000E11A0000}"/>
    <cellStyle name="Accent2 2" xfId="6889" xr:uid="{00000000-0005-0000-0000-0000E21A0000}"/>
    <cellStyle name="Accent2 2 2" xfId="6890" xr:uid="{00000000-0005-0000-0000-0000E31A0000}"/>
    <cellStyle name="Accent2 2 2 2" xfId="6891" xr:uid="{00000000-0005-0000-0000-0000E41A0000}"/>
    <cellStyle name="Accent2 2 3" xfId="6892" xr:uid="{00000000-0005-0000-0000-0000E51A0000}"/>
    <cellStyle name="Accent2 3" xfId="6893" xr:uid="{00000000-0005-0000-0000-0000E61A0000}"/>
    <cellStyle name="Accent2 3 2" xfId="6894" xr:uid="{00000000-0005-0000-0000-0000E71A0000}"/>
    <cellStyle name="Accent2 3 3" xfId="6895" xr:uid="{00000000-0005-0000-0000-0000E81A0000}"/>
    <cellStyle name="Accent2 3 4" xfId="6896" xr:uid="{00000000-0005-0000-0000-0000E91A0000}"/>
    <cellStyle name="Accent2 4" xfId="6897" xr:uid="{00000000-0005-0000-0000-0000EA1A0000}"/>
    <cellStyle name="Accent2 4 2" xfId="6898" xr:uid="{00000000-0005-0000-0000-0000EB1A0000}"/>
    <cellStyle name="Accent2 4 3" xfId="6899" xr:uid="{00000000-0005-0000-0000-0000EC1A0000}"/>
    <cellStyle name="Accent2 5" xfId="6900" xr:uid="{00000000-0005-0000-0000-0000ED1A0000}"/>
    <cellStyle name="Accent2 6" xfId="6901" xr:uid="{00000000-0005-0000-0000-0000EE1A0000}"/>
    <cellStyle name="Accent2 7" xfId="6902" xr:uid="{00000000-0005-0000-0000-0000EF1A0000}"/>
    <cellStyle name="Accent2 8" xfId="6903" xr:uid="{00000000-0005-0000-0000-0000F01A0000}"/>
    <cellStyle name="Accent2 9" xfId="6904" xr:uid="{00000000-0005-0000-0000-0000F11A0000}"/>
    <cellStyle name="Accent3 - 20%" xfId="6905" xr:uid="{00000000-0005-0000-0000-0000F21A0000}"/>
    <cellStyle name="Accent3 - 20% 2" xfId="6906" xr:uid="{00000000-0005-0000-0000-0000F31A0000}"/>
    <cellStyle name="Accent3 - 40%" xfId="6907" xr:uid="{00000000-0005-0000-0000-0000F41A0000}"/>
    <cellStyle name="Accent3 - 40% 2" xfId="6908" xr:uid="{00000000-0005-0000-0000-0000F51A0000}"/>
    <cellStyle name="Accent3 - 60%" xfId="6909" xr:uid="{00000000-0005-0000-0000-0000F61A0000}"/>
    <cellStyle name="Accent3 10" xfId="6910" xr:uid="{00000000-0005-0000-0000-0000F71A0000}"/>
    <cellStyle name="Accent3 11" xfId="6911" xr:uid="{00000000-0005-0000-0000-0000F81A0000}"/>
    <cellStyle name="Accent3 2" xfId="6912" xr:uid="{00000000-0005-0000-0000-0000F91A0000}"/>
    <cellStyle name="Accent3 2 2" xfId="6913" xr:uid="{00000000-0005-0000-0000-0000FA1A0000}"/>
    <cellStyle name="Accent3 2 2 2" xfId="6914" xr:uid="{00000000-0005-0000-0000-0000FB1A0000}"/>
    <cellStyle name="Accent3 2 3" xfId="6915" xr:uid="{00000000-0005-0000-0000-0000FC1A0000}"/>
    <cellStyle name="Accent3 3" xfId="6916" xr:uid="{00000000-0005-0000-0000-0000FD1A0000}"/>
    <cellStyle name="Accent3 3 2" xfId="6917" xr:uid="{00000000-0005-0000-0000-0000FE1A0000}"/>
    <cellStyle name="Accent3 3 3" xfId="6918" xr:uid="{00000000-0005-0000-0000-0000FF1A0000}"/>
    <cellStyle name="Accent3 3 4" xfId="6919" xr:uid="{00000000-0005-0000-0000-0000001B0000}"/>
    <cellStyle name="Accent3 4" xfId="6920" xr:uid="{00000000-0005-0000-0000-0000011B0000}"/>
    <cellStyle name="Accent3 4 2" xfId="6921" xr:uid="{00000000-0005-0000-0000-0000021B0000}"/>
    <cellStyle name="Accent3 4 3" xfId="6922" xr:uid="{00000000-0005-0000-0000-0000031B0000}"/>
    <cellStyle name="Accent3 5" xfId="6923" xr:uid="{00000000-0005-0000-0000-0000041B0000}"/>
    <cellStyle name="Accent3 6" xfId="6924" xr:uid="{00000000-0005-0000-0000-0000051B0000}"/>
    <cellStyle name="Accent3 7" xfId="6925" xr:uid="{00000000-0005-0000-0000-0000061B0000}"/>
    <cellStyle name="Accent3 8" xfId="6926" xr:uid="{00000000-0005-0000-0000-0000071B0000}"/>
    <cellStyle name="Accent3 9" xfId="6927" xr:uid="{00000000-0005-0000-0000-0000081B0000}"/>
    <cellStyle name="Accent4 - 20%" xfId="6928" xr:uid="{00000000-0005-0000-0000-0000091B0000}"/>
    <cellStyle name="Accent4 - 20% 2" xfId="6929" xr:uid="{00000000-0005-0000-0000-00000A1B0000}"/>
    <cellStyle name="Accent4 - 40%" xfId="6930" xr:uid="{00000000-0005-0000-0000-00000B1B0000}"/>
    <cellStyle name="Accent4 - 40% 2" xfId="6931" xr:uid="{00000000-0005-0000-0000-00000C1B0000}"/>
    <cellStyle name="Accent4 - 60%" xfId="6932" xr:uid="{00000000-0005-0000-0000-00000D1B0000}"/>
    <cellStyle name="Accent4 10" xfId="6933" xr:uid="{00000000-0005-0000-0000-00000E1B0000}"/>
    <cellStyle name="Accent4 11" xfId="6934" xr:uid="{00000000-0005-0000-0000-00000F1B0000}"/>
    <cellStyle name="Accent4 2" xfId="6935" xr:uid="{00000000-0005-0000-0000-0000101B0000}"/>
    <cellStyle name="Accent4 2 2" xfId="6936" xr:uid="{00000000-0005-0000-0000-0000111B0000}"/>
    <cellStyle name="Accent4 2 2 2" xfId="6937" xr:uid="{00000000-0005-0000-0000-0000121B0000}"/>
    <cellStyle name="Accent4 2 3" xfId="6938" xr:uid="{00000000-0005-0000-0000-0000131B0000}"/>
    <cellStyle name="Accent4 3" xfId="6939" xr:uid="{00000000-0005-0000-0000-0000141B0000}"/>
    <cellStyle name="Accent4 3 2" xfId="6940" xr:uid="{00000000-0005-0000-0000-0000151B0000}"/>
    <cellStyle name="Accent4 3 3" xfId="6941" xr:uid="{00000000-0005-0000-0000-0000161B0000}"/>
    <cellStyle name="Accent4 3 4" xfId="6942" xr:uid="{00000000-0005-0000-0000-0000171B0000}"/>
    <cellStyle name="Accent4 4" xfId="6943" xr:uid="{00000000-0005-0000-0000-0000181B0000}"/>
    <cellStyle name="Accent4 4 2" xfId="6944" xr:uid="{00000000-0005-0000-0000-0000191B0000}"/>
    <cellStyle name="Accent4 4 3" xfId="6945" xr:uid="{00000000-0005-0000-0000-00001A1B0000}"/>
    <cellStyle name="Accent4 5" xfId="6946" xr:uid="{00000000-0005-0000-0000-00001B1B0000}"/>
    <cellStyle name="Accent4 6" xfId="6947" xr:uid="{00000000-0005-0000-0000-00001C1B0000}"/>
    <cellStyle name="Accent4 7" xfId="6948" xr:uid="{00000000-0005-0000-0000-00001D1B0000}"/>
    <cellStyle name="Accent4 8" xfId="6949" xr:uid="{00000000-0005-0000-0000-00001E1B0000}"/>
    <cellStyle name="Accent4 9" xfId="6950" xr:uid="{00000000-0005-0000-0000-00001F1B0000}"/>
    <cellStyle name="Accent5 - 20%" xfId="6951" xr:uid="{00000000-0005-0000-0000-0000201B0000}"/>
    <cellStyle name="Accent5 - 20% 2" xfId="6952" xr:uid="{00000000-0005-0000-0000-0000211B0000}"/>
    <cellStyle name="Accent5 - 40%" xfId="6953" xr:uid="{00000000-0005-0000-0000-0000221B0000}"/>
    <cellStyle name="Accent5 - 40% 2" xfId="6954" xr:uid="{00000000-0005-0000-0000-0000231B0000}"/>
    <cellStyle name="Accent5 - 60%" xfId="6955" xr:uid="{00000000-0005-0000-0000-0000241B0000}"/>
    <cellStyle name="Accent5 10" xfId="6956" xr:uid="{00000000-0005-0000-0000-0000251B0000}"/>
    <cellStyle name="Accent5 11" xfId="6957" xr:uid="{00000000-0005-0000-0000-0000261B0000}"/>
    <cellStyle name="Accent5 12" xfId="6958" xr:uid="{00000000-0005-0000-0000-0000271B0000}"/>
    <cellStyle name="Accent5 13" xfId="6959" xr:uid="{00000000-0005-0000-0000-0000281B0000}"/>
    <cellStyle name="Accent5 14" xfId="6960" xr:uid="{00000000-0005-0000-0000-0000291B0000}"/>
    <cellStyle name="Accent5 15" xfId="6961" xr:uid="{00000000-0005-0000-0000-00002A1B0000}"/>
    <cellStyle name="Accent5 16" xfId="6962" xr:uid="{00000000-0005-0000-0000-00002B1B0000}"/>
    <cellStyle name="Accent5 17" xfId="6963" xr:uid="{00000000-0005-0000-0000-00002C1B0000}"/>
    <cellStyle name="Accent5 18" xfId="6964" xr:uid="{00000000-0005-0000-0000-00002D1B0000}"/>
    <cellStyle name="Accent5 19" xfId="6965" xr:uid="{00000000-0005-0000-0000-00002E1B0000}"/>
    <cellStyle name="Accent5 2" xfId="6966" xr:uid="{00000000-0005-0000-0000-00002F1B0000}"/>
    <cellStyle name="Accent5 2 2" xfId="6967" xr:uid="{00000000-0005-0000-0000-0000301B0000}"/>
    <cellStyle name="Accent5 2 2 2" xfId="6968" xr:uid="{00000000-0005-0000-0000-0000311B0000}"/>
    <cellStyle name="Accent5 2 3" xfId="6969" xr:uid="{00000000-0005-0000-0000-0000321B0000}"/>
    <cellStyle name="Accent5 20" xfId="6970" xr:uid="{00000000-0005-0000-0000-0000331B0000}"/>
    <cellStyle name="Accent5 21" xfId="6971" xr:uid="{00000000-0005-0000-0000-0000341B0000}"/>
    <cellStyle name="Accent5 22" xfId="6972" xr:uid="{00000000-0005-0000-0000-0000351B0000}"/>
    <cellStyle name="Accent5 23" xfId="6973" xr:uid="{00000000-0005-0000-0000-0000361B0000}"/>
    <cellStyle name="Accent5 24" xfId="6974" xr:uid="{00000000-0005-0000-0000-0000371B0000}"/>
    <cellStyle name="Accent5 25" xfId="6975" xr:uid="{00000000-0005-0000-0000-0000381B0000}"/>
    <cellStyle name="Accent5 26" xfId="6976" xr:uid="{00000000-0005-0000-0000-0000391B0000}"/>
    <cellStyle name="Accent5 27" xfId="6977" xr:uid="{00000000-0005-0000-0000-00003A1B0000}"/>
    <cellStyle name="Accent5 28" xfId="6978" xr:uid="{00000000-0005-0000-0000-00003B1B0000}"/>
    <cellStyle name="Accent5 29" xfId="6979" xr:uid="{00000000-0005-0000-0000-00003C1B0000}"/>
    <cellStyle name="Accent5 3" xfId="6980" xr:uid="{00000000-0005-0000-0000-00003D1B0000}"/>
    <cellStyle name="Accent5 3 2" xfId="6981" xr:uid="{00000000-0005-0000-0000-00003E1B0000}"/>
    <cellStyle name="Accent5 3 3" xfId="6982" xr:uid="{00000000-0005-0000-0000-00003F1B0000}"/>
    <cellStyle name="Accent5 30" xfId="6983" xr:uid="{00000000-0005-0000-0000-0000401B0000}"/>
    <cellStyle name="Accent5 31" xfId="6984" xr:uid="{00000000-0005-0000-0000-0000411B0000}"/>
    <cellStyle name="Accent5 32" xfId="6985" xr:uid="{00000000-0005-0000-0000-0000421B0000}"/>
    <cellStyle name="Accent5 4" xfId="6986" xr:uid="{00000000-0005-0000-0000-0000431B0000}"/>
    <cellStyle name="Accent5 5" xfId="6987" xr:uid="{00000000-0005-0000-0000-0000441B0000}"/>
    <cellStyle name="Accent5 6" xfId="6988" xr:uid="{00000000-0005-0000-0000-0000451B0000}"/>
    <cellStyle name="Accent5 7" xfId="6989" xr:uid="{00000000-0005-0000-0000-0000461B0000}"/>
    <cellStyle name="Accent5 8" xfId="6990" xr:uid="{00000000-0005-0000-0000-0000471B0000}"/>
    <cellStyle name="Accent5 9" xfId="6991" xr:uid="{00000000-0005-0000-0000-0000481B0000}"/>
    <cellStyle name="Accent6 - 20%" xfId="6992" xr:uid="{00000000-0005-0000-0000-0000491B0000}"/>
    <cellStyle name="Accent6 - 20% 2" xfId="6993" xr:uid="{00000000-0005-0000-0000-00004A1B0000}"/>
    <cellStyle name="Accent6 - 40%" xfId="6994" xr:uid="{00000000-0005-0000-0000-00004B1B0000}"/>
    <cellStyle name="Accent6 - 40% 2" xfId="6995" xr:uid="{00000000-0005-0000-0000-00004C1B0000}"/>
    <cellStyle name="Accent6 - 60%" xfId="6996" xr:uid="{00000000-0005-0000-0000-00004D1B0000}"/>
    <cellStyle name="Accent6 10" xfId="6997" xr:uid="{00000000-0005-0000-0000-00004E1B0000}"/>
    <cellStyle name="Accent6 11" xfId="6998" xr:uid="{00000000-0005-0000-0000-00004F1B0000}"/>
    <cellStyle name="Accent6 2" xfId="6999" xr:uid="{00000000-0005-0000-0000-0000501B0000}"/>
    <cellStyle name="Accent6 2 2" xfId="7000" xr:uid="{00000000-0005-0000-0000-0000511B0000}"/>
    <cellStyle name="Accent6 2 2 2" xfId="7001" xr:uid="{00000000-0005-0000-0000-0000521B0000}"/>
    <cellStyle name="Accent6 2 3" xfId="7002" xr:uid="{00000000-0005-0000-0000-0000531B0000}"/>
    <cellStyle name="Accent6 3" xfId="7003" xr:uid="{00000000-0005-0000-0000-0000541B0000}"/>
    <cellStyle name="Accent6 3 2" xfId="7004" xr:uid="{00000000-0005-0000-0000-0000551B0000}"/>
    <cellStyle name="Accent6 3 3" xfId="7005" xr:uid="{00000000-0005-0000-0000-0000561B0000}"/>
    <cellStyle name="Accent6 3 4" xfId="7006" xr:uid="{00000000-0005-0000-0000-0000571B0000}"/>
    <cellStyle name="Accent6 4" xfId="7007" xr:uid="{00000000-0005-0000-0000-0000581B0000}"/>
    <cellStyle name="Accent6 4 2" xfId="7008" xr:uid="{00000000-0005-0000-0000-0000591B0000}"/>
    <cellStyle name="Accent6 4 3" xfId="7009" xr:uid="{00000000-0005-0000-0000-00005A1B0000}"/>
    <cellStyle name="Accent6 5" xfId="7010" xr:uid="{00000000-0005-0000-0000-00005B1B0000}"/>
    <cellStyle name="Accent6 6" xfId="7011" xr:uid="{00000000-0005-0000-0000-00005C1B0000}"/>
    <cellStyle name="Accent6 7" xfId="7012" xr:uid="{00000000-0005-0000-0000-00005D1B0000}"/>
    <cellStyle name="Accent6 8" xfId="7013" xr:uid="{00000000-0005-0000-0000-00005E1B0000}"/>
    <cellStyle name="Accent6 9" xfId="7014" xr:uid="{00000000-0005-0000-0000-00005F1B0000}"/>
    <cellStyle name="Bad 2" xfId="7015" xr:uid="{00000000-0005-0000-0000-0000601B0000}"/>
    <cellStyle name="Bad 2 2" xfId="7016" xr:uid="{00000000-0005-0000-0000-0000611B0000}"/>
    <cellStyle name="Bad 2 2 2" xfId="7017" xr:uid="{00000000-0005-0000-0000-0000621B0000}"/>
    <cellStyle name="Bad 2 3" xfId="7018" xr:uid="{00000000-0005-0000-0000-0000631B0000}"/>
    <cellStyle name="Bad 3" xfId="7019" xr:uid="{00000000-0005-0000-0000-0000641B0000}"/>
    <cellStyle name="Bad 3 2" xfId="7020" xr:uid="{00000000-0005-0000-0000-0000651B0000}"/>
    <cellStyle name="Bad 3 3" xfId="7021" xr:uid="{00000000-0005-0000-0000-0000661B0000}"/>
    <cellStyle name="Bad 3 4" xfId="7022" xr:uid="{00000000-0005-0000-0000-0000671B0000}"/>
    <cellStyle name="Bad 4" xfId="7023" xr:uid="{00000000-0005-0000-0000-0000681B0000}"/>
    <cellStyle name="Bad 5" xfId="7024" xr:uid="{00000000-0005-0000-0000-0000691B0000}"/>
    <cellStyle name="Bad 6" xfId="7025" xr:uid="{00000000-0005-0000-0000-00006A1B0000}"/>
    <cellStyle name="blank" xfId="7026" xr:uid="{00000000-0005-0000-0000-00006B1B0000}"/>
    <cellStyle name="bld-li - Style4" xfId="7027" xr:uid="{00000000-0005-0000-0000-00006C1B0000}"/>
    <cellStyle name="Calc Currency (0)" xfId="7028" xr:uid="{00000000-0005-0000-0000-00006D1B0000}"/>
    <cellStyle name="Calc Currency (0) 2" xfId="7029" xr:uid="{00000000-0005-0000-0000-00006E1B0000}"/>
    <cellStyle name="Calc Currency (0) 2 2" xfId="7030" xr:uid="{00000000-0005-0000-0000-00006F1B0000}"/>
    <cellStyle name="Calc Currency (0) 3" xfId="7031" xr:uid="{00000000-0005-0000-0000-0000701B0000}"/>
    <cellStyle name="Calc Currency (0) 4" xfId="7032" xr:uid="{00000000-0005-0000-0000-0000711B0000}"/>
    <cellStyle name="Calculation 2" xfId="7033" xr:uid="{00000000-0005-0000-0000-0000721B0000}"/>
    <cellStyle name="Calculation 2 2" xfId="7034" xr:uid="{00000000-0005-0000-0000-0000731B0000}"/>
    <cellStyle name="Calculation 2 2 2" xfId="7035" xr:uid="{00000000-0005-0000-0000-0000741B0000}"/>
    <cellStyle name="Calculation 2 2 3" xfId="7036" xr:uid="{00000000-0005-0000-0000-0000751B0000}"/>
    <cellStyle name="Calculation 2 3" xfId="7037" xr:uid="{00000000-0005-0000-0000-0000761B0000}"/>
    <cellStyle name="Calculation 2 3 2" xfId="7038" xr:uid="{00000000-0005-0000-0000-0000771B0000}"/>
    <cellStyle name="Calculation 2 3 3" xfId="7039" xr:uid="{00000000-0005-0000-0000-0000781B0000}"/>
    <cellStyle name="Calculation 2 3 4" xfId="7040" xr:uid="{00000000-0005-0000-0000-0000791B0000}"/>
    <cellStyle name="Calculation 2 4" xfId="7041" xr:uid="{00000000-0005-0000-0000-00007A1B0000}"/>
    <cellStyle name="Calculation 2 4 2" xfId="7042" xr:uid="{00000000-0005-0000-0000-00007B1B0000}"/>
    <cellStyle name="Calculation 2 5" xfId="7043" xr:uid="{00000000-0005-0000-0000-00007C1B0000}"/>
    <cellStyle name="Calculation 3" xfId="7044" xr:uid="{00000000-0005-0000-0000-00007D1B0000}"/>
    <cellStyle name="Calculation 3 2" xfId="7045" xr:uid="{00000000-0005-0000-0000-00007E1B0000}"/>
    <cellStyle name="Calculation 3 3" xfId="7046" xr:uid="{00000000-0005-0000-0000-00007F1B0000}"/>
    <cellStyle name="Calculation 3 4" xfId="7047" xr:uid="{00000000-0005-0000-0000-0000801B0000}"/>
    <cellStyle name="Calculation 4" xfId="7048" xr:uid="{00000000-0005-0000-0000-0000811B0000}"/>
    <cellStyle name="Calculation 4 2" xfId="7049" xr:uid="{00000000-0005-0000-0000-0000821B0000}"/>
    <cellStyle name="Calculation 4 2 2" xfId="7050" xr:uid="{00000000-0005-0000-0000-0000831B0000}"/>
    <cellStyle name="Calculation 4 3" xfId="7051" xr:uid="{00000000-0005-0000-0000-0000841B0000}"/>
    <cellStyle name="Calculation 4 3 2" xfId="7052" xr:uid="{00000000-0005-0000-0000-0000851B0000}"/>
    <cellStyle name="Calculation 4 4" xfId="7053" xr:uid="{00000000-0005-0000-0000-0000861B0000}"/>
    <cellStyle name="Calculation 4 4 2" xfId="7054" xr:uid="{00000000-0005-0000-0000-0000871B0000}"/>
    <cellStyle name="Calculation 5" xfId="7055" xr:uid="{00000000-0005-0000-0000-0000881B0000}"/>
    <cellStyle name="Calculation 5 2" xfId="7056" xr:uid="{00000000-0005-0000-0000-0000891B0000}"/>
    <cellStyle name="Calculation 6" xfId="7057" xr:uid="{00000000-0005-0000-0000-00008A1B0000}"/>
    <cellStyle name="Calculation 7" xfId="7058" xr:uid="{00000000-0005-0000-0000-00008B1B0000}"/>
    <cellStyle name="Calculation 8" xfId="7059" xr:uid="{00000000-0005-0000-0000-00008C1B0000}"/>
    <cellStyle name="Calculation 9" xfId="7060" xr:uid="{00000000-0005-0000-0000-00008D1B0000}"/>
    <cellStyle name="Calculation 9 2" xfId="7061" xr:uid="{00000000-0005-0000-0000-00008E1B0000}"/>
    <cellStyle name="Check Cell 2" xfId="7062" xr:uid="{00000000-0005-0000-0000-00008F1B0000}"/>
    <cellStyle name="Check Cell 2 2" xfId="7063" xr:uid="{00000000-0005-0000-0000-0000901B0000}"/>
    <cellStyle name="Check Cell 2 2 2" xfId="7064" xr:uid="{00000000-0005-0000-0000-0000911B0000}"/>
    <cellStyle name="Check Cell 2 2 3" xfId="7065" xr:uid="{00000000-0005-0000-0000-0000921B0000}"/>
    <cellStyle name="Check Cell 2 3" xfId="7066" xr:uid="{00000000-0005-0000-0000-0000931B0000}"/>
    <cellStyle name="Check Cell 3" xfId="7067" xr:uid="{00000000-0005-0000-0000-0000941B0000}"/>
    <cellStyle name="Check Cell 4" xfId="7068" xr:uid="{00000000-0005-0000-0000-0000951B0000}"/>
    <cellStyle name="CheckCell" xfId="7069" xr:uid="{00000000-0005-0000-0000-0000961B0000}"/>
    <cellStyle name="CheckCell 2" xfId="7070" xr:uid="{00000000-0005-0000-0000-0000971B0000}"/>
    <cellStyle name="CheckCell 2 2" xfId="7071" xr:uid="{00000000-0005-0000-0000-0000981B0000}"/>
    <cellStyle name="CheckCell 3" xfId="7072" xr:uid="{00000000-0005-0000-0000-0000991B0000}"/>
    <cellStyle name="CheckCell 4" xfId="7073" xr:uid="{00000000-0005-0000-0000-00009A1B0000}"/>
    <cellStyle name="CheckCell_Electric Rev Req Model (2009 GRC) Rebuttal" xfId="7074" xr:uid="{00000000-0005-0000-0000-00009B1B0000}"/>
    <cellStyle name="Comma" xfId="1" builtinId="3"/>
    <cellStyle name="Comma [0] 2" xfId="9533" xr:uid="{00000000-0005-0000-0000-00009D1B0000}"/>
    <cellStyle name="Comma 10" xfId="7075" xr:uid="{00000000-0005-0000-0000-00009E1B0000}"/>
    <cellStyle name="Comma 10 2" xfId="7076" xr:uid="{00000000-0005-0000-0000-00009F1B0000}"/>
    <cellStyle name="Comma 10 2 2" xfId="7077" xr:uid="{00000000-0005-0000-0000-0000A01B0000}"/>
    <cellStyle name="Comma 10 2 3" xfId="7078" xr:uid="{00000000-0005-0000-0000-0000A11B0000}"/>
    <cellStyle name="Comma 10 3" xfId="7079" xr:uid="{00000000-0005-0000-0000-0000A21B0000}"/>
    <cellStyle name="Comma 10 4" xfId="7080" xr:uid="{00000000-0005-0000-0000-0000A31B0000}"/>
    <cellStyle name="Comma 11" xfId="7081" xr:uid="{00000000-0005-0000-0000-0000A41B0000}"/>
    <cellStyle name="Comma 11 2" xfId="7082" xr:uid="{00000000-0005-0000-0000-0000A51B0000}"/>
    <cellStyle name="Comma 11 2 2" xfId="7083" xr:uid="{00000000-0005-0000-0000-0000A61B0000}"/>
    <cellStyle name="Comma 11 3" xfId="7084" xr:uid="{00000000-0005-0000-0000-0000A71B0000}"/>
    <cellStyle name="Comma 11 4" xfId="7085" xr:uid="{00000000-0005-0000-0000-0000A81B0000}"/>
    <cellStyle name="Comma 12" xfId="7086" xr:uid="{00000000-0005-0000-0000-0000A91B0000}"/>
    <cellStyle name="Comma 12 2" xfId="7087" xr:uid="{00000000-0005-0000-0000-0000AA1B0000}"/>
    <cellStyle name="Comma 12 2 2" xfId="7088" xr:uid="{00000000-0005-0000-0000-0000AB1B0000}"/>
    <cellStyle name="Comma 12 3" xfId="7089" xr:uid="{00000000-0005-0000-0000-0000AC1B0000}"/>
    <cellStyle name="Comma 12 4" xfId="7090" xr:uid="{00000000-0005-0000-0000-0000AD1B0000}"/>
    <cellStyle name="Comma 13" xfId="7091" xr:uid="{00000000-0005-0000-0000-0000AE1B0000}"/>
    <cellStyle name="Comma 13 2" xfId="7092" xr:uid="{00000000-0005-0000-0000-0000AF1B0000}"/>
    <cellStyle name="Comma 13 2 2" xfId="7093" xr:uid="{00000000-0005-0000-0000-0000B01B0000}"/>
    <cellStyle name="Comma 13 3" xfId="7094" xr:uid="{00000000-0005-0000-0000-0000B11B0000}"/>
    <cellStyle name="Comma 13 4" xfId="7095" xr:uid="{00000000-0005-0000-0000-0000B21B0000}"/>
    <cellStyle name="Comma 14" xfId="7096" xr:uid="{00000000-0005-0000-0000-0000B31B0000}"/>
    <cellStyle name="Comma 14 2" xfId="7097" xr:uid="{00000000-0005-0000-0000-0000B41B0000}"/>
    <cellStyle name="Comma 14 2 2" xfId="7098" xr:uid="{00000000-0005-0000-0000-0000B51B0000}"/>
    <cellStyle name="Comma 14 3" xfId="7099" xr:uid="{00000000-0005-0000-0000-0000B61B0000}"/>
    <cellStyle name="Comma 14 4" xfId="7100" xr:uid="{00000000-0005-0000-0000-0000B71B0000}"/>
    <cellStyle name="Comma 15" xfId="7101" xr:uid="{00000000-0005-0000-0000-0000B81B0000}"/>
    <cellStyle name="Comma 15 2" xfId="7102" xr:uid="{00000000-0005-0000-0000-0000B91B0000}"/>
    <cellStyle name="Comma 15 2 2" xfId="7103" xr:uid="{00000000-0005-0000-0000-0000BA1B0000}"/>
    <cellStyle name="Comma 15 3" xfId="7104" xr:uid="{00000000-0005-0000-0000-0000BB1B0000}"/>
    <cellStyle name="Comma 16" xfId="7105" xr:uid="{00000000-0005-0000-0000-0000BC1B0000}"/>
    <cellStyle name="Comma 16 2" xfId="7106" xr:uid="{00000000-0005-0000-0000-0000BD1B0000}"/>
    <cellStyle name="Comma 16 3" xfId="7107" xr:uid="{00000000-0005-0000-0000-0000BE1B0000}"/>
    <cellStyle name="Comma 17" xfId="7108" xr:uid="{00000000-0005-0000-0000-0000BF1B0000}"/>
    <cellStyle name="Comma 17 2" xfId="7109" xr:uid="{00000000-0005-0000-0000-0000C01B0000}"/>
    <cellStyle name="Comma 17 2 2" xfId="7110" xr:uid="{00000000-0005-0000-0000-0000C11B0000}"/>
    <cellStyle name="Comma 17 3" xfId="7111" xr:uid="{00000000-0005-0000-0000-0000C21B0000}"/>
    <cellStyle name="Comma 17 3 2" xfId="7112" xr:uid="{00000000-0005-0000-0000-0000C31B0000}"/>
    <cellStyle name="Comma 17 4" xfId="7113" xr:uid="{00000000-0005-0000-0000-0000C41B0000}"/>
    <cellStyle name="Comma 17 4 2" xfId="7114" xr:uid="{00000000-0005-0000-0000-0000C51B0000}"/>
    <cellStyle name="Comma 17 5" xfId="7115" xr:uid="{00000000-0005-0000-0000-0000C61B0000}"/>
    <cellStyle name="Comma 18" xfId="7116" xr:uid="{00000000-0005-0000-0000-0000C71B0000}"/>
    <cellStyle name="Comma 18 2" xfId="7117" xr:uid="{00000000-0005-0000-0000-0000C81B0000}"/>
    <cellStyle name="Comma 18 3" xfId="7118" xr:uid="{00000000-0005-0000-0000-0000C91B0000}"/>
    <cellStyle name="Comma 18 4" xfId="7119" xr:uid="{00000000-0005-0000-0000-0000CA1B0000}"/>
    <cellStyle name="Comma 19" xfId="7120" xr:uid="{00000000-0005-0000-0000-0000CB1B0000}"/>
    <cellStyle name="Comma 19 2" xfId="7121" xr:uid="{00000000-0005-0000-0000-0000CC1B0000}"/>
    <cellStyle name="Comma 19 3" xfId="7122" xr:uid="{00000000-0005-0000-0000-0000CD1B0000}"/>
    <cellStyle name="Comma 2" xfId="6" xr:uid="{00000000-0005-0000-0000-0000CE1B0000}"/>
    <cellStyle name="Comma 2 10" xfId="7123" xr:uid="{00000000-0005-0000-0000-0000CF1B0000}"/>
    <cellStyle name="Comma 2 2" xfId="7124" xr:uid="{00000000-0005-0000-0000-0000D01B0000}"/>
    <cellStyle name="Comma 2 2 2" xfId="7125" xr:uid="{00000000-0005-0000-0000-0000D11B0000}"/>
    <cellStyle name="Comma 2 2 2 2" xfId="7126" xr:uid="{00000000-0005-0000-0000-0000D21B0000}"/>
    <cellStyle name="Comma 2 2 2 3" xfId="7127" xr:uid="{00000000-0005-0000-0000-0000D31B0000}"/>
    <cellStyle name="Comma 2 2 3" xfId="7128" xr:uid="{00000000-0005-0000-0000-0000D41B0000}"/>
    <cellStyle name="Comma 2 2 3 2" xfId="7129" xr:uid="{00000000-0005-0000-0000-0000D51B0000}"/>
    <cellStyle name="Comma 2 2 4" xfId="7130" xr:uid="{00000000-0005-0000-0000-0000D61B0000}"/>
    <cellStyle name="Comma 2 2 5" xfId="7131" xr:uid="{00000000-0005-0000-0000-0000D71B0000}"/>
    <cellStyle name="Comma 2 3" xfId="7132" xr:uid="{00000000-0005-0000-0000-0000D81B0000}"/>
    <cellStyle name="Comma 2 3 2" xfId="7133" xr:uid="{00000000-0005-0000-0000-0000D91B0000}"/>
    <cellStyle name="Comma 2 3 3" xfId="7134" xr:uid="{00000000-0005-0000-0000-0000DA1B0000}"/>
    <cellStyle name="Comma 2 4" xfId="7135" xr:uid="{00000000-0005-0000-0000-0000DB1B0000}"/>
    <cellStyle name="Comma 2 4 2" xfId="7136" xr:uid="{00000000-0005-0000-0000-0000DC1B0000}"/>
    <cellStyle name="Comma 2 5" xfId="7137" xr:uid="{00000000-0005-0000-0000-0000DD1B0000}"/>
    <cellStyle name="Comma 2 5 2" xfId="7138" xr:uid="{00000000-0005-0000-0000-0000DE1B0000}"/>
    <cellStyle name="Comma 2 6" xfId="7139" xr:uid="{00000000-0005-0000-0000-0000DF1B0000}"/>
    <cellStyle name="Comma 2 6 2" xfId="7140" xr:uid="{00000000-0005-0000-0000-0000E01B0000}"/>
    <cellStyle name="Comma 2 7" xfId="7141" xr:uid="{00000000-0005-0000-0000-0000E11B0000}"/>
    <cellStyle name="Comma 2 7 2" xfId="7142" xr:uid="{00000000-0005-0000-0000-0000E21B0000}"/>
    <cellStyle name="Comma 2 8" xfId="7143" xr:uid="{00000000-0005-0000-0000-0000E31B0000}"/>
    <cellStyle name="Comma 2 8 2" xfId="7144" xr:uid="{00000000-0005-0000-0000-0000E41B0000}"/>
    <cellStyle name="Comma 2 9" xfId="7145" xr:uid="{00000000-0005-0000-0000-0000E51B0000}"/>
    <cellStyle name="Comma 2_Chelan PUD Power Costs (8-10)" xfId="7146" xr:uid="{00000000-0005-0000-0000-0000E61B0000}"/>
    <cellStyle name="Comma 20" xfId="7147" xr:uid="{00000000-0005-0000-0000-0000E71B0000}"/>
    <cellStyle name="Comma 20 2" xfId="7148" xr:uid="{00000000-0005-0000-0000-0000E81B0000}"/>
    <cellStyle name="Comma 21" xfId="7149" xr:uid="{00000000-0005-0000-0000-0000E91B0000}"/>
    <cellStyle name="Comma 22" xfId="7150" xr:uid="{00000000-0005-0000-0000-0000EA1B0000}"/>
    <cellStyle name="Comma 23" xfId="7151" xr:uid="{00000000-0005-0000-0000-0000EB1B0000}"/>
    <cellStyle name="Comma 24" xfId="7152" xr:uid="{00000000-0005-0000-0000-0000EC1B0000}"/>
    <cellStyle name="Comma 24 2" xfId="7153" xr:uid="{00000000-0005-0000-0000-0000ED1B0000}"/>
    <cellStyle name="Comma 24 3" xfId="7154" xr:uid="{00000000-0005-0000-0000-0000EE1B0000}"/>
    <cellStyle name="Comma 25" xfId="7155" xr:uid="{00000000-0005-0000-0000-0000EF1B0000}"/>
    <cellStyle name="Comma 25 2" xfId="7156" xr:uid="{00000000-0005-0000-0000-0000F01B0000}"/>
    <cellStyle name="Comma 26" xfId="7157" xr:uid="{00000000-0005-0000-0000-0000F11B0000}"/>
    <cellStyle name="Comma 26 2" xfId="7158" xr:uid="{00000000-0005-0000-0000-0000F21B0000}"/>
    <cellStyle name="Comma 27" xfId="7159" xr:uid="{00000000-0005-0000-0000-0000F31B0000}"/>
    <cellStyle name="Comma 27 2" xfId="7160" xr:uid="{00000000-0005-0000-0000-0000F41B0000}"/>
    <cellStyle name="Comma 28" xfId="7161" xr:uid="{00000000-0005-0000-0000-0000F51B0000}"/>
    <cellStyle name="Comma 28 2" xfId="7162" xr:uid="{00000000-0005-0000-0000-0000F61B0000}"/>
    <cellStyle name="Comma 29" xfId="7163" xr:uid="{00000000-0005-0000-0000-0000F71B0000}"/>
    <cellStyle name="Comma 3" xfId="7164" xr:uid="{00000000-0005-0000-0000-0000F81B0000}"/>
    <cellStyle name="Comma 3 2" xfId="7165" xr:uid="{00000000-0005-0000-0000-0000F91B0000}"/>
    <cellStyle name="Comma 3 2 2" xfId="7166" xr:uid="{00000000-0005-0000-0000-0000FA1B0000}"/>
    <cellStyle name="Comma 3 2 2 2" xfId="7167" xr:uid="{00000000-0005-0000-0000-0000FB1B0000}"/>
    <cellStyle name="Comma 3 2 3" xfId="7168" xr:uid="{00000000-0005-0000-0000-0000FC1B0000}"/>
    <cellStyle name="Comma 3 2 4" xfId="9532" xr:uid="{00000000-0005-0000-0000-0000FD1B0000}"/>
    <cellStyle name="Comma 3 3" xfId="7169" xr:uid="{00000000-0005-0000-0000-0000FE1B0000}"/>
    <cellStyle name="Comma 3 3 2" xfId="7170" xr:uid="{00000000-0005-0000-0000-0000FF1B0000}"/>
    <cellStyle name="Comma 3 4" xfId="7171" xr:uid="{00000000-0005-0000-0000-0000001C0000}"/>
    <cellStyle name="Comma 3 4 2" xfId="7172" xr:uid="{00000000-0005-0000-0000-0000011C0000}"/>
    <cellStyle name="Comma 3 5" xfId="7173" xr:uid="{00000000-0005-0000-0000-0000021C0000}"/>
    <cellStyle name="Comma 3 6" xfId="7174" xr:uid="{00000000-0005-0000-0000-0000031C0000}"/>
    <cellStyle name="Comma 30" xfId="7175" xr:uid="{00000000-0005-0000-0000-0000041C0000}"/>
    <cellStyle name="Comma 31" xfId="7176" xr:uid="{00000000-0005-0000-0000-0000051C0000}"/>
    <cellStyle name="Comma 31 2" xfId="7177" xr:uid="{00000000-0005-0000-0000-0000061C0000}"/>
    <cellStyle name="Comma 31 3" xfId="7178" xr:uid="{00000000-0005-0000-0000-0000071C0000}"/>
    <cellStyle name="Comma 32" xfId="7179" xr:uid="{00000000-0005-0000-0000-0000081C0000}"/>
    <cellStyle name="Comma 32 2" xfId="7180" xr:uid="{00000000-0005-0000-0000-0000091C0000}"/>
    <cellStyle name="Comma 33" xfId="7181" xr:uid="{00000000-0005-0000-0000-00000A1C0000}"/>
    <cellStyle name="Comma 34" xfId="7182" xr:uid="{00000000-0005-0000-0000-00000B1C0000}"/>
    <cellStyle name="Comma 35" xfId="7183" xr:uid="{00000000-0005-0000-0000-00000C1C0000}"/>
    <cellStyle name="Comma 36" xfId="7184" xr:uid="{00000000-0005-0000-0000-00000D1C0000}"/>
    <cellStyle name="Comma 37" xfId="7185" xr:uid="{00000000-0005-0000-0000-00000E1C0000}"/>
    <cellStyle name="Comma 38" xfId="7186" xr:uid="{00000000-0005-0000-0000-00000F1C0000}"/>
    <cellStyle name="Comma 39" xfId="7187" xr:uid="{00000000-0005-0000-0000-0000101C0000}"/>
    <cellStyle name="Comma 4" xfId="7188" xr:uid="{00000000-0005-0000-0000-0000111C0000}"/>
    <cellStyle name="Comma 4 2" xfId="7189" xr:uid="{00000000-0005-0000-0000-0000121C0000}"/>
    <cellStyle name="Comma 4 2 2" xfId="7190" xr:uid="{00000000-0005-0000-0000-0000131C0000}"/>
    <cellStyle name="Comma 4 2 3" xfId="7191" xr:uid="{00000000-0005-0000-0000-0000141C0000}"/>
    <cellStyle name="Comma 4 3" xfId="7192" xr:uid="{00000000-0005-0000-0000-0000151C0000}"/>
    <cellStyle name="Comma 4 3 2" xfId="7193" xr:uid="{00000000-0005-0000-0000-0000161C0000}"/>
    <cellStyle name="Comma 4 4" xfId="7194" xr:uid="{00000000-0005-0000-0000-0000171C0000}"/>
    <cellStyle name="Comma 4 5" xfId="7195" xr:uid="{00000000-0005-0000-0000-0000181C0000}"/>
    <cellStyle name="Comma 4 6" xfId="7196" xr:uid="{00000000-0005-0000-0000-0000191C0000}"/>
    <cellStyle name="Comma 40" xfId="7197" xr:uid="{00000000-0005-0000-0000-00001A1C0000}"/>
    <cellStyle name="Comma 41" xfId="7198" xr:uid="{00000000-0005-0000-0000-00001B1C0000}"/>
    <cellStyle name="Comma 42" xfId="7199" xr:uid="{00000000-0005-0000-0000-00001C1C0000}"/>
    <cellStyle name="Comma 43" xfId="7200" xr:uid="{00000000-0005-0000-0000-00001D1C0000}"/>
    <cellStyle name="Comma 44" xfId="7201" xr:uid="{00000000-0005-0000-0000-00001E1C0000}"/>
    <cellStyle name="Comma 45" xfId="7202" xr:uid="{00000000-0005-0000-0000-00001F1C0000}"/>
    <cellStyle name="Comma 46" xfId="7203" xr:uid="{00000000-0005-0000-0000-0000201C0000}"/>
    <cellStyle name="Comma 47" xfId="7204" xr:uid="{00000000-0005-0000-0000-0000211C0000}"/>
    <cellStyle name="Comma 48" xfId="7205" xr:uid="{00000000-0005-0000-0000-0000221C0000}"/>
    <cellStyle name="Comma 49" xfId="7206" xr:uid="{00000000-0005-0000-0000-0000231C0000}"/>
    <cellStyle name="Comma 5" xfId="7207" xr:uid="{00000000-0005-0000-0000-0000241C0000}"/>
    <cellStyle name="Comma 5 2" xfId="7208" xr:uid="{00000000-0005-0000-0000-0000251C0000}"/>
    <cellStyle name="Comma 5 2 2" xfId="7209" xr:uid="{00000000-0005-0000-0000-0000261C0000}"/>
    <cellStyle name="Comma 5 3" xfId="7210" xr:uid="{00000000-0005-0000-0000-0000271C0000}"/>
    <cellStyle name="Comma 5 4" xfId="7211" xr:uid="{00000000-0005-0000-0000-0000281C0000}"/>
    <cellStyle name="Comma 5 5" xfId="7212" xr:uid="{00000000-0005-0000-0000-0000291C0000}"/>
    <cellStyle name="Comma 5 6" xfId="7213" xr:uid="{00000000-0005-0000-0000-00002A1C0000}"/>
    <cellStyle name="Comma 50" xfId="7214" xr:uid="{00000000-0005-0000-0000-00002B1C0000}"/>
    <cellStyle name="Comma 51" xfId="7215" xr:uid="{00000000-0005-0000-0000-00002C1C0000}"/>
    <cellStyle name="Comma 51 2" xfId="7216" xr:uid="{00000000-0005-0000-0000-00002D1C0000}"/>
    <cellStyle name="Comma 52" xfId="7217" xr:uid="{00000000-0005-0000-0000-00002E1C0000}"/>
    <cellStyle name="Comma 53" xfId="7218" xr:uid="{00000000-0005-0000-0000-00002F1C0000}"/>
    <cellStyle name="Comma 54" xfId="7219" xr:uid="{00000000-0005-0000-0000-0000301C0000}"/>
    <cellStyle name="Comma 55" xfId="7220" xr:uid="{00000000-0005-0000-0000-0000311C0000}"/>
    <cellStyle name="Comma 56" xfId="7221" xr:uid="{00000000-0005-0000-0000-0000321C0000}"/>
    <cellStyle name="Comma 57" xfId="7222" xr:uid="{00000000-0005-0000-0000-0000331C0000}"/>
    <cellStyle name="Comma 58" xfId="7223" xr:uid="{00000000-0005-0000-0000-0000341C0000}"/>
    <cellStyle name="Comma 59" xfId="7224" xr:uid="{00000000-0005-0000-0000-0000351C0000}"/>
    <cellStyle name="Comma 6" xfId="7225" xr:uid="{00000000-0005-0000-0000-0000361C0000}"/>
    <cellStyle name="Comma 6 2" xfId="7226" xr:uid="{00000000-0005-0000-0000-0000371C0000}"/>
    <cellStyle name="Comma 6 2 2" xfId="7227" xr:uid="{00000000-0005-0000-0000-0000381C0000}"/>
    <cellStyle name="Comma 6 2 2 2" xfId="7228" xr:uid="{00000000-0005-0000-0000-0000391C0000}"/>
    <cellStyle name="Comma 6 2 3" xfId="7229" xr:uid="{00000000-0005-0000-0000-00003A1C0000}"/>
    <cellStyle name="Comma 6 3" xfId="7230" xr:uid="{00000000-0005-0000-0000-00003B1C0000}"/>
    <cellStyle name="Comma 6 3 2" xfId="7231" xr:uid="{00000000-0005-0000-0000-00003C1C0000}"/>
    <cellStyle name="Comma 6 4" xfId="7232" xr:uid="{00000000-0005-0000-0000-00003D1C0000}"/>
    <cellStyle name="Comma 60" xfId="7233" xr:uid="{00000000-0005-0000-0000-00003E1C0000}"/>
    <cellStyle name="Comma 61" xfId="7234" xr:uid="{00000000-0005-0000-0000-00003F1C0000}"/>
    <cellStyle name="Comma 62" xfId="7235" xr:uid="{00000000-0005-0000-0000-0000401C0000}"/>
    <cellStyle name="Comma 63" xfId="7236" xr:uid="{00000000-0005-0000-0000-0000411C0000}"/>
    <cellStyle name="Comma 64" xfId="7237" xr:uid="{00000000-0005-0000-0000-0000421C0000}"/>
    <cellStyle name="Comma 65" xfId="7238" xr:uid="{00000000-0005-0000-0000-0000431C0000}"/>
    <cellStyle name="Comma 66" xfId="9535" xr:uid="{00000000-0005-0000-0000-0000441C0000}"/>
    <cellStyle name="Comma 67" xfId="9514" xr:uid="{00000000-0005-0000-0000-0000451C0000}"/>
    <cellStyle name="Comma 68" xfId="9510" xr:uid="{00000000-0005-0000-0000-0000461C0000}"/>
    <cellStyle name="Comma 69" xfId="9507" xr:uid="{00000000-0005-0000-0000-0000471C0000}"/>
    <cellStyle name="Comma 7" xfId="7239" xr:uid="{00000000-0005-0000-0000-0000481C0000}"/>
    <cellStyle name="Comma 7 2" xfId="7240" xr:uid="{00000000-0005-0000-0000-0000491C0000}"/>
    <cellStyle name="Comma 7 2 2" xfId="7241" xr:uid="{00000000-0005-0000-0000-00004A1C0000}"/>
    <cellStyle name="Comma 7 3" xfId="7242" xr:uid="{00000000-0005-0000-0000-00004B1C0000}"/>
    <cellStyle name="Comma 7 4" xfId="7243" xr:uid="{00000000-0005-0000-0000-00004C1C0000}"/>
    <cellStyle name="Comma 70" xfId="9537" xr:uid="{00000000-0005-0000-0000-00004D1C0000}"/>
    <cellStyle name="Comma 8" xfId="7244" xr:uid="{00000000-0005-0000-0000-00004E1C0000}"/>
    <cellStyle name="Comma 8 2" xfId="7245" xr:uid="{00000000-0005-0000-0000-00004F1C0000}"/>
    <cellStyle name="Comma 8 2 2" xfId="7246" xr:uid="{00000000-0005-0000-0000-0000501C0000}"/>
    <cellStyle name="Comma 8 2 2 2" xfId="7247" xr:uid="{00000000-0005-0000-0000-0000511C0000}"/>
    <cellStyle name="Comma 8 2 3" xfId="7248" xr:uid="{00000000-0005-0000-0000-0000521C0000}"/>
    <cellStyle name="Comma 8 3" xfId="7249" xr:uid="{00000000-0005-0000-0000-0000531C0000}"/>
    <cellStyle name="Comma 8 3 2" xfId="7250" xr:uid="{00000000-0005-0000-0000-0000541C0000}"/>
    <cellStyle name="Comma 8 4" xfId="7251" xr:uid="{00000000-0005-0000-0000-0000551C0000}"/>
    <cellStyle name="Comma 8 5" xfId="7252" xr:uid="{00000000-0005-0000-0000-0000561C0000}"/>
    <cellStyle name="Comma 9" xfId="7253" xr:uid="{00000000-0005-0000-0000-0000571C0000}"/>
    <cellStyle name="Comma 9 2" xfId="7254" xr:uid="{00000000-0005-0000-0000-0000581C0000}"/>
    <cellStyle name="Comma 9 2 2" xfId="7255" xr:uid="{00000000-0005-0000-0000-0000591C0000}"/>
    <cellStyle name="Comma 9 2 2 2" xfId="7256" xr:uid="{00000000-0005-0000-0000-00005A1C0000}"/>
    <cellStyle name="Comma 9 2 3" xfId="7257" xr:uid="{00000000-0005-0000-0000-00005B1C0000}"/>
    <cellStyle name="Comma 9 3" xfId="7258" xr:uid="{00000000-0005-0000-0000-00005C1C0000}"/>
    <cellStyle name="Comma 9 3 2" xfId="7259" xr:uid="{00000000-0005-0000-0000-00005D1C0000}"/>
    <cellStyle name="Comma 9 3 3" xfId="7260" xr:uid="{00000000-0005-0000-0000-00005E1C0000}"/>
    <cellStyle name="Comma 9 3 4" xfId="7261" xr:uid="{00000000-0005-0000-0000-00005F1C0000}"/>
    <cellStyle name="Comma 9 4" xfId="7262" xr:uid="{00000000-0005-0000-0000-0000601C0000}"/>
    <cellStyle name="Comma 9 4 2" xfId="7263" xr:uid="{00000000-0005-0000-0000-0000611C0000}"/>
    <cellStyle name="Comma 9 5" xfId="7264" xr:uid="{00000000-0005-0000-0000-0000621C0000}"/>
    <cellStyle name="Comma 9 5 2" xfId="7265" xr:uid="{00000000-0005-0000-0000-0000631C0000}"/>
    <cellStyle name="Comma 9 6" xfId="7266" xr:uid="{00000000-0005-0000-0000-0000641C0000}"/>
    <cellStyle name="Comma 9 7" xfId="7267" xr:uid="{00000000-0005-0000-0000-0000651C0000}"/>
    <cellStyle name="Comma 9 8" xfId="7268" xr:uid="{00000000-0005-0000-0000-0000661C0000}"/>
    <cellStyle name="Comma 9 9" xfId="7269" xr:uid="{00000000-0005-0000-0000-0000671C0000}"/>
    <cellStyle name="Comma0" xfId="7270" xr:uid="{00000000-0005-0000-0000-0000681C0000}"/>
    <cellStyle name="Comma0 - Style2" xfId="7271" xr:uid="{00000000-0005-0000-0000-0000691C0000}"/>
    <cellStyle name="Comma0 - Style2 2" xfId="7272" xr:uid="{00000000-0005-0000-0000-00006A1C0000}"/>
    <cellStyle name="Comma0 - Style4" xfId="7273" xr:uid="{00000000-0005-0000-0000-00006B1C0000}"/>
    <cellStyle name="Comma0 - Style4 2" xfId="7274" xr:uid="{00000000-0005-0000-0000-00006C1C0000}"/>
    <cellStyle name="Comma0 - Style4 3" xfId="7275" xr:uid="{00000000-0005-0000-0000-00006D1C0000}"/>
    <cellStyle name="Comma0 - Style5" xfId="7276" xr:uid="{00000000-0005-0000-0000-00006E1C0000}"/>
    <cellStyle name="Comma0 - Style5 2" xfId="7277" xr:uid="{00000000-0005-0000-0000-00006F1C0000}"/>
    <cellStyle name="Comma0 - Style5 2 2" xfId="7278" xr:uid="{00000000-0005-0000-0000-0000701C0000}"/>
    <cellStyle name="Comma0 - Style5 3" xfId="7279" xr:uid="{00000000-0005-0000-0000-0000711C0000}"/>
    <cellStyle name="Comma0 - Style5_ACCOUNTS" xfId="7280" xr:uid="{00000000-0005-0000-0000-0000721C0000}"/>
    <cellStyle name="Comma0 10" xfId="7281" xr:uid="{00000000-0005-0000-0000-0000731C0000}"/>
    <cellStyle name="Comma0 11" xfId="7282" xr:uid="{00000000-0005-0000-0000-0000741C0000}"/>
    <cellStyle name="Comma0 12" xfId="7283" xr:uid="{00000000-0005-0000-0000-0000751C0000}"/>
    <cellStyle name="Comma0 13" xfId="7284" xr:uid="{00000000-0005-0000-0000-0000761C0000}"/>
    <cellStyle name="Comma0 14" xfId="7285" xr:uid="{00000000-0005-0000-0000-0000771C0000}"/>
    <cellStyle name="Comma0 15" xfId="7286" xr:uid="{00000000-0005-0000-0000-0000781C0000}"/>
    <cellStyle name="Comma0 16" xfId="7287" xr:uid="{00000000-0005-0000-0000-0000791C0000}"/>
    <cellStyle name="Comma0 17" xfId="7288" xr:uid="{00000000-0005-0000-0000-00007A1C0000}"/>
    <cellStyle name="Comma0 18" xfId="7289" xr:uid="{00000000-0005-0000-0000-00007B1C0000}"/>
    <cellStyle name="Comma0 19" xfId="7290" xr:uid="{00000000-0005-0000-0000-00007C1C0000}"/>
    <cellStyle name="Comma0 2" xfId="7291" xr:uid="{00000000-0005-0000-0000-00007D1C0000}"/>
    <cellStyle name="Comma0 2 2" xfId="7292" xr:uid="{00000000-0005-0000-0000-00007E1C0000}"/>
    <cellStyle name="Comma0 2 3" xfId="7293" xr:uid="{00000000-0005-0000-0000-00007F1C0000}"/>
    <cellStyle name="Comma0 20" xfId="7294" xr:uid="{00000000-0005-0000-0000-0000801C0000}"/>
    <cellStyle name="Comma0 21" xfId="7295" xr:uid="{00000000-0005-0000-0000-0000811C0000}"/>
    <cellStyle name="Comma0 22" xfId="7296" xr:uid="{00000000-0005-0000-0000-0000821C0000}"/>
    <cellStyle name="Comma0 23" xfId="7297" xr:uid="{00000000-0005-0000-0000-0000831C0000}"/>
    <cellStyle name="Comma0 24" xfId="7298" xr:uid="{00000000-0005-0000-0000-0000841C0000}"/>
    <cellStyle name="Comma0 25" xfId="7299" xr:uid="{00000000-0005-0000-0000-0000851C0000}"/>
    <cellStyle name="Comma0 26" xfId="7300" xr:uid="{00000000-0005-0000-0000-0000861C0000}"/>
    <cellStyle name="Comma0 27" xfId="7301" xr:uid="{00000000-0005-0000-0000-0000871C0000}"/>
    <cellStyle name="Comma0 28" xfId="7302" xr:uid="{00000000-0005-0000-0000-0000881C0000}"/>
    <cellStyle name="Comma0 29" xfId="7303" xr:uid="{00000000-0005-0000-0000-0000891C0000}"/>
    <cellStyle name="Comma0 3" xfId="7304" xr:uid="{00000000-0005-0000-0000-00008A1C0000}"/>
    <cellStyle name="Comma0 3 2" xfId="7305" xr:uid="{00000000-0005-0000-0000-00008B1C0000}"/>
    <cellStyle name="Comma0 3 3" xfId="7306" xr:uid="{00000000-0005-0000-0000-00008C1C0000}"/>
    <cellStyle name="Comma0 30" xfId="7307" xr:uid="{00000000-0005-0000-0000-00008D1C0000}"/>
    <cellStyle name="Comma0 31" xfId="7308" xr:uid="{00000000-0005-0000-0000-00008E1C0000}"/>
    <cellStyle name="Comma0 32" xfId="7309" xr:uid="{00000000-0005-0000-0000-00008F1C0000}"/>
    <cellStyle name="Comma0 33" xfId="7310" xr:uid="{00000000-0005-0000-0000-0000901C0000}"/>
    <cellStyle name="Comma0 34" xfId="7311" xr:uid="{00000000-0005-0000-0000-0000911C0000}"/>
    <cellStyle name="Comma0 35" xfId="7312" xr:uid="{00000000-0005-0000-0000-0000921C0000}"/>
    <cellStyle name="Comma0 36" xfId="7313" xr:uid="{00000000-0005-0000-0000-0000931C0000}"/>
    <cellStyle name="Comma0 37" xfId="7314" xr:uid="{00000000-0005-0000-0000-0000941C0000}"/>
    <cellStyle name="Comma0 38" xfId="7315" xr:uid="{00000000-0005-0000-0000-0000951C0000}"/>
    <cellStyle name="Comma0 39" xfId="7316" xr:uid="{00000000-0005-0000-0000-0000961C0000}"/>
    <cellStyle name="Comma0 4" xfId="7317" xr:uid="{00000000-0005-0000-0000-0000971C0000}"/>
    <cellStyle name="Comma0 4 2" xfId="7318" xr:uid="{00000000-0005-0000-0000-0000981C0000}"/>
    <cellStyle name="Comma0 40" xfId="7319" xr:uid="{00000000-0005-0000-0000-0000991C0000}"/>
    <cellStyle name="Comma0 41" xfId="7320" xr:uid="{00000000-0005-0000-0000-00009A1C0000}"/>
    <cellStyle name="Comma0 42" xfId="7321" xr:uid="{00000000-0005-0000-0000-00009B1C0000}"/>
    <cellStyle name="Comma0 43" xfId="7322" xr:uid="{00000000-0005-0000-0000-00009C1C0000}"/>
    <cellStyle name="Comma0 44" xfId="7323" xr:uid="{00000000-0005-0000-0000-00009D1C0000}"/>
    <cellStyle name="Comma0 45" xfId="7324" xr:uid="{00000000-0005-0000-0000-00009E1C0000}"/>
    <cellStyle name="Comma0 46" xfId="7325" xr:uid="{00000000-0005-0000-0000-00009F1C0000}"/>
    <cellStyle name="Comma0 47" xfId="7326" xr:uid="{00000000-0005-0000-0000-0000A01C0000}"/>
    <cellStyle name="Comma0 5" xfId="7327" xr:uid="{00000000-0005-0000-0000-0000A11C0000}"/>
    <cellStyle name="Comma0 5 2" xfId="7328" xr:uid="{00000000-0005-0000-0000-0000A21C0000}"/>
    <cellStyle name="Comma0 5 3" xfId="7329" xr:uid="{00000000-0005-0000-0000-0000A31C0000}"/>
    <cellStyle name="Comma0 6" xfId="7330" xr:uid="{00000000-0005-0000-0000-0000A41C0000}"/>
    <cellStyle name="Comma0 7" xfId="7331" xr:uid="{00000000-0005-0000-0000-0000A51C0000}"/>
    <cellStyle name="Comma0 8" xfId="7332" xr:uid="{00000000-0005-0000-0000-0000A61C0000}"/>
    <cellStyle name="Comma0 9" xfId="7333" xr:uid="{00000000-0005-0000-0000-0000A71C0000}"/>
    <cellStyle name="Comma0_00COS Ind Allocators" xfId="7334" xr:uid="{00000000-0005-0000-0000-0000A81C0000}"/>
    <cellStyle name="Comma1 - Style1" xfId="7335" xr:uid="{00000000-0005-0000-0000-0000A91C0000}"/>
    <cellStyle name="Comma1 - Style1 2" xfId="7336" xr:uid="{00000000-0005-0000-0000-0000AA1C0000}"/>
    <cellStyle name="Comma1 - Style1 2 2" xfId="7337" xr:uid="{00000000-0005-0000-0000-0000AB1C0000}"/>
    <cellStyle name="Comma1 - Style1 3" xfId="7338" xr:uid="{00000000-0005-0000-0000-0000AC1C0000}"/>
    <cellStyle name="Comma1 - Style1 4" xfId="7339" xr:uid="{00000000-0005-0000-0000-0000AD1C0000}"/>
    <cellStyle name="Comma1 - Style1_ACCOUNTS" xfId="7340" xr:uid="{00000000-0005-0000-0000-0000AE1C0000}"/>
    <cellStyle name="Copied" xfId="7341" xr:uid="{00000000-0005-0000-0000-0000AF1C0000}"/>
    <cellStyle name="Copied 2" xfId="7342" xr:uid="{00000000-0005-0000-0000-0000B01C0000}"/>
    <cellStyle name="Copied 2 2" xfId="7343" xr:uid="{00000000-0005-0000-0000-0000B11C0000}"/>
    <cellStyle name="Copied 3" xfId="7344" xr:uid="{00000000-0005-0000-0000-0000B21C0000}"/>
    <cellStyle name="Copied 4" xfId="7345" xr:uid="{00000000-0005-0000-0000-0000B31C0000}"/>
    <cellStyle name="COST1" xfId="7346" xr:uid="{00000000-0005-0000-0000-0000B41C0000}"/>
    <cellStyle name="COST1 2" xfId="7347" xr:uid="{00000000-0005-0000-0000-0000B51C0000}"/>
    <cellStyle name="COST1 2 2" xfId="7348" xr:uid="{00000000-0005-0000-0000-0000B61C0000}"/>
    <cellStyle name="COST1 3" xfId="7349" xr:uid="{00000000-0005-0000-0000-0000B71C0000}"/>
    <cellStyle name="COST1 4" xfId="7350" xr:uid="{00000000-0005-0000-0000-0000B81C0000}"/>
    <cellStyle name="Curren - Style1" xfId="7351" xr:uid="{00000000-0005-0000-0000-0000B91C0000}"/>
    <cellStyle name="Curren - Style1 2" xfId="7352" xr:uid="{00000000-0005-0000-0000-0000BA1C0000}"/>
    <cellStyle name="Curren - Style2" xfId="7353" xr:uid="{00000000-0005-0000-0000-0000BB1C0000}"/>
    <cellStyle name="Curren - Style2 2" xfId="7354" xr:uid="{00000000-0005-0000-0000-0000BC1C0000}"/>
    <cellStyle name="Curren - Style2 2 2" xfId="7355" xr:uid="{00000000-0005-0000-0000-0000BD1C0000}"/>
    <cellStyle name="Curren - Style2 3" xfId="7356" xr:uid="{00000000-0005-0000-0000-0000BE1C0000}"/>
    <cellStyle name="Curren - Style2 4" xfId="7357" xr:uid="{00000000-0005-0000-0000-0000BF1C0000}"/>
    <cellStyle name="Curren - Style2_ACCOUNTS" xfId="7358" xr:uid="{00000000-0005-0000-0000-0000C01C0000}"/>
    <cellStyle name="Curren - Style5" xfId="7359" xr:uid="{00000000-0005-0000-0000-0000C11C0000}"/>
    <cellStyle name="Curren - Style5 2" xfId="7360" xr:uid="{00000000-0005-0000-0000-0000C21C0000}"/>
    <cellStyle name="Curren - Style6" xfId="7361" xr:uid="{00000000-0005-0000-0000-0000C31C0000}"/>
    <cellStyle name="Curren - Style6 2" xfId="7362" xr:uid="{00000000-0005-0000-0000-0000C41C0000}"/>
    <cellStyle name="Curren - Style6 2 2" xfId="7363" xr:uid="{00000000-0005-0000-0000-0000C51C0000}"/>
    <cellStyle name="Curren - Style6 3" xfId="7364" xr:uid="{00000000-0005-0000-0000-0000C61C0000}"/>
    <cellStyle name="Curren - Style6_ACCOUNTS" xfId="7365" xr:uid="{00000000-0005-0000-0000-0000C71C0000}"/>
    <cellStyle name="Currency" xfId="2" builtinId="4"/>
    <cellStyle name="Currency 10" xfId="7366" xr:uid="{00000000-0005-0000-0000-0000C91C0000}"/>
    <cellStyle name="Currency 10 2" xfId="7367" xr:uid="{00000000-0005-0000-0000-0000CA1C0000}"/>
    <cellStyle name="Currency 10 2 2" xfId="7368" xr:uid="{00000000-0005-0000-0000-0000CB1C0000}"/>
    <cellStyle name="Currency 10 3" xfId="7369" xr:uid="{00000000-0005-0000-0000-0000CC1C0000}"/>
    <cellStyle name="Currency 10 4" xfId="7370" xr:uid="{00000000-0005-0000-0000-0000CD1C0000}"/>
    <cellStyle name="Currency 11" xfId="7371" xr:uid="{00000000-0005-0000-0000-0000CE1C0000}"/>
    <cellStyle name="Currency 11 2" xfId="7372" xr:uid="{00000000-0005-0000-0000-0000CF1C0000}"/>
    <cellStyle name="Currency 11 2 2" xfId="7373" xr:uid="{00000000-0005-0000-0000-0000D01C0000}"/>
    <cellStyle name="Currency 11 3" xfId="7374" xr:uid="{00000000-0005-0000-0000-0000D11C0000}"/>
    <cellStyle name="Currency 11 4" xfId="7375" xr:uid="{00000000-0005-0000-0000-0000D21C0000}"/>
    <cellStyle name="Currency 12" xfId="7376" xr:uid="{00000000-0005-0000-0000-0000D31C0000}"/>
    <cellStyle name="Currency 12 2" xfId="7377" xr:uid="{00000000-0005-0000-0000-0000D41C0000}"/>
    <cellStyle name="Currency 12 2 2" xfId="7378" xr:uid="{00000000-0005-0000-0000-0000D51C0000}"/>
    <cellStyle name="Currency 12 3" xfId="7379" xr:uid="{00000000-0005-0000-0000-0000D61C0000}"/>
    <cellStyle name="Currency 12 3 2" xfId="7380" xr:uid="{00000000-0005-0000-0000-0000D71C0000}"/>
    <cellStyle name="Currency 12 4" xfId="7381" xr:uid="{00000000-0005-0000-0000-0000D81C0000}"/>
    <cellStyle name="Currency 12 4 2" xfId="7382" xr:uid="{00000000-0005-0000-0000-0000D91C0000}"/>
    <cellStyle name="Currency 12 5" xfId="7383" xr:uid="{00000000-0005-0000-0000-0000DA1C0000}"/>
    <cellStyle name="Currency 12 6" xfId="7384" xr:uid="{00000000-0005-0000-0000-0000DB1C0000}"/>
    <cellStyle name="Currency 13" xfId="7385" xr:uid="{00000000-0005-0000-0000-0000DC1C0000}"/>
    <cellStyle name="Currency 13 2" xfId="7386" xr:uid="{00000000-0005-0000-0000-0000DD1C0000}"/>
    <cellStyle name="Currency 13 3" xfId="7387" xr:uid="{00000000-0005-0000-0000-0000DE1C0000}"/>
    <cellStyle name="Currency 14" xfId="7388" xr:uid="{00000000-0005-0000-0000-0000DF1C0000}"/>
    <cellStyle name="Currency 14 2" xfId="7389" xr:uid="{00000000-0005-0000-0000-0000E01C0000}"/>
    <cellStyle name="Currency 14 2 2" xfId="7390" xr:uid="{00000000-0005-0000-0000-0000E11C0000}"/>
    <cellStyle name="Currency 14 3" xfId="7391" xr:uid="{00000000-0005-0000-0000-0000E21C0000}"/>
    <cellStyle name="Currency 14 3 2" xfId="7392" xr:uid="{00000000-0005-0000-0000-0000E31C0000}"/>
    <cellStyle name="Currency 14 4" xfId="7393" xr:uid="{00000000-0005-0000-0000-0000E41C0000}"/>
    <cellStyle name="Currency 14 4 2" xfId="7394" xr:uid="{00000000-0005-0000-0000-0000E51C0000}"/>
    <cellStyle name="Currency 15" xfId="7395" xr:uid="{00000000-0005-0000-0000-0000E61C0000}"/>
    <cellStyle name="Currency 15 2" xfId="7396" xr:uid="{00000000-0005-0000-0000-0000E71C0000}"/>
    <cellStyle name="Currency 15 3" xfId="7397" xr:uid="{00000000-0005-0000-0000-0000E81C0000}"/>
    <cellStyle name="Currency 15 4" xfId="7398" xr:uid="{00000000-0005-0000-0000-0000E91C0000}"/>
    <cellStyle name="Currency 16" xfId="7399" xr:uid="{00000000-0005-0000-0000-0000EA1C0000}"/>
    <cellStyle name="Currency 16 2" xfId="7400" xr:uid="{00000000-0005-0000-0000-0000EB1C0000}"/>
    <cellStyle name="Currency 16 3" xfId="7401" xr:uid="{00000000-0005-0000-0000-0000EC1C0000}"/>
    <cellStyle name="Currency 16 4" xfId="7402" xr:uid="{00000000-0005-0000-0000-0000ED1C0000}"/>
    <cellStyle name="Currency 17" xfId="7403" xr:uid="{00000000-0005-0000-0000-0000EE1C0000}"/>
    <cellStyle name="Currency 18" xfId="7404" xr:uid="{00000000-0005-0000-0000-0000EF1C0000}"/>
    <cellStyle name="Currency 18 2" xfId="7405" xr:uid="{00000000-0005-0000-0000-0000F01C0000}"/>
    <cellStyle name="Currency 19" xfId="7406" xr:uid="{00000000-0005-0000-0000-0000F11C0000}"/>
    <cellStyle name="Currency 19 2" xfId="7407" xr:uid="{00000000-0005-0000-0000-0000F21C0000}"/>
    <cellStyle name="Currency 2" xfId="5" xr:uid="{00000000-0005-0000-0000-0000F31C0000}"/>
    <cellStyle name="Currency 2 2" xfId="7408" xr:uid="{00000000-0005-0000-0000-0000F41C0000}"/>
    <cellStyle name="Currency 2 2 2" xfId="7409" xr:uid="{00000000-0005-0000-0000-0000F51C0000}"/>
    <cellStyle name="Currency 2 2 2 2" xfId="7410" xr:uid="{00000000-0005-0000-0000-0000F61C0000}"/>
    <cellStyle name="Currency 2 2 2 3" xfId="7411" xr:uid="{00000000-0005-0000-0000-0000F71C0000}"/>
    <cellStyle name="Currency 2 2 3" xfId="7412" xr:uid="{00000000-0005-0000-0000-0000F81C0000}"/>
    <cellStyle name="Currency 2 2 4" xfId="7413" xr:uid="{00000000-0005-0000-0000-0000F91C0000}"/>
    <cellStyle name="Currency 2 3" xfId="7414" xr:uid="{00000000-0005-0000-0000-0000FA1C0000}"/>
    <cellStyle name="Currency 2 3 2" xfId="7415" xr:uid="{00000000-0005-0000-0000-0000FB1C0000}"/>
    <cellStyle name="Currency 2 3 3" xfId="7416" xr:uid="{00000000-0005-0000-0000-0000FC1C0000}"/>
    <cellStyle name="Currency 2 4" xfId="7417" xr:uid="{00000000-0005-0000-0000-0000FD1C0000}"/>
    <cellStyle name="Currency 2 4 2" xfId="7418" xr:uid="{00000000-0005-0000-0000-0000FE1C0000}"/>
    <cellStyle name="Currency 2 5" xfId="7419" xr:uid="{00000000-0005-0000-0000-0000FF1C0000}"/>
    <cellStyle name="Currency 2 5 2" xfId="7420" xr:uid="{00000000-0005-0000-0000-0000001D0000}"/>
    <cellStyle name="Currency 2 6" xfId="7421" xr:uid="{00000000-0005-0000-0000-0000011D0000}"/>
    <cellStyle name="Currency 2 6 2" xfId="7422" xr:uid="{00000000-0005-0000-0000-0000021D0000}"/>
    <cellStyle name="Currency 2 7" xfId="7423" xr:uid="{00000000-0005-0000-0000-0000031D0000}"/>
    <cellStyle name="Currency 2 7 2" xfId="7424" xr:uid="{00000000-0005-0000-0000-0000041D0000}"/>
    <cellStyle name="Currency 2 8" xfId="7425" xr:uid="{00000000-0005-0000-0000-0000051D0000}"/>
    <cellStyle name="Currency 2 8 2" xfId="7426" xr:uid="{00000000-0005-0000-0000-0000061D0000}"/>
    <cellStyle name="Currency 2 9" xfId="7427" xr:uid="{00000000-0005-0000-0000-0000071D0000}"/>
    <cellStyle name="Currency 20" xfId="7428" xr:uid="{00000000-0005-0000-0000-0000081D0000}"/>
    <cellStyle name="Currency 21" xfId="7429" xr:uid="{00000000-0005-0000-0000-0000091D0000}"/>
    <cellStyle name="Currency 22" xfId="7430" xr:uid="{00000000-0005-0000-0000-00000A1D0000}"/>
    <cellStyle name="Currency 23" xfId="7431" xr:uid="{00000000-0005-0000-0000-00000B1D0000}"/>
    <cellStyle name="Currency 24" xfId="7432" xr:uid="{00000000-0005-0000-0000-00000C1D0000}"/>
    <cellStyle name="Currency 24 2" xfId="7433" xr:uid="{00000000-0005-0000-0000-00000D1D0000}"/>
    <cellStyle name="Currency 25" xfId="7434" xr:uid="{00000000-0005-0000-0000-00000E1D0000}"/>
    <cellStyle name="Currency 25 2" xfId="7435" xr:uid="{00000000-0005-0000-0000-00000F1D0000}"/>
    <cellStyle name="Currency 25 3" xfId="7436" xr:uid="{00000000-0005-0000-0000-0000101D0000}"/>
    <cellStyle name="Currency 26" xfId="7437" xr:uid="{00000000-0005-0000-0000-0000111D0000}"/>
    <cellStyle name="Currency 27" xfId="7438" xr:uid="{00000000-0005-0000-0000-0000121D0000}"/>
    <cellStyle name="Currency 27 2" xfId="7439" xr:uid="{00000000-0005-0000-0000-0000131D0000}"/>
    <cellStyle name="Currency 3" xfId="7440" xr:uid="{00000000-0005-0000-0000-0000141D0000}"/>
    <cellStyle name="Currency 3 2" xfId="7441" xr:uid="{00000000-0005-0000-0000-0000151D0000}"/>
    <cellStyle name="Currency 3 2 2" xfId="7442" xr:uid="{00000000-0005-0000-0000-0000161D0000}"/>
    <cellStyle name="Currency 3 2 2 2" xfId="7443" xr:uid="{00000000-0005-0000-0000-0000171D0000}"/>
    <cellStyle name="Currency 3 2 3" xfId="7444" xr:uid="{00000000-0005-0000-0000-0000181D0000}"/>
    <cellStyle name="Currency 3 2 4" xfId="9531" xr:uid="{00000000-0005-0000-0000-0000191D0000}"/>
    <cellStyle name="Currency 3 3" xfId="7445" xr:uid="{00000000-0005-0000-0000-00001A1D0000}"/>
    <cellStyle name="Currency 3 3 2" xfId="7446" xr:uid="{00000000-0005-0000-0000-00001B1D0000}"/>
    <cellStyle name="Currency 3 4" xfId="7447" xr:uid="{00000000-0005-0000-0000-00001C1D0000}"/>
    <cellStyle name="Currency 3 5" xfId="7448" xr:uid="{00000000-0005-0000-0000-00001D1D0000}"/>
    <cellStyle name="Currency 4" xfId="7449" xr:uid="{00000000-0005-0000-0000-00001E1D0000}"/>
    <cellStyle name="Currency 4 2" xfId="7450" xr:uid="{00000000-0005-0000-0000-00001F1D0000}"/>
    <cellStyle name="Currency 4 2 2" xfId="7451" xr:uid="{00000000-0005-0000-0000-0000201D0000}"/>
    <cellStyle name="Currency 4 2 2 2" xfId="7452" xr:uid="{00000000-0005-0000-0000-0000211D0000}"/>
    <cellStyle name="Currency 4 2 3" xfId="7453" xr:uid="{00000000-0005-0000-0000-0000221D0000}"/>
    <cellStyle name="Currency 4 2 4" xfId="7454" xr:uid="{00000000-0005-0000-0000-0000231D0000}"/>
    <cellStyle name="Currency 4 3" xfId="7455" xr:uid="{00000000-0005-0000-0000-0000241D0000}"/>
    <cellStyle name="Currency 4 3 2" xfId="7456" xr:uid="{00000000-0005-0000-0000-0000251D0000}"/>
    <cellStyle name="Currency 4 3 2 2" xfId="7457" xr:uid="{00000000-0005-0000-0000-0000261D0000}"/>
    <cellStyle name="Currency 4 3 3" xfId="7458" xr:uid="{00000000-0005-0000-0000-0000271D0000}"/>
    <cellStyle name="Currency 4 3 3 2" xfId="7459" xr:uid="{00000000-0005-0000-0000-0000281D0000}"/>
    <cellStyle name="Currency 4 3 4" xfId="7460" xr:uid="{00000000-0005-0000-0000-0000291D0000}"/>
    <cellStyle name="Currency 4 3 4 2" xfId="7461" xr:uid="{00000000-0005-0000-0000-00002A1D0000}"/>
    <cellStyle name="Currency 4 4" xfId="7462" xr:uid="{00000000-0005-0000-0000-00002B1D0000}"/>
    <cellStyle name="Currency 4 4 2" xfId="7463" xr:uid="{00000000-0005-0000-0000-00002C1D0000}"/>
    <cellStyle name="Currency 4 5" xfId="7464" xr:uid="{00000000-0005-0000-0000-00002D1D0000}"/>
    <cellStyle name="Currency 4 6" xfId="7465" xr:uid="{00000000-0005-0000-0000-00002E1D0000}"/>
    <cellStyle name="Currency 4 7" xfId="9530" xr:uid="{00000000-0005-0000-0000-00002F1D0000}"/>
    <cellStyle name="Currency 4_2009 GRC Compliance Filing (Electric) for Exh A-1" xfId="7466" xr:uid="{00000000-0005-0000-0000-0000301D0000}"/>
    <cellStyle name="Currency 5" xfId="7467" xr:uid="{00000000-0005-0000-0000-0000311D0000}"/>
    <cellStyle name="Currency 5 2" xfId="7468" xr:uid="{00000000-0005-0000-0000-0000321D0000}"/>
    <cellStyle name="Currency 5 2 2" xfId="7469" xr:uid="{00000000-0005-0000-0000-0000331D0000}"/>
    <cellStyle name="Currency 5 3" xfId="7470" xr:uid="{00000000-0005-0000-0000-0000341D0000}"/>
    <cellStyle name="Currency 5 4" xfId="7471" xr:uid="{00000000-0005-0000-0000-0000351D0000}"/>
    <cellStyle name="Currency 6" xfId="7472" xr:uid="{00000000-0005-0000-0000-0000361D0000}"/>
    <cellStyle name="Currency 6 2" xfId="7473" xr:uid="{00000000-0005-0000-0000-0000371D0000}"/>
    <cellStyle name="Currency 6 2 2" xfId="7474" xr:uid="{00000000-0005-0000-0000-0000381D0000}"/>
    <cellStyle name="Currency 6 3" xfId="7475" xr:uid="{00000000-0005-0000-0000-0000391D0000}"/>
    <cellStyle name="Currency 6 4" xfId="7476" xr:uid="{00000000-0005-0000-0000-00003A1D0000}"/>
    <cellStyle name="Currency 7" xfId="7477" xr:uid="{00000000-0005-0000-0000-00003B1D0000}"/>
    <cellStyle name="Currency 7 2" xfId="7478" xr:uid="{00000000-0005-0000-0000-00003C1D0000}"/>
    <cellStyle name="Currency 7 2 2" xfId="7479" xr:uid="{00000000-0005-0000-0000-00003D1D0000}"/>
    <cellStyle name="Currency 7 3" xfId="7480" xr:uid="{00000000-0005-0000-0000-00003E1D0000}"/>
    <cellStyle name="Currency 7 4" xfId="7481" xr:uid="{00000000-0005-0000-0000-00003F1D0000}"/>
    <cellStyle name="Currency 8" xfId="7482" xr:uid="{00000000-0005-0000-0000-0000401D0000}"/>
    <cellStyle name="Currency 8 2" xfId="7483" xr:uid="{00000000-0005-0000-0000-0000411D0000}"/>
    <cellStyle name="Currency 8 2 2" xfId="7484" xr:uid="{00000000-0005-0000-0000-0000421D0000}"/>
    <cellStyle name="Currency 8 2 2 2" xfId="7485" xr:uid="{00000000-0005-0000-0000-0000431D0000}"/>
    <cellStyle name="Currency 8 2 2 3" xfId="7486" xr:uid="{00000000-0005-0000-0000-0000441D0000}"/>
    <cellStyle name="Currency 8 2 2 4" xfId="7487" xr:uid="{00000000-0005-0000-0000-0000451D0000}"/>
    <cellStyle name="Currency 8 2 3" xfId="7488" xr:uid="{00000000-0005-0000-0000-0000461D0000}"/>
    <cellStyle name="Currency 8 2 3 2" xfId="7489" xr:uid="{00000000-0005-0000-0000-0000471D0000}"/>
    <cellStyle name="Currency 8 2 4" xfId="7490" xr:uid="{00000000-0005-0000-0000-0000481D0000}"/>
    <cellStyle name="Currency 8 2 5" xfId="7491" xr:uid="{00000000-0005-0000-0000-0000491D0000}"/>
    <cellStyle name="Currency 8 2 6" xfId="7492" xr:uid="{00000000-0005-0000-0000-00004A1D0000}"/>
    <cellStyle name="Currency 8 3" xfId="7493" xr:uid="{00000000-0005-0000-0000-00004B1D0000}"/>
    <cellStyle name="Currency 8 3 2" xfId="7494" xr:uid="{00000000-0005-0000-0000-00004C1D0000}"/>
    <cellStyle name="Currency 8 4" xfId="7495" xr:uid="{00000000-0005-0000-0000-00004D1D0000}"/>
    <cellStyle name="Currency 8 4 2" xfId="7496" xr:uid="{00000000-0005-0000-0000-00004E1D0000}"/>
    <cellStyle name="Currency 8 5" xfId="7497" xr:uid="{00000000-0005-0000-0000-00004F1D0000}"/>
    <cellStyle name="Currency 8 6" xfId="7498" xr:uid="{00000000-0005-0000-0000-0000501D0000}"/>
    <cellStyle name="Currency 9" xfId="7499" xr:uid="{00000000-0005-0000-0000-0000511D0000}"/>
    <cellStyle name="Currency 9 2" xfId="7500" xr:uid="{00000000-0005-0000-0000-0000521D0000}"/>
    <cellStyle name="Currency 9 2 2" xfId="7501" xr:uid="{00000000-0005-0000-0000-0000531D0000}"/>
    <cellStyle name="Currency 9 2 2 2" xfId="7502" xr:uid="{00000000-0005-0000-0000-0000541D0000}"/>
    <cellStyle name="Currency 9 2 3" xfId="7503" xr:uid="{00000000-0005-0000-0000-0000551D0000}"/>
    <cellStyle name="Currency 9 3" xfId="7504" xr:uid="{00000000-0005-0000-0000-0000561D0000}"/>
    <cellStyle name="Currency 9 3 2" xfId="7505" xr:uid="{00000000-0005-0000-0000-0000571D0000}"/>
    <cellStyle name="Currency 9 3 3" xfId="7506" xr:uid="{00000000-0005-0000-0000-0000581D0000}"/>
    <cellStyle name="Currency 9 3 4" xfId="7507" xr:uid="{00000000-0005-0000-0000-0000591D0000}"/>
    <cellStyle name="Currency 9 4" xfId="7508" xr:uid="{00000000-0005-0000-0000-00005A1D0000}"/>
    <cellStyle name="Currency 9 4 2" xfId="7509" xr:uid="{00000000-0005-0000-0000-00005B1D0000}"/>
    <cellStyle name="Currency 9 5" xfId="7510" xr:uid="{00000000-0005-0000-0000-00005C1D0000}"/>
    <cellStyle name="Currency 9 5 2" xfId="7511" xr:uid="{00000000-0005-0000-0000-00005D1D0000}"/>
    <cellStyle name="Currency 9 6" xfId="7512" xr:uid="{00000000-0005-0000-0000-00005E1D0000}"/>
    <cellStyle name="Currency 9 7" xfId="7513" xr:uid="{00000000-0005-0000-0000-00005F1D0000}"/>
    <cellStyle name="Currency 9 8" xfId="7514" xr:uid="{00000000-0005-0000-0000-0000601D0000}"/>
    <cellStyle name="Currency 9 9" xfId="7515" xr:uid="{00000000-0005-0000-0000-0000611D0000}"/>
    <cellStyle name="Currency0" xfId="7516" xr:uid="{00000000-0005-0000-0000-0000621D0000}"/>
    <cellStyle name="Currency0 2" xfId="7517" xr:uid="{00000000-0005-0000-0000-0000631D0000}"/>
    <cellStyle name="Currency0 2 2" xfId="7518" xr:uid="{00000000-0005-0000-0000-0000641D0000}"/>
    <cellStyle name="Currency0 2 2 2" xfId="7519" xr:uid="{00000000-0005-0000-0000-0000651D0000}"/>
    <cellStyle name="Currency0 2 3" xfId="7520" xr:uid="{00000000-0005-0000-0000-0000661D0000}"/>
    <cellStyle name="Currency0 3" xfId="7521" xr:uid="{00000000-0005-0000-0000-0000671D0000}"/>
    <cellStyle name="Currency0 3 2" xfId="7522" xr:uid="{00000000-0005-0000-0000-0000681D0000}"/>
    <cellStyle name="Currency0 3 3" xfId="7523" xr:uid="{00000000-0005-0000-0000-0000691D0000}"/>
    <cellStyle name="Currency0 4" xfId="7524" xr:uid="{00000000-0005-0000-0000-00006A1D0000}"/>
    <cellStyle name="Currency0 4 2" xfId="7525" xr:uid="{00000000-0005-0000-0000-00006B1D0000}"/>
    <cellStyle name="Currency0 4 3" xfId="7526" xr:uid="{00000000-0005-0000-0000-00006C1D0000}"/>
    <cellStyle name="Currency0 5" xfId="7527" xr:uid="{00000000-0005-0000-0000-00006D1D0000}"/>
    <cellStyle name="Currency0 6" xfId="7528" xr:uid="{00000000-0005-0000-0000-00006E1D0000}"/>
    <cellStyle name="Currency0 7" xfId="7529" xr:uid="{00000000-0005-0000-0000-00006F1D0000}"/>
    <cellStyle name="Currency0_ACCOUNTS" xfId="7530" xr:uid="{00000000-0005-0000-0000-0000701D0000}"/>
    <cellStyle name="Date" xfId="7531" xr:uid="{00000000-0005-0000-0000-0000711D0000}"/>
    <cellStyle name="Date 2" xfId="7532" xr:uid="{00000000-0005-0000-0000-0000721D0000}"/>
    <cellStyle name="Date 2 2" xfId="7533" xr:uid="{00000000-0005-0000-0000-0000731D0000}"/>
    <cellStyle name="Date 2 3" xfId="7534" xr:uid="{00000000-0005-0000-0000-0000741D0000}"/>
    <cellStyle name="Date 3" xfId="7535" xr:uid="{00000000-0005-0000-0000-0000751D0000}"/>
    <cellStyle name="Date 3 2" xfId="7536" xr:uid="{00000000-0005-0000-0000-0000761D0000}"/>
    <cellStyle name="Date 3 3" xfId="7537" xr:uid="{00000000-0005-0000-0000-0000771D0000}"/>
    <cellStyle name="Date 4" xfId="7538" xr:uid="{00000000-0005-0000-0000-0000781D0000}"/>
    <cellStyle name="Date 4 2" xfId="7539" xr:uid="{00000000-0005-0000-0000-0000791D0000}"/>
    <cellStyle name="Date 5" xfId="7540" xr:uid="{00000000-0005-0000-0000-00007A1D0000}"/>
    <cellStyle name="Date 5 2" xfId="7541" xr:uid="{00000000-0005-0000-0000-00007B1D0000}"/>
    <cellStyle name="Date 5 3" xfId="7542" xr:uid="{00000000-0005-0000-0000-00007C1D0000}"/>
    <cellStyle name="Date 6" xfId="7543" xr:uid="{00000000-0005-0000-0000-00007D1D0000}"/>
    <cellStyle name="Date 7" xfId="7544" xr:uid="{00000000-0005-0000-0000-00007E1D0000}"/>
    <cellStyle name="Date 8" xfId="7545" xr:uid="{00000000-0005-0000-0000-00007F1D0000}"/>
    <cellStyle name="Date_903 SAP 2-6-09" xfId="7546" xr:uid="{00000000-0005-0000-0000-0000801D0000}"/>
    <cellStyle name="drp-sh - Style2" xfId="7547" xr:uid="{00000000-0005-0000-0000-0000811D0000}"/>
    <cellStyle name="Emphasis 1" xfId="7548" xr:uid="{00000000-0005-0000-0000-0000821D0000}"/>
    <cellStyle name="Emphasis 1 2" xfId="7549" xr:uid="{00000000-0005-0000-0000-0000831D0000}"/>
    <cellStyle name="Emphasis 2" xfId="7550" xr:uid="{00000000-0005-0000-0000-0000841D0000}"/>
    <cellStyle name="Emphasis 2 2" xfId="7551" xr:uid="{00000000-0005-0000-0000-0000851D0000}"/>
    <cellStyle name="Emphasis 3" xfId="7552" xr:uid="{00000000-0005-0000-0000-0000861D0000}"/>
    <cellStyle name="Emphasis 3 2" xfId="7553" xr:uid="{00000000-0005-0000-0000-0000871D0000}"/>
    <cellStyle name="Entered" xfId="7554" xr:uid="{00000000-0005-0000-0000-0000881D0000}"/>
    <cellStyle name="Entered 2" xfId="7555" xr:uid="{00000000-0005-0000-0000-0000891D0000}"/>
    <cellStyle name="Entered 2 2" xfId="7556" xr:uid="{00000000-0005-0000-0000-00008A1D0000}"/>
    <cellStyle name="Entered 2 2 2" xfId="7557" xr:uid="{00000000-0005-0000-0000-00008B1D0000}"/>
    <cellStyle name="Entered 2 3" xfId="7558" xr:uid="{00000000-0005-0000-0000-00008C1D0000}"/>
    <cellStyle name="Entered 3" xfId="7559" xr:uid="{00000000-0005-0000-0000-00008D1D0000}"/>
    <cellStyle name="Entered 3 2" xfId="7560" xr:uid="{00000000-0005-0000-0000-00008E1D0000}"/>
    <cellStyle name="Entered 3 2 2" xfId="7561" xr:uid="{00000000-0005-0000-0000-00008F1D0000}"/>
    <cellStyle name="Entered 3 3" xfId="7562" xr:uid="{00000000-0005-0000-0000-0000901D0000}"/>
    <cellStyle name="Entered 3 3 2" xfId="7563" xr:uid="{00000000-0005-0000-0000-0000911D0000}"/>
    <cellStyle name="Entered 3 4" xfId="7564" xr:uid="{00000000-0005-0000-0000-0000921D0000}"/>
    <cellStyle name="Entered 3 4 2" xfId="7565" xr:uid="{00000000-0005-0000-0000-0000931D0000}"/>
    <cellStyle name="Entered 4" xfId="7566" xr:uid="{00000000-0005-0000-0000-0000941D0000}"/>
    <cellStyle name="Entered 4 2" xfId="7567" xr:uid="{00000000-0005-0000-0000-0000951D0000}"/>
    <cellStyle name="Entered 5" xfId="7568" xr:uid="{00000000-0005-0000-0000-0000961D0000}"/>
    <cellStyle name="Entered 5 2" xfId="7569" xr:uid="{00000000-0005-0000-0000-0000971D0000}"/>
    <cellStyle name="Entered 6" xfId="7570" xr:uid="{00000000-0005-0000-0000-0000981D0000}"/>
    <cellStyle name="Entered 7" xfId="7571" xr:uid="{00000000-0005-0000-0000-0000991D0000}"/>
    <cellStyle name="Entered 8" xfId="7572" xr:uid="{00000000-0005-0000-0000-00009A1D0000}"/>
    <cellStyle name="Entered_4.32E Depreciation Study Robs file" xfId="7573" xr:uid="{00000000-0005-0000-0000-00009B1D0000}"/>
    <cellStyle name="Euro" xfId="7574" xr:uid="{00000000-0005-0000-0000-00009C1D0000}"/>
    <cellStyle name="Euro 2" xfId="7575" xr:uid="{00000000-0005-0000-0000-00009D1D0000}"/>
    <cellStyle name="Euro 2 2" xfId="7576" xr:uid="{00000000-0005-0000-0000-00009E1D0000}"/>
    <cellStyle name="Euro 2 2 2" xfId="7577" xr:uid="{00000000-0005-0000-0000-00009F1D0000}"/>
    <cellStyle name="Euro 2 3" xfId="7578" xr:uid="{00000000-0005-0000-0000-0000A01D0000}"/>
    <cellStyle name="Euro 3" xfId="7579" xr:uid="{00000000-0005-0000-0000-0000A11D0000}"/>
    <cellStyle name="Euro 3 2" xfId="7580" xr:uid="{00000000-0005-0000-0000-0000A21D0000}"/>
    <cellStyle name="Euro 4" xfId="7581" xr:uid="{00000000-0005-0000-0000-0000A31D0000}"/>
    <cellStyle name="Euro 5" xfId="7582" xr:uid="{00000000-0005-0000-0000-0000A41D0000}"/>
    <cellStyle name="Explanatory Text 2" xfId="7583" xr:uid="{00000000-0005-0000-0000-0000A51D0000}"/>
    <cellStyle name="Explanatory Text 2 2" xfId="7584" xr:uid="{00000000-0005-0000-0000-0000A61D0000}"/>
    <cellStyle name="Explanatory Text 2 2 2" xfId="7585" xr:uid="{00000000-0005-0000-0000-0000A71D0000}"/>
    <cellStyle name="Explanatory Text 2 3" xfId="7586" xr:uid="{00000000-0005-0000-0000-0000A81D0000}"/>
    <cellStyle name="Explanatory Text 3" xfId="7587" xr:uid="{00000000-0005-0000-0000-0000A91D0000}"/>
    <cellStyle name="Explanatory Text 4" xfId="7588" xr:uid="{00000000-0005-0000-0000-0000AA1D0000}"/>
    <cellStyle name="Fixed" xfId="7589" xr:uid="{00000000-0005-0000-0000-0000AB1D0000}"/>
    <cellStyle name="Fixed 2" xfId="7590" xr:uid="{00000000-0005-0000-0000-0000AC1D0000}"/>
    <cellStyle name="Fixed 2 2" xfId="7591" xr:uid="{00000000-0005-0000-0000-0000AD1D0000}"/>
    <cellStyle name="Fixed 3" xfId="7592" xr:uid="{00000000-0005-0000-0000-0000AE1D0000}"/>
    <cellStyle name="Fixed 4" xfId="7593" xr:uid="{00000000-0005-0000-0000-0000AF1D0000}"/>
    <cellStyle name="Fixed 5" xfId="7594" xr:uid="{00000000-0005-0000-0000-0000B01D0000}"/>
    <cellStyle name="Fixed 6" xfId="7595" xr:uid="{00000000-0005-0000-0000-0000B11D0000}"/>
    <cellStyle name="Fixed 7" xfId="7596" xr:uid="{00000000-0005-0000-0000-0000B21D0000}"/>
    <cellStyle name="Fixed_ACCOUNTS" xfId="7597" xr:uid="{00000000-0005-0000-0000-0000B31D0000}"/>
    <cellStyle name="Fixed3 - Style3" xfId="7598" xr:uid="{00000000-0005-0000-0000-0000B41D0000}"/>
    <cellStyle name="Fixed3 - Style3 2" xfId="7599" xr:uid="{00000000-0005-0000-0000-0000B51D0000}"/>
    <cellStyle name="Followed Hyperlink" xfId="9538" builtinId="9" customBuiltin="1"/>
    <cellStyle name="Followed Hyperlink 2" xfId="9544" xr:uid="{00000000-0005-0000-0000-0000B71D0000}"/>
    <cellStyle name="Good 2" xfId="7600" xr:uid="{00000000-0005-0000-0000-0000B81D0000}"/>
    <cellStyle name="Good 2 2" xfId="7601" xr:uid="{00000000-0005-0000-0000-0000B91D0000}"/>
    <cellStyle name="Good 2 2 2" xfId="7602" xr:uid="{00000000-0005-0000-0000-0000BA1D0000}"/>
    <cellStyle name="Good 2 3" xfId="7603" xr:uid="{00000000-0005-0000-0000-0000BB1D0000}"/>
    <cellStyle name="Good 3" xfId="7604" xr:uid="{00000000-0005-0000-0000-0000BC1D0000}"/>
    <cellStyle name="Good 3 2" xfId="7605" xr:uid="{00000000-0005-0000-0000-0000BD1D0000}"/>
    <cellStyle name="Good 3 3" xfId="7606" xr:uid="{00000000-0005-0000-0000-0000BE1D0000}"/>
    <cellStyle name="Good 3 4" xfId="7607" xr:uid="{00000000-0005-0000-0000-0000BF1D0000}"/>
    <cellStyle name="Good 4" xfId="7608" xr:uid="{00000000-0005-0000-0000-0000C01D0000}"/>
    <cellStyle name="Good 5" xfId="7609" xr:uid="{00000000-0005-0000-0000-0000C11D0000}"/>
    <cellStyle name="Good 6" xfId="7610" xr:uid="{00000000-0005-0000-0000-0000C21D0000}"/>
    <cellStyle name="Grey" xfId="7611" xr:uid="{00000000-0005-0000-0000-0000C31D0000}"/>
    <cellStyle name="Grey 2" xfId="7612" xr:uid="{00000000-0005-0000-0000-0000C41D0000}"/>
    <cellStyle name="Grey 2 2" xfId="7613" xr:uid="{00000000-0005-0000-0000-0000C51D0000}"/>
    <cellStyle name="Grey 2 3" xfId="7614" xr:uid="{00000000-0005-0000-0000-0000C61D0000}"/>
    <cellStyle name="Grey 2 4" xfId="7615" xr:uid="{00000000-0005-0000-0000-0000C71D0000}"/>
    <cellStyle name="Grey 3" xfId="7616" xr:uid="{00000000-0005-0000-0000-0000C81D0000}"/>
    <cellStyle name="Grey 3 2" xfId="7617" xr:uid="{00000000-0005-0000-0000-0000C91D0000}"/>
    <cellStyle name="Grey 3 3" xfId="7618" xr:uid="{00000000-0005-0000-0000-0000CA1D0000}"/>
    <cellStyle name="Grey 3 4" xfId="7619" xr:uid="{00000000-0005-0000-0000-0000CB1D0000}"/>
    <cellStyle name="Grey 4" xfId="7620" xr:uid="{00000000-0005-0000-0000-0000CC1D0000}"/>
    <cellStyle name="Grey 4 2" xfId="7621" xr:uid="{00000000-0005-0000-0000-0000CD1D0000}"/>
    <cellStyle name="Grey 4 3" xfId="7622" xr:uid="{00000000-0005-0000-0000-0000CE1D0000}"/>
    <cellStyle name="Grey 4 4" xfId="7623" xr:uid="{00000000-0005-0000-0000-0000CF1D0000}"/>
    <cellStyle name="Grey 5" xfId="7624" xr:uid="{00000000-0005-0000-0000-0000D01D0000}"/>
    <cellStyle name="Grey 5 2" xfId="7625" xr:uid="{00000000-0005-0000-0000-0000D11D0000}"/>
    <cellStyle name="Grey 6" xfId="7626" xr:uid="{00000000-0005-0000-0000-0000D21D0000}"/>
    <cellStyle name="Grey 6 2" xfId="7627" xr:uid="{00000000-0005-0000-0000-0000D31D0000}"/>
    <cellStyle name="Grey 7" xfId="7628" xr:uid="{00000000-0005-0000-0000-0000D41D0000}"/>
    <cellStyle name="Grey 8" xfId="7629" xr:uid="{00000000-0005-0000-0000-0000D51D0000}"/>
    <cellStyle name="Grey_(C) WHE Proforma with ITC cash grant 10 Yr Amort_for deferral_102809" xfId="7630" xr:uid="{00000000-0005-0000-0000-0000D61D0000}"/>
    <cellStyle name="g-tota - Style7" xfId="7631" xr:uid="{00000000-0005-0000-0000-0000D71D0000}"/>
    <cellStyle name="Header" xfId="7632" xr:uid="{00000000-0005-0000-0000-0000D81D0000}"/>
    <cellStyle name="Header1" xfId="7633" xr:uid="{00000000-0005-0000-0000-0000D91D0000}"/>
    <cellStyle name="Header1 2" xfId="7634" xr:uid="{00000000-0005-0000-0000-0000DA1D0000}"/>
    <cellStyle name="Header1 3" xfId="7635" xr:uid="{00000000-0005-0000-0000-0000DB1D0000}"/>
    <cellStyle name="Header1 3 2" xfId="7636" xr:uid="{00000000-0005-0000-0000-0000DC1D0000}"/>
    <cellStyle name="Header1 4" xfId="7637" xr:uid="{00000000-0005-0000-0000-0000DD1D0000}"/>
    <cellStyle name="Header1_AURORA Total New" xfId="7638" xr:uid="{00000000-0005-0000-0000-0000DE1D0000}"/>
    <cellStyle name="Header2" xfId="7639" xr:uid="{00000000-0005-0000-0000-0000DF1D0000}"/>
    <cellStyle name="Header2 2" xfId="7640" xr:uid="{00000000-0005-0000-0000-0000E01D0000}"/>
    <cellStyle name="Header2 3" xfId="7641" xr:uid="{00000000-0005-0000-0000-0000E11D0000}"/>
    <cellStyle name="Header2 3 2" xfId="7642" xr:uid="{00000000-0005-0000-0000-0000E21D0000}"/>
    <cellStyle name="Header2 4" xfId="7643" xr:uid="{00000000-0005-0000-0000-0000E31D0000}"/>
    <cellStyle name="Header2 5" xfId="7644" xr:uid="{00000000-0005-0000-0000-0000E41D0000}"/>
    <cellStyle name="Header2 6" xfId="7645" xr:uid="{00000000-0005-0000-0000-0000E51D0000}"/>
    <cellStyle name="Header2_AURORA Total New" xfId="7646" xr:uid="{00000000-0005-0000-0000-0000E61D0000}"/>
    <cellStyle name="Heading" xfId="7647" xr:uid="{00000000-0005-0000-0000-0000E71D0000}"/>
    <cellStyle name="Heading 1 2" xfId="7648" xr:uid="{00000000-0005-0000-0000-0000E81D0000}"/>
    <cellStyle name="Heading 1 2 2" xfId="7649" xr:uid="{00000000-0005-0000-0000-0000E91D0000}"/>
    <cellStyle name="Heading 1 2 2 2" xfId="7650" xr:uid="{00000000-0005-0000-0000-0000EA1D0000}"/>
    <cellStyle name="Heading 1 2 3" xfId="7651" xr:uid="{00000000-0005-0000-0000-0000EB1D0000}"/>
    <cellStyle name="Heading 1 2 3 2" xfId="7652" xr:uid="{00000000-0005-0000-0000-0000EC1D0000}"/>
    <cellStyle name="Heading 1 2 3 3" xfId="7653" xr:uid="{00000000-0005-0000-0000-0000ED1D0000}"/>
    <cellStyle name="Heading 1 2 3 4" xfId="7654" xr:uid="{00000000-0005-0000-0000-0000EE1D0000}"/>
    <cellStyle name="Heading 1 2 4" xfId="7655" xr:uid="{00000000-0005-0000-0000-0000EF1D0000}"/>
    <cellStyle name="Heading 1 3" xfId="7656" xr:uid="{00000000-0005-0000-0000-0000F01D0000}"/>
    <cellStyle name="Heading 1 3 2" xfId="7657" xr:uid="{00000000-0005-0000-0000-0000F11D0000}"/>
    <cellStyle name="Heading 1 3 3" xfId="7658" xr:uid="{00000000-0005-0000-0000-0000F21D0000}"/>
    <cellStyle name="Heading 1 3 4" xfId="7659" xr:uid="{00000000-0005-0000-0000-0000F31D0000}"/>
    <cellStyle name="Heading 1 4" xfId="7660" xr:uid="{00000000-0005-0000-0000-0000F41D0000}"/>
    <cellStyle name="Heading 1 4 2" xfId="7661" xr:uid="{00000000-0005-0000-0000-0000F51D0000}"/>
    <cellStyle name="Heading 1 5" xfId="7662" xr:uid="{00000000-0005-0000-0000-0000F61D0000}"/>
    <cellStyle name="Heading 1 6" xfId="7663" xr:uid="{00000000-0005-0000-0000-0000F71D0000}"/>
    <cellStyle name="Heading 1 9" xfId="7664" xr:uid="{00000000-0005-0000-0000-0000F81D0000}"/>
    <cellStyle name="Heading 1 9 2" xfId="7665" xr:uid="{00000000-0005-0000-0000-0000F91D0000}"/>
    <cellStyle name="Heading 2 2" xfId="7666" xr:uid="{00000000-0005-0000-0000-0000FA1D0000}"/>
    <cellStyle name="Heading 2 2 2" xfId="7667" xr:uid="{00000000-0005-0000-0000-0000FB1D0000}"/>
    <cellStyle name="Heading 2 2 2 2" xfId="7668" xr:uid="{00000000-0005-0000-0000-0000FC1D0000}"/>
    <cellStyle name="Heading 2 2 3" xfId="7669" xr:uid="{00000000-0005-0000-0000-0000FD1D0000}"/>
    <cellStyle name="Heading 2 2 3 2" xfId="7670" xr:uid="{00000000-0005-0000-0000-0000FE1D0000}"/>
    <cellStyle name="Heading 2 2 3 3" xfId="7671" xr:uid="{00000000-0005-0000-0000-0000FF1D0000}"/>
    <cellStyle name="Heading 2 2 3 4" xfId="7672" xr:uid="{00000000-0005-0000-0000-0000001E0000}"/>
    <cellStyle name="Heading 2 2 4" xfId="7673" xr:uid="{00000000-0005-0000-0000-0000011E0000}"/>
    <cellStyle name="Heading 2 3" xfId="7674" xr:uid="{00000000-0005-0000-0000-0000021E0000}"/>
    <cellStyle name="Heading 2 3 2" xfId="7675" xr:uid="{00000000-0005-0000-0000-0000031E0000}"/>
    <cellStyle name="Heading 2 3 3" xfId="7676" xr:uid="{00000000-0005-0000-0000-0000041E0000}"/>
    <cellStyle name="Heading 2 3 4" xfId="7677" xr:uid="{00000000-0005-0000-0000-0000051E0000}"/>
    <cellStyle name="Heading 2 4" xfId="7678" xr:uid="{00000000-0005-0000-0000-0000061E0000}"/>
    <cellStyle name="Heading 2 4 2" xfId="7679" xr:uid="{00000000-0005-0000-0000-0000071E0000}"/>
    <cellStyle name="Heading 2 5" xfId="7680" xr:uid="{00000000-0005-0000-0000-0000081E0000}"/>
    <cellStyle name="Heading 2 6" xfId="7681" xr:uid="{00000000-0005-0000-0000-0000091E0000}"/>
    <cellStyle name="Heading 2 9" xfId="7682" xr:uid="{00000000-0005-0000-0000-00000A1E0000}"/>
    <cellStyle name="Heading 2 9 2" xfId="7683" xr:uid="{00000000-0005-0000-0000-00000B1E0000}"/>
    <cellStyle name="Heading 3 2" xfId="7684" xr:uid="{00000000-0005-0000-0000-00000C1E0000}"/>
    <cellStyle name="Heading 3 2 2" xfId="7685" xr:uid="{00000000-0005-0000-0000-00000D1E0000}"/>
    <cellStyle name="Heading 3 2 2 2" xfId="7686" xr:uid="{00000000-0005-0000-0000-00000E1E0000}"/>
    <cellStyle name="Heading 3 2 3" xfId="7687" xr:uid="{00000000-0005-0000-0000-00000F1E0000}"/>
    <cellStyle name="Heading 3 3" xfId="7688" xr:uid="{00000000-0005-0000-0000-0000101E0000}"/>
    <cellStyle name="Heading 3 3 2" xfId="7689" xr:uid="{00000000-0005-0000-0000-0000111E0000}"/>
    <cellStyle name="Heading 3 3 3" xfId="7690" xr:uid="{00000000-0005-0000-0000-0000121E0000}"/>
    <cellStyle name="Heading 3 3 4" xfId="7691" xr:uid="{00000000-0005-0000-0000-0000131E0000}"/>
    <cellStyle name="Heading 3 4" xfId="7692" xr:uid="{00000000-0005-0000-0000-0000141E0000}"/>
    <cellStyle name="Heading 3 5" xfId="7693" xr:uid="{00000000-0005-0000-0000-0000151E0000}"/>
    <cellStyle name="Heading 3 6" xfId="7694" xr:uid="{00000000-0005-0000-0000-0000161E0000}"/>
    <cellStyle name="Heading 4 2" xfId="7695" xr:uid="{00000000-0005-0000-0000-0000171E0000}"/>
    <cellStyle name="Heading 4 2 2" xfId="7696" xr:uid="{00000000-0005-0000-0000-0000181E0000}"/>
    <cellStyle name="Heading 4 2 2 2" xfId="7697" xr:uid="{00000000-0005-0000-0000-0000191E0000}"/>
    <cellStyle name="Heading 4 2 3" xfId="7698" xr:uid="{00000000-0005-0000-0000-00001A1E0000}"/>
    <cellStyle name="Heading 4 3" xfId="7699" xr:uid="{00000000-0005-0000-0000-00001B1E0000}"/>
    <cellStyle name="Heading 4 3 2" xfId="7700" xr:uid="{00000000-0005-0000-0000-00001C1E0000}"/>
    <cellStyle name="Heading 4 3 3" xfId="7701" xr:uid="{00000000-0005-0000-0000-00001D1E0000}"/>
    <cellStyle name="Heading 4 3 4" xfId="7702" xr:uid="{00000000-0005-0000-0000-00001E1E0000}"/>
    <cellStyle name="Heading 4 4" xfId="7703" xr:uid="{00000000-0005-0000-0000-00001F1E0000}"/>
    <cellStyle name="Heading 4 5" xfId="7704" xr:uid="{00000000-0005-0000-0000-0000201E0000}"/>
    <cellStyle name="Heading 4 6" xfId="7705" xr:uid="{00000000-0005-0000-0000-0000211E0000}"/>
    <cellStyle name="Heading1" xfId="7706" xr:uid="{00000000-0005-0000-0000-0000221E0000}"/>
    <cellStyle name="Heading1 2" xfId="7707" xr:uid="{00000000-0005-0000-0000-0000231E0000}"/>
    <cellStyle name="Heading1 2 2" xfId="7708" xr:uid="{00000000-0005-0000-0000-0000241E0000}"/>
    <cellStyle name="Heading1 3" xfId="7709" xr:uid="{00000000-0005-0000-0000-0000251E0000}"/>
    <cellStyle name="Heading1 3 2" xfId="7710" xr:uid="{00000000-0005-0000-0000-0000261E0000}"/>
    <cellStyle name="Heading1 4" xfId="7711" xr:uid="{00000000-0005-0000-0000-0000271E0000}"/>
    <cellStyle name="Heading1 5" xfId="7712" xr:uid="{00000000-0005-0000-0000-0000281E0000}"/>
    <cellStyle name="Heading1 6" xfId="7713" xr:uid="{00000000-0005-0000-0000-0000291E0000}"/>
    <cellStyle name="Heading1 7" xfId="7714" xr:uid="{00000000-0005-0000-0000-00002A1E0000}"/>
    <cellStyle name="Heading1 8" xfId="7715" xr:uid="{00000000-0005-0000-0000-00002B1E0000}"/>
    <cellStyle name="Heading1_4.32E Depreciation Study Robs file" xfId="7716" xr:uid="{00000000-0005-0000-0000-00002C1E0000}"/>
    <cellStyle name="Heading2" xfId="7717" xr:uid="{00000000-0005-0000-0000-00002D1E0000}"/>
    <cellStyle name="Heading2 2" xfId="7718" xr:uid="{00000000-0005-0000-0000-00002E1E0000}"/>
    <cellStyle name="Heading2 2 2" xfId="7719" xr:uid="{00000000-0005-0000-0000-00002F1E0000}"/>
    <cellStyle name="Heading2 3" xfId="7720" xr:uid="{00000000-0005-0000-0000-0000301E0000}"/>
    <cellStyle name="Heading2 3 2" xfId="7721" xr:uid="{00000000-0005-0000-0000-0000311E0000}"/>
    <cellStyle name="Heading2 4" xfId="7722" xr:uid="{00000000-0005-0000-0000-0000321E0000}"/>
    <cellStyle name="Heading2 5" xfId="7723" xr:uid="{00000000-0005-0000-0000-0000331E0000}"/>
    <cellStyle name="Heading2 6" xfId="7724" xr:uid="{00000000-0005-0000-0000-0000341E0000}"/>
    <cellStyle name="Heading2 7" xfId="7725" xr:uid="{00000000-0005-0000-0000-0000351E0000}"/>
    <cellStyle name="Heading2 8" xfId="7726" xr:uid="{00000000-0005-0000-0000-0000361E0000}"/>
    <cellStyle name="Heading2_4.32E Depreciation Study Robs file" xfId="7727" xr:uid="{00000000-0005-0000-0000-0000371E0000}"/>
    <cellStyle name="Hyperlink" xfId="9539" builtinId="8" customBuiltin="1"/>
    <cellStyle name="Hyperlink 2" xfId="7728" xr:uid="{00000000-0005-0000-0000-0000391E0000}"/>
    <cellStyle name="Hyperlink 2 2" xfId="9545" xr:uid="{00000000-0005-0000-0000-00003A1E0000}"/>
    <cellStyle name="Hyperlink 3" xfId="7729" xr:uid="{00000000-0005-0000-0000-00003B1E0000}"/>
    <cellStyle name="Input [yellow]" xfId="7730" xr:uid="{00000000-0005-0000-0000-00003C1E0000}"/>
    <cellStyle name="Input [yellow] 2" xfId="7731" xr:uid="{00000000-0005-0000-0000-00003D1E0000}"/>
    <cellStyle name="Input [yellow] 2 2" xfId="7732" xr:uid="{00000000-0005-0000-0000-00003E1E0000}"/>
    <cellStyle name="Input [yellow] 2 3" xfId="7733" xr:uid="{00000000-0005-0000-0000-00003F1E0000}"/>
    <cellStyle name="Input [yellow] 2 4" xfId="7734" xr:uid="{00000000-0005-0000-0000-0000401E0000}"/>
    <cellStyle name="Input [yellow] 2 5" xfId="7735" xr:uid="{00000000-0005-0000-0000-0000411E0000}"/>
    <cellStyle name="Input [yellow] 3" xfId="7736" xr:uid="{00000000-0005-0000-0000-0000421E0000}"/>
    <cellStyle name="Input [yellow] 3 2" xfId="7737" xr:uid="{00000000-0005-0000-0000-0000431E0000}"/>
    <cellStyle name="Input [yellow] 3 3" xfId="7738" xr:uid="{00000000-0005-0000-0000-0000441E0000}"/>
    <cellStyle name="Input [yellow] 3 4" xfId="7739" xr:uid="{00000000-0005-0000-0000-0000451E0000}"/>
    <cellStyle name="Input [yellow] 3 5" xfId="7740" xr:uid="{00000000-0005-0000-0000-0000461E0000}"/>
    <cellStyle name="Input [yellow] 4" xfId="7741" xr:uid="{00000000-0005-0000-0000-0000471E0000}"/>
    <cellStyle name="Input [yellow] 4 2" xfId="7742" xr:uid="{00000000-0005-0000-0000-0000481E0000}"/>
    <cellStyle name="Input [yellow] 4 3" xfId="7743" xr:uid="{00000000-0005-0000-0000-0000491E0000}"/>
    <cellStyle name="Input [yellow] 4 4" xfId="7744" xr:uid="{00000000-0005-0000-0000-00004A1E0000}"/>
    <cellStyle name="Input [yellow] 4 5" xfId="7745" xr:uid="{00000000-0005-0000-0000-00004B1E0000}"/>
    <cellStyle name="Input [yellow] 5" xfId="7746" xr:uid="{00000000-0005-0000-0000-00004C1E0000}"/>
    <cellStyle name="Input [yellow] 5 2" xfId="7747" xr:uid="{00000000-0005-0000-0000-00004D1E0000}"/>
    <cellStyle name="Input [yellow] 6" xfId="7748" xr:uid="{00000000-0005-0000-0000-00004E1E0000}"/>
    <cellStyle name="Input [yellow] 7" xfId="7749" xr:uid="{00000000-0005-0000-0000-00004F1E0000}"/>
    <cellStyle name="Input [yellow] 8" xfId="7750" xr:uid="{00000000-0005-0000-0000-0000501E0000}"/>
    <cellStyle name="Input [yellow] 9" xfId="7751" xr:uid="{00000000-0005-0000-0000-0000511E0000}"/>
    <cellStyle name="Input [yellow]_(C) WHE Proforma with ITC cash grant 10 Yr Amort_for deferral_102809" xfId="7752" xr:uid="{00000000-0005-0000-0000-0000521E0000}"/>
    <cellStyle name="Input 10" xfId="7753" xr:uid="{00000000-0005-0000-0000-0000531E0000}"/>
    <cellStyle name="Input 11" xfId="7754" xr:uid="{00000000-0005-0000-0000-0000541E0000}"/>
    <cellStyle name="Input 12" xfId="7755" xr:uid="{00000000-0005-0000-0000-0000551E0000}"/>
    <cellStyle name="Input 13" xfId="7756" xr:uid="{00000000-0005-0000-0000-0000561E0000}"/>
    <cellStyle name="Input 14" xfId="7757" xr:uid="{00000000-0005-0000-0000-0000571E0000}"/>
    <cellStyle name="Input 15" xfId="7758" xr:uid="{00000000-0005-0000-0000-0000581E0000}"/>
    <cellStyle name="Input 16" xfId="7759" xr:uid="{00000000-0005-0000-0000-0000591E0000}"/>
    <cellStyle name="Input 17" xfId="7760" xr:uid="{00000000-0005-0000-0000-00005A1E0000}"/>
    <cellStyle name="Input 18" xfId="7761" xr:uid="{00000000-0005-0000-0000-00005B1E0000}"/>
    <cellStyle name="Input 19" xfId="7762" xr:uid="{00000000-0005-0000-0000-00005C1E0000}"/>
    <cellStyle name="Input 2" xfId="7763" xr:uid="{00000000-0005-0000-0000-00005D1E0000}"/>
    <cellStyle name="Input 2 2" xfId="7764" xr:uid="{00000000-0005-0000-0000-00005E1E0000}"/>
    <cellStyle name="Input 2 2 2" xfId="7765" xr:uid="{00000000-0005-0000-0000-00005F1E0000}"/>
    <cellStyle name="Input 2 2 3" xfId="7766" xr:uid="{00000000-0005-0000-0000-0000601E0000}"/>
    <cellStyle name="Input 2 3" xfId="7767" xr:uid="{00000000-0005-0000-0000-0000611E0000}"/>
    <cellStyle name="Input 3" xfId="7768" xr:uid="{00000000-0005-0000-0000-0000621E0000}"/>
    <cellStyle name="Input 3 2" xfId="7769" xr:uid="{00000000-0005-0000-0000-0000631E0000}"/>
    <cellStyle name="Input 3 3" xfId="7770" xr:uid="{00000000-0005-0000-0000-0000641E0000}"/>
    <cellStyle name="Input 3 4" xfId="7771" xr:uid="{00000000-0005-0000-0000-0000651E0000}"/>
    <cellStyle name="Input 3 5" xfId="7772" xr:uid="{00000000-0005-0000-0000-0000661E0000}"/>
    <cellStyle name="Input 4" xfId="7773" xr:uid="{00000000-0005-0000-0000-0000671E0000}"/>
    <cellStyle name="Input 4 2" xfId="7774" xr:uid="{00000000-0005-0000-0000-0000681E0000}"/>
    <cellStyle name="Input 4 3" xfId="7775" xr:uid="{00000000-0005-0000-0000-0000691E0000}"/>
    <cellStyle name="Input 4 4" xfId="7776" xr:uid="{00000000-0005-0000-0000-00006A1E0000}"/>
    <cellStyle name="Input 5" xfId="7777" xr:uid="{00000000-0005-0000-0000-00006B1E0000}"/>
    <cellStyle name="Input 6" xfId="7778" xr:uid="{00000000-0005-0000-0000-00006C1E0000}"/>
    <cellStyle name="Input 7" xfId="7779" xr:uid="{00000000-0005-0000-0000-00006D1E0000}"/>
    <cellStyle name="Input 8" xfId="7780" xr:uid="{00000000-0005-0000-0000-00006E1E0000}"/>
    <cellStyle name="Input 9" xfId="7781" xr:uid="{00000000-0005-0000-0000-00006F1E0000}"/>
    <cellStyle name="Input Cells" xfId="7782" xr:uid="{00000000-0005-0000-0000-0000701E0000}"/>
    <cellStyle name="Input Cells 2" xfId="7783" xr:uid="{00000000-0005-0000-0000-0000711E0000}"/>
    <cellStyle name="Input Cells 3" xfId="7784" xr:uid="{00000000-0005-0000-0000-0000721E0000}"/>
    <cellStyle name="Input Cells Percent" xfId="7785" xr:uid="{00000000-0005-0000-0000-0000731E0000}"/>
    <cellStyle name="Input Cells Percent 2" xfId="7786" xr:uid="{00000000-0005-0000-0000-0000741E0000}"/>
    <cellStyle name="Input Cells Percent 3" xfId="7787" xr:uid="{00000000-0005-0000-0000-0000751E0000}"/>
    <cellStyle name="Input Cells Percent_AURORA Total New" xfId="7788" xr:uid="{00000000-0005-0000-0000-0000761E0000}"/>
    <cellStyle name="Input Cells_4.34E Mint Farm Deferral" xfId="7789" xr:uid="{00000000-0005-0000-0000-0000771E0000}"/>
    <cellStyle name="line b - Style6" xfId="7790" xr:uid="{00000000-0005-0000-0000-0000781E0000}"/>
    <cellStyle name="Lines" xfId="7791" xr:uid="{00000000-0005-0000-0000-0000791E0000}"/>
    <cellStyle name="Lines 2" xfId="7792" xr:uid="{00000000-0005-0000-0000-00007A1E0000}"/>
    <cellStyle name="Lines 3" xfId="7793" xr:uid="{00000000-0005-0000-0000-00007B1E0000}"/>
    <cellStyle name="Lines 4" xfId="7794" xr:uid="{00000000-0005-0000-0000-00007C1E0000}"/>
    <cellStyle name="Lines_Electric Rev Req Model (2009 GRC) Rebuttal" xfId="7795" xr:uid="{00000000-0005-0000-0000-00007D1E0000}"/>
    <cellStyle name="LINKED" xfId="7796" xr:uid="{00000000-0005-0000-0000-00007E1E0000}"/>
    <cellStyle name="LINKED 2" xfId="7797" xr:uid="{00000000-0005-0000-0000-00007F1E0000}"/>
    <cellStyle name="LINKED 2 2" xfId="7798" xr:uid="{00000000-0005-0000-0000-0000801E0000}"/>
    <cellStyle name="LINKED 3" xfId="7799" xr:uid="{00000000-0005-0000-0000-0000811E0000}"/>
    <cellStyle name="LINKED 4" xfId="7800" xr:uid="{00000000-0005-0000-0000-0000821E0000}"/>
    <cellStyle name="Linked Cell 2" xfId="7801" xr:uid="{00000000-0005-0000-0000-0000831E0000}"/>
    <cellStyle name="Linked Cell 2 2" xfId="7802" xr:uid="{00000000-0005-0000-0000-0000841E0000}"/>
    <cellStyle name="Linked Cell 2 2 2" xfId="7803" xr:uid="{00000000-0005-0000-0000-0000851E0000}"/>
    <cellStyle name="Linked Cell 2 3" xfId="7804" xr:uid="{00000000-0005-0000-0000-0000861E0000}"/>
    <cellStyle name="Linked Cell 3" xfId="7805" xr:uid="{00000000-0005-0000-0000-0000871E0000}"/>
    <cellStyle name="Linked Cell 3 2" xfId="7806" xr:uid="{00000000-0005-0000-0000-0000881E0000}"/>
    <cellStyle name="Linked Cell 3 3" xfId="7807" xr:uid="{00000000-0005-0000-0000-0000891E0000}"/>
    <cellStyle name="Linked Cell 3 4" xfId="7808" xr:uid="{00000000-0005-0000-0000-00008A1E0000}"/>
    <cellStyle name="Linked Cell 4" xfId="7809" xr:uid="{00000000-0005-0000-0000-00008B1E0000}"/>
    <cellStyle name="Linked Cell 5" xfId="7810" xr:uid="{00000000-0005-0000-0000-00008C1E0000}"/>
    <cellStyle name="Linked Cell 6" xfId="7811" xr:uid="{00000000-0005-0000-0000-00008D1E0000}"/>
    <cellStyle name="Manual-Input" xfId="9543" xr:uid="{00000000-0005-0000-0000-00008E1E0000}"/>
    <cellStyle name="Millares [0]_2AV_M_M " xfId="7812" xr:uid="{00000000-0005-0000-0000-00008F1E0000}"/>
    <cellStyle name="Millares_2AV_M_M " xfId="7813" xr:uid="{00000000-0005-0000-0000-0000901E0000}"/>
    <cellStyle name="modified border" xfId="7814" xr:uid="{00000000-0005-0000-0000-0000911E0000}"/>
    <cellStyle name="modified border 2" xfId="7815" xr:uid="{00000000-0005-0000-0000-0000921E0000}"/>
    <cellStyle name="modified border 2 2" xfId="7816" xr:uid="{00000000-0005-0000-0000-0000931E0000}"/>
    <cellStyle name="modified border 2 3" xfId="7817" xr:uid="{00000000-0005-0000-0000-0000941E0000}"/>
    <cellStyle name="modified border 3" xfId="7818" xr:uid="{00000000-0005-0000-0000-0000951E0000}"/>
    <cellStyle name="modified border 3 2" xfId="7819" xr:uid="{00000000-0005-0000-0000-0000961E0000}"/>
    <cellStyle name="modified border 3 3" xfId="7820" xr:uid="{00000000-0005-0000-0000-0000971E0000}"/>
    <cellStyle name="modified border 4" xfId="7821" xr:uid="{00000000-0005-0000-0000-0000981E0000}"/>
    <cellStyle name="modified border 4 2" xfId="7822" xr:uid="{00000000-0005-0000-0000-0000991E0000}"/>
    <cellStyle name="modified border 4 3" xfId="7823" xr:uid="{00000000-0005-0000-0000-00009A1E0000}"/>
    <cellStyle name="modified border 5" xfId="7824" xr:uid="{00000000-0005-0000-0000-00009B1E0000}"/>
    <cellStyle name="modified border 5 2" xfId="7825" xr:uid="{00000000-0005-0000-0000-00009C1E0000}"/>
    <cellStyle name="modified border 6" xfId="7826" xr:uid="{00000000-0005-0000-0000-00009D1E0000}"/>
    <cellStyle name="modified border 7" xfId="7827" xr:uid="{00000000-0005-0000-0000-00009E1E0000}"/>
    <cellStyle name="modified border 8" xfId="7828" xr:uid="{00000000-0005-0000-0000-00009F1E0000}"/>
    <cellStyle name="modified border_4.34E Mint Farm Deferral" xfId="7829" xr:uid="{00000000-0005-0000-0000-0000A01E0000}"/>
    <cellStyle name="modified border1" xfId="7830" xr:uid="{00000000-0005-0000-0000-0000A11E0000}"/>
    <cellStyle name="modified border1 2" xfId="7831" xr:uid="{00000000-0005-0000-0000-0000A21E0000}"/>
    <cellStyle name="modified border1 2 2" xfId="7832" xr:uid="{00000000-0005-0000-0000-0000A31E0000}"/>
    <cellStyle name="modified border1 2 3" xfId="7833" xr:uid="{00000000-0005-0000-0000-0000A41E0000}"/>
    <cellStyle name="modified border1 3" xfId="7834" xr:uid="{00000000-0005-0000-0000-0000A51E0000}"/>
    <cellStyle name="modified border1 3 2" xfId="7835" xr:uid="{00000000-0005-0000-0000-0000A61E0000}"/>
    <cellStyle name="modified border1 3 3" xfId="7836" xr:uid="{00000000-0005-0000-0000-0000A71E0000}"/>
    <cellStyle name="modified border1 4" xfId="7837" xr:uid="{00000000-0005-0000-0000-0000A81E0000}"/>
    <cellStyle name="modified border1 4 2" xfId="7838" xr:uid="{00000000-0005-0000-0000-0000A91E0000}"/>
    <cellStyle name="modified border1 4 3" xfId="7839" xr:uid="{00000000-0005-0000-0000-0000AA1E0000}"/>
    <cellStyle name="modified border1 5" xfId="7840" xr:uid="{00000000-0005-0000-0000-0000AB1E0000}"/>
    <cellStyle name="modified border1 5 2" xfId="7841" xr:uid="{00000000-0005-0000-0000-0000AC1E0000}"/>
    <cellStyle name="modified border1 6" xfId="7842" xr:uid="{00000000-0005-0000-0000-0000AD1E0000}"/>
    <cellStyle name="modified border1 7" xfId="7843" xr:uid="{00000000-0005-0000-0000-0000AE1E0000}"/>
    <cellStyle name="modified border1 8" xfId="7844" xr:uid="{00000000-0005-0000-0000-0000AF1E0000}"/>
    <cellStyle name="modified border1_4.34E Mint Farm Deferral" xfId="7845" xr:uid="{00000000-0005-0000-0000-0000B01E0000}"/>
    <cellStyle name="Moneda [0]_2AV_M_M " xfId="7846" xr:uid="{00000000-0005-0000-0000-0000B11E0000}"/>
    <cellStyle name="Moneda_2AV_M_M " xfId="7847" xr:uid="{00000000-0005-0000-0000-0000B21E0000}"/>
    <cellStyle name="Neutral 2" xfId="7848" xr:uid="{00000000-0005-0000-0000-0000B31E0000}"/>
    <cellStyle name="Neutral 2 2" xfId="7849" xr:uid="{00000000-0005-0000-0000-0000B41E0000}"/>
    <cellStyle name="Neutral 2 2 2" xfId="7850" xr:uid="{00000000-0005-0000-0000-0000B51E0000}"/>
    <cellStyle name="Neutral 2 3" xfId="7851" xr:uid="{00000000-0005-0000-0000-0000B61E0000}"/>
    <cellStyle name="Neutral 3" xfId="7852" xr:uid="{00000000-0005-0000-0000-0000B71E0000}"/>
    <cellStyle name="Neutral 3 2" xfId="7853" xr:uid="{00000000-0005-0000-0000-0000B81E0000}"/>
    <cellStyle name="Neutral 3 3" xfId="7854" xr:uid="{00000000-0005-0000-0000-0000B91E0000}"/>
    <cellStyle name="Neutral 3 4" xfId="7855" xr:uid="{00000000-0005-0000-0000-0000BA1E0000}"/>
    <cellStyle name="Neutral 4" xfId="7856" xr:uid="{00000000-0005-0000-0000-0000BB1E0000}"/>
    <cellStyle name="Neutral 5" xfId="7857" xr:uid="{00000000-0005-0000-0000-0000BC1E0000}"/>
    <cellStyle name="Neutral 6" xfId="7858" xr:uid="{00000000-0005-0000-0000-0000BD1E0000}"/>
    <cellStyle name="no dec" xfId="7859" xr:uid="{00000000-0005-0000-0000-0000BE1E0000}"/>
    <cellStyle name="no dec 2" xfId="7860" xr:uid="{00000000-0005-0000-0000-0000BF1E0000}"/>
    <cellStyle name="no dec 2 2" xfId="7861" xr:uid="{00000000-0005-0000-0000-0000C01E0000}"/>
    <cellStyle name="no dec 3" xfId="7862" xr:uid="{00000000-0005-0000-0000-0000C11E0000}"/>
    <cellStyle name="no dec 4" xfId="7863" xr:uid="{00000000-0005-0000-0000-0000C21E0000}"/>
    <cellStyle name="Normal" xfId="0" builtinId="0"/>
    <cellStyle name="Normal - Style1" xfId="7864" xr:uid="{00000000-0005-0000-0000-0000C41E0000}"/>
    <cellStyle name="Normal - Style1 2" xfId="7865" xr:uid="{00000000-0005-0000-0000-0000C51E0000}"/>
    <cellStyle name="Normal - Style1 2 2" xfId="7866" xr:uid="{00000000-0005-0000-0000-0000C61E0000}"/>
    <cellStyle name="Normal - Style1 2 2 2" xfId="7867" xr:uid="{00000000-0005-0000-0000-0000C71E0000}"/>
    <cellStyle name="Normal - Style1 2 3" xfId="7868" xr:uid="{00000000-0005-0000-0000-0000C81E0000}"/>
    <cellStyle name="Normal - Style1 2 4" xfId="7869" xr:uid="{00000000-0005-0000-0000-0000C91E0000}"/>
    <cellStyle name="Normal - Style1 3" xfId="7870" xr:uid="{00000000-0005-0000-0000-0000CA1E0000}"/>
    <cellStyle name="Normal - Style1 3 2" xfId="7871" xr:uid="{00000000-0005-0000-0000-0000CB1E0000}"/>
    <cellStyle name="Normal - Style1 3 2 2" xfId="7872" xr:uid="{00000000-0005-0000-0000-0000CC1E0000}"/>
    <cellStyle name="Normal - Style1 3 3" xfId="7873" xr:uid="{00000000-0005-0000-0000-0000CD1E0000}"/>
    <cellStyle name="Normal - Style1 3 4" xfId="7874" xr:uid="{00000000-0005-0000-0000-0000CE1E0000}"/>
    <cellStyle name="Normal - Style1 4" xfId="7875" xr:uid="{00000000-0005-0000-0000-0000CF1E0000}"/>
    <cellStyle name="Normal - Style1 4 2" xfId="7876" xr:uid="{00000000-0005-0000-0000-0000D01E0000}"/>
    <cellStyle name="Normal - Style1 4 2 2" xfId="7877" xr:uid="{00000000-0005-0000-0000-0000D11E0000}"/>
    <cellStyle name="Normal - Style1 4 3" xfId="7878" xr:uid="{00000000-0005-0000-0000-0000D21E0000}"/>
    <cellStyle name="Normal - Style1 4 4" xfId="7879" xr:uid="{00000000-0005-0000-0000-0000D31E0000}"/>
    <cellStyle name="Normal - Style1 5" xfId="7880" xr:uid="{00000000-0005-0000-0000-0000D41E0000}"/>
    <cellStyle name="Normal - Style1 5 2" xfId="7881" xr:uid="{00000000-0005-0000-0000-0000D51E0000}"/>
    <cellStyle name="Normal - Style1 5 3" xfId="7882" xr:uid="{00000000-0005-0000-0000-0000D61E0000}"/>
    <cellStyle name="Normal - Style1 5 4" xfId="7883" xr:uid="{00000000-0005-0000-0000-0000D71E0000}"/>
    <cellStyle name="Normal - Style1 6" xfId="7884" xr:uid="{00000000-0005-0000-0000-0000D81E0000}"/>
    <cellStyle name="Normal - Style1 6 2" xfId="7885" xr:uid="{00000000-0005-0000-0000-0000D91E0000}"/>
    <cellStyle name="Normal - Style1 6 2 2" xfId="7886" xr:uid="{00000000-0005-0000-0000-0000DA1E0000}"/>
    <cellStyle name="Normal - Style1 6 3" xfId="7887" xr:uid="{00000000-0005-0000-0000-0000DB1E0000}"/>
    <cellStyle name="Normal - Style1 6 4" xfId="7888" xr:uid="{00000000-0005-0000-0000-0000DC1E0000}"/>
    <cellStyle name="Normal - Style1 7" xfId="7889" xr:uid="{00000000-0005-0000-0000-0000DD1E0000}"/>
    <cellStyle name="Normal - Style1 8" xfId="7890" xr:uid="{00000000-0005-0000-0000-0000DE1E0000}"/>
    <cellStyle name="Normal - Style1_(C) WHE Proforma with ITC cash grant 10 Yr Amort_for deferral_102809" xfId="7891" xr:uid="{00000000-0005-0000-0000-0000DF1E0000}"/>
    <cellStyle name="Normal 1" xfId="7892" xr:uid="{00000000-0005-0000-0000-0000E01E0000}"/>
    <cellStyle name="Normal 1 2" xfId="7893" xr:uid="{00000000-0005-0000-0000-0000E11E0000}"/>
    <cellStyle name="Normal 10" xfId="7894" xr:uid="{00000000-0005-0000-0000-0000E21E0000}"/>
    <cellStyle name="Normal 10 2" xfId="7895" xr:uid="{00000000-0005-0000-0000-0000E31E0000}"/>
    <cellStyle name="Normal 10 2 2" xfId="7896" xr:uid="{00000000-0005-0000-0000-0000E41E0000}"/>
    <cellStyle name="Normal 10 2 2 2" xfId="7897" xr:uid="{00000000-0005-0000-0000-0000E51E0000}"/>
    <cellStyle name="Normal 10 2 2 3" xfId="7898" xr:uid="{00000000-0005-0000-0000-0000E61E0000}"/>
    <cellStyle name="Normal 10 2 3" xfId="7899" xr:uid="{00000000-0005-0000-0000-0000E71E0000}"/>
    <cellStyle name="Normal 10 2 4" xfId="7900" xr:uid="{00000000-0005-0000-0000-0000E81E0000}"/>
    <cellStyle name="Normal 10 3" xfId="7901" xr:uid="{00000000-0005-0000-0000-0000E91E0000}"/>
    <cellStyle name="Normal 10 3 2" xfId="7902" xr:uid="{00000000-0005-0000-0000-0000EA1E0000}"/>
    <cellStyle name="Normal 10 3 2 2" xfId="7903" xr:uid="{00000000-0005-0000-0000-0000EB1E0000}"/>
    <cellStyle name="Normal 10 3 3" xfId="7904" xr:uid="{00000000-0005-0000-0000-0000EC1E0000}"/>
    <cellStyle name="Normal 10 3 4" xfId="7905" xr:uid="{00000000-0005-0000-0000-0000ED1E0000}"/>
    <cellStyle name="Normal 10 4" xfId="7906" xr:uid="{00000000-0005-0000-0000-0000EE1E0000}"/>
    <cellStyle name="Normal 10 4 2" xfId="7907" xr:uid="{00000000-0005-0000-0000-0000EF1E0000}"/>
    <cellStyle name="Normal 10 4 2 2" xfId="7908" xr:uid="{00000000-0005-0000-0000-0000F01E0000}"/>
    <cellStyle name="Normal 10 4 3" xfId="7909" xr:uid="{00000000-0005-0000-0000-0000F11E0000}"/>
    <cellStyle name="Normal 10 5" xfId="7910" xr:uid="{00000000-0005-0000-0000-0000F21E0000}"/>
    <cellStyle name="Normal 10 5 2" xfId="7911" xr:uid="{00000000-0005-0000-0000-0000F31E0000}"/>
    <cellStyle name="Normal 10 5 3" xfId="7912" xr:uid="{00000000-0005-0000-0000-0000F41E0000}"/>
    <cellStyle name="Normal 10 6" xfId="7913" xr:uid="{00000000-0005-0000-0000-0000F51E0000}"/>
    <cellStyle name="Normal 10 6 2" xfId="7914" xr:uid="{00000000-0005-0000-0000-0000F61E0000}"/>
    <cellStyle name="Normal 10 7" xfId="7915" xr:uid="{00000000-0005-0000-0000-0000F71E0000}"/>
    <cellStyle name="Normal 10 8" xfId="7916" xr:uid="{00000000-0005-0000-0000-0000F81E0000}"/>
    <cellStyle name="Normal 10 9" xfId="7917" xr:uid="{00000000-0005-0000-0000-0000F91E0000}"/>
    <cellStyle name="Normal 10_ Price Inputs" xfId="7918" xr:uid="{00000000-0005-0000-0000-0000FA1E0000}"/>
    <cellStyle name="Normal 100" xfId="7919" xr:uid="{00000000-0005-0000-0000-0000FB1E0000}"/>
    <cellStyle name="Normal 101" xfId="7920" xr:uid="{00000000-0005-0000-0000-0000FC1E0000}"/>
    <cellStyle name="Normal 102" xfId="7921" xr:uid="{00000000-0005-0000-0000-0000FD1E0000}"/>
    <cellStyle name="Normal 103" xfId="7922" xr:uid="{00000000-0005-0000-0000-0000FE1E0000}"/>
    <cellStyle name="Normal 104" xfId="7923" xr:uid="{00000000-0005-0000-0000-0000FF1E0000}"/>
    <cellStyle name="Normal 105" xfId="7924" xr:uid="{00000000-0005-0000-0000-0000001F0000}"/>
    <cellStyle name="Normal 106" xfId="7925" xr:uid="{00000000-0005-0000-0000-0000011F0000}"/>
    <cellStyle name="Normal 107" xfId="7926" xr:uid="{00000000-0005-0000-0000-0000021F0000}"/>
    <cellStyle name="Normal 108" xfId="7927" xr:uid="{00000000-0005-0000-0000-0000031F0000}"/>
    <cellStyle name="Normal 109" xfId="7928" xr:uid="{00000000-0005-0000-0000-0000041F0000}"/>
    <cellStyle name="Normal 11" xfId="7929" xr:uid="{00000000-0005-0000-0000-0000051F0000}"/>
    <cellStyle name="Normal 11 2" xfId="7930" xr:uid="{00000000-0005-0000-0000-0000061F0000}"/>
    <cellStyle name="Normal 11 2 2" xfId="7931" xr:uid="{00000000-0005-0000-0000-0000071F0000}"/>
    <cellStyle name="Normal 11 2 2 2" xfId="7932" xr:uid="{00000000-0005-0000-0000-0000081F0000}"/>
    <cellStyle name="Normal 11 2 3" xfId="7933" xr:uid="{00000000-0005-0000-0000-0000091F0000}"/>
    <cellStyle name="Normal 11 3" xfId="7934" xr:uid="{00000000-0005-0000-0000-00000A1F0000}"/>
    <cellStyle name="Normal 11 3 2" xfId="7935" xr:uid="{00000000-0005-0000-0000-00000B1F0000}"/>
    <cellStyle name="Normal 11 3 3" xfId="7936" xr:uid="{00000000-0005-0000-0000-00000C1F0000}"/>
    <cellStyle name="Normal 11 4" xfId="7937" xr:uid="{00000000-0005-0000-0000-00000D1F0000}"/>
    <cellStyle name="Normal 11 4 2" xfId="7938" xr:uid="{00000000-0005-0000-0000-00000E1F0000}"/>
    <cellStyle name="Normal 11 5" xfId="7939" xr:uid="{00000000-0005-0000-0000-00000F1F0000}"/>
    <cellStyle name="Normal 11 6" xfId="7940" xr:uid="{00000000-0005-0000-0000-0000101F0000}"/>
    <cellStyle name="Normal 11 7" xfId="7941" xr:uid="{00000000-0005-0000-0000-0000111F0000}"/>
    <cellStyle name="Normal 11_16.37E Wild Horse Expansion DeferralRevwrkingfile SF" xfId="7942" xr:uid="{00000000-0005-0000-0000-0000121F0000}"/>
    <cellStyle name="Normal 110" xfId="7943" xr:uid="{00000000-0005-0000-0000-0000131F0000}"/>
    <cellStyle name="Normal 111" xfId="7944" xr:uid="{00000000-0005-0000-0000-0000141F0000}"/>
    <cellStyle name="Normal 112" xfId="7945" xr:uid="{00000000-0005-0000-0000-0000151F0000}"/>
    <cellStyle name="Normal 112 2" xfId="7946" xr:uid="{00000000-0005-0000-0000-0000161F0000}"/>
    <cellStyle name="Normal 113" xfId="7947" xr:uid="{00000000-0005-0000-0000-0000171F0000}"/>
    <cellStyle name="Normal 114" xfId="7948" xr:uid="{00000000-0005-0000-0000-0000181F0000}"/>
    <cellStyle name="Normal 115" xfId="7949" xr:uid="{00000000-0005-0000-0000-0000191F0000}"/>
    <cellStyle name="Normal 116" xfId="7950" xr:uid="{00000000-0005-0000-0000-00001A1F0000}"/>
    <cellStyle name="Normal 116 2" xfId="7951" xr:uid="{00000000-0005-0000-0000-00001B1F0000}"/>
    <cellStyle name="Normal 117" xfId="7952" xr:uid="{00000000-0005-0000-0000-00001C1F0000}"/>
    <cellStyle name="Normal 118" xfId="7953" xr:uid="{00000000-0005-0000-0000-00001D1F0000}"/>
    <cellStyle name="Normal 119" xfId="7954" xr:uid="{00000000-0005-0000-0000-00001E1F0000}"/>
    <cellStyle name="Normal 12" xfId="7955" xr:uid="{00000000-0005-0000-0000-00001F1F0000}"/>
    <cellStyle name="Normal 12 2" xfId="7956" xr:uid="{00000000-0005-0000-0000-0000201F0000}"/>
    <cellStyle name="Normal 12 2 2" xfId="7957" xr:uid="{00000000-0005-0000-0000-0000211F0000}"/>
    <cellStyle name="Normal 12 2 2 2" xfId="7958" xr:uid="{00000000-0005-0000-0000-0000221F0000}"/>
    <cellStyle name="Normal 12 2 3" xfId="7959" xr:uid="{00000000-0005-0000-0000-0000231F0000}"/>
    <cellStyle name="Normal 12 3" xfId="7960" xr:uid="{00000000-0005-0000-0000-0000241F0000}"/>
    <cellStyle name="Normal 12 3 2" xfId="7961" xr:uid="{00000000-0005-0000-0000-0000251F0000}"/>
    <cellStyle name="Normal 12 3 3" xfId="7962" xr:uid="{00000000-0005-0000-0000-0000261F0000}"/>
    <cellStyle name="Normal 12 4" xfId="7963" xr:uid="{00000000-0005-0000-0000-0000271F0000}"/>
    <cellStyle name="Normal 12 4 2" xfId="7964" xr:uid="{00000000-0005-0000-0000-0000281F0000}"/>
    <cellStyle name="Normal 12 5" xfId="7965" xr:uid="{00000000-0005-0000-0000-0000291F0000}"/>
    <cellStyle name="Normal 12 6" xfId="7966" xr:uid="{00000000-0005-0000-0000-00002A1F0000}"/>
    <cellStyle name="Normal 12 7" xfId="7967" xr:uid="{00000000-0005-0000-0000-00002B1F0000}"/>
    <cellStyle name="Normal 12_2011 CBR Rev Calc by schedule" xfId="7968" xr:uid="{00000000-0005-0000-0000-00002C1F0000}"/>
    <cellStyle name="Normal 120" xfId="7969" xr:uid="{00000000-0005-0000-0000-00002D1F0000}"/>
    <cellStyle name="Normal 121" xfId="7970" xr:uid="{00000000-0005-0000-0000-00002E1F0000}"/>
    <cellStyle name="Normal 122" xfId="7971" xr:uid="{00000000-0005-0000-0000-00002F1F0000}"/>
    <cellStyle name="Normal 123" xfId="7972" xr:uid="{00000000-0005-0000-0000-0000301F0000}"/>
    <cellStyle name="Normal 124" xfId="7973" xr:uid="{00000000-0005-0000-0000-0000311F0000}"/>
    <cellStyle name="Normal 125" xfId="7974" xr:uid="{00000000-0005-0000-0000-0000321F0000}"/>
    <cellStyle name="Normal 126" xfId="7975" xr:uid="{00000000-0005-0000-0000-0000331F0000}"/>
    <cellStyle name="Normal 127" xfId="7976" xr:uid="{00000000-0005-0000-0000-0000341F0000}"/>
    <cellStyle name="Normal 128" xfId="7977" xr:uid="{00000000-0005-0000-0000-0000351F0000}"/>
    <cellStyle name="Normal 129" xfId="7978" xr:uid="{00000000-0005-0000-0000-0000361F0000}"/>
    <cellStyle name="Normal 13" xfId="7979" xr:uid="{00000000-0005-0000-0000-0000371F0000}"/>
    <cellStyle name="Normal 13 2" xfId="7980" xr:uid="{00000000-0005-0000-0000-0000381F0000}"/>
    <cellStyle name="Normal 13 2 2" xfId="7981" xr:uid="{00000000-0005-0000-0000-0000391F0000}"/>
    <cellStyle name="Normal 13 2 2 2" xfId="7982" xr:uid="{00000000-0005-0000-0000-00003A1F0000}"/>
    <cellStyle name="Normal 13 2 3" xfId="7983" xr:uid="{00000000-0005-0000-0000-00003B1F0000}"/>
    <cellStyle name="Normal 13 3" xfId="7984" xr:uid="{00000000-0005-0000-0000-00003C1F0000}"/>
    <cellStyle name="Normal 13 3 2" xfId="7985" xr:uid="{00000000-0005-0000-0000-00003D1F0000}"/>
    <cellStyle name="Normal 13 3 3" xfId="7986" xr:uid="{00000000-0005-0000-0000-00003E1F0000}"/>
    <cellStyle name="Normal 13 4" xfId="7987" xr:uid="{00000000-0005-0000-0000-00003F1F0000}"/>
    <cellStyle name="Normal 13 4 2" xfId="7988" xr:uid="{00000000-0005-0000-0000-0000401F0000}"/>
    <cellStyle name="Normal 13 5" xfId="7989" xr:uid="{00000000-0005-0000-0000-0000411F0000}"/>
    <cellStyle name="Normal 13 6" xfId="7990" xr:uid="{00000000-0005-0000-0000-0000421F0000}"/>
    <cellStyle name="Normal 13 7" xfId="7991" xr:uid="{00000000-0005-0000-0000-0000431F0000}"/>
    <cellStyle name="Normal 13_2011 CBR Rev Calc by schedule" xfId="7992" xr:uid="{00000000-0005-0000-0000-0000441F0000}"/>
    <cellStyle name="Normal 130" xfId="7993" xr:uid="{00000000-0005-0000-0000-0000451F0000}"/>
    <cellStyle name="Normal 131" xfId="7994" xr:uid="{00000000-0005-0000-0000-0000461F0000}"/>
    <cellStyle name="Normal 132" xfId="7995" xr:uid="{00000000-0005-0000-0000-0000471F0000}"/>
    <cellStyle name="Normal 133" xfId="7996" xr:uid="{00000000-0005-0000-0000-0000481F0000}"/>
    <cellStyle name="Normal 134" xfId="7997" xr:uid="{00000000-0005-0000-0000-0000491F0000}"/>
    <cellStyle name="Normal 135" xfId="7998" xr:uid="{00000000-0005-0000-0000-00004A1F0000}"/>
    <cellStyle name="Normal 136" xfId="7999" xr:uid="{00000000-0005-0000-0000-00004B1F0000}"/>
    <cellStyle name="Normal 137" xfId="8000" xr:uid="{00000000-0005-0000-0000-00004C1F0000}"/>
    <cellStyle name="Normal 138" xfId="8001" xr:uid="{00000000-0005-0000-0000-00004D1F0000}"/>
    <cellStyle name="Normal 139" xfId="8002" xr:uid="{00000000-0005-0000-0000-00004E1F0000}"/>
    <cellStyle name="Normal 14" xfId="8003" xr:uid="{00000000-0005-0000-0000-00004F1F0000}"/>
    <cellStyle name="Normal 14 2" xfId="8004" xr:uid="{00000000-0005-0000-0000-0000501F0000}"/>
    <cellStyle name="Normal 14 2 2" xfId="8005" xr:uid="{00000000-0005-0000-0000-0000511F0000}"/>
    <cellStyle name="Normal 14 3" xfId="8006" xr:uid="{00000000-0005-0000-0000-0000521F0000}"/>
    <cellStyle name="Normal 14 4" xfId="8007" xr:uid="{00000000-0005-0000-0000-0000531F0000}"/>
    <cellStyle name="Normal 14_2011 CBR Rev Calc by schedule" xfId="8008" xr:uid="{00000000-0005-0000-0000-0000541F0000}"/>
    <cellStyle name="Normal 140" xfId="8009" xr:uid="{00000000-0005-0000-0000-0000551F0000}"/>
    <cellStyle name="Normal 141" xfId="8010" xr:uid="{00000000-0005-0000-0000-0000561F0000}"/>
    <cellStyle name="Normal 142" xfId="8011" xr:uid="{00000000-0005-0000-0000-0000571F0000}"/>
    <cellStyle name="Normal 143" xfId="8012" xr:uid="{00000000-0005-0000-0000-0000581F0000}"/>
    <cellStyle name="Normal 144" xfId="8013" xr:uid="{00000000-0005-0000-0000-0000591F0000}"/>
    <cellStyle name="Normal 145" xfId="8014" xr:uid="{00000000-0005-0000-0000-00005A1F0000}"/>
    <cellStyle name="Normal 146" xfId="8015" xr:uid="{00000000-0005-0000-0000-00005B1F0000}"/>
    <cellStyle name="Normal 147" xfId="8016" xr:uid="{00000000-0005-0000-0000-00005C1F0000}"/>
    <cellStyle name="Normal 148" xfId="8017" xr:uid="{00000000-0005-0000-0000-00005D1F0000}"/>
    <cellStyle name="Normal 149" xfId="8018" xr:uid="{00000000-0005-0000-0000-00005E1F0000}"/>
    <cellStyle name="Normal 15" xfId="8019" xr:uid="{00000000-0005-0000-0000-00005F1F0000}"/>
    <cellStyle name="Normal 15 2" xfId="8020" xr:uid="{00000000-0005-0000-0000-0000601F0000}"/>
    <cellStyle name="Normal 15 3" xfId="8021" xr:uid="{00000000-0005-0000-0000-0000611F0000}"/>
    <cellStyle name="Normal 15 3 2" xfId="8022" xr:uid="{00000000-0005-0000-0000-0000621F0000}"/>
    <cellStyle name="Normal 15 3 3" xfId="8023" xr:uid="{00000000-0005-0000-0000-0000631F0000}"/>
    <cellStyle name="Normal 15 4" xfId="8024" xr:uid="{00000000-0005-0000-0000-0000641F0000}"/>
    <cellStyle name="Normal 15 4 2" xfId="8025" xr:uid="{00000000-0005-0000-0000-0000651F0000}"/>
    <cellStyle name="Normal 15 5" xfId="8026" xr:uid="{00000000-0005-0000-0000-0000661F0000}"/>
    <cellStyle name="Normal 15 6" xfId="8027" xr:uid="{00000000-0005-0000-0000-0000671F0000}"/>
    <cellStyle name="Normal 15 7" xfId="8028" xr:uid="{00000000-0005-0000-0000-0000681F0000}"/>
    <cellStyle name="Normal 15_2011 CBR Rev Calc by schedule" xfId="8029" xr:uid="{00000000-0005-0000-0000-0000691F0000}"/>
    <cellStyle name="Normal 150" xfId="8030" xr:uid="{00000000-0005-0000-0000-00006A1F0000}"/>
    <cellStyle name="Normal 151" xfId="8031" xr:uid="{00000000-0005-0000-0000-00006B1F0000}"/>
    <cellStyle name="Normal 152" xfId="9513" xr:uid="{00000000-0005-0000-0000-00006C1F0000}"/>
    <cellStyle name="Normal 152 2" xfId="9551" xr:uid="{00000000-0005-0000-0000-00006D1F0000}"/>
    <cellStyle name="Normal 152 3" xfId="9549" xr:uid="{00000000-0005-0000-0000-00006E1F0000}"/>
    <cellStyle name="Normal 153" xfId="9520" xr:uid="{00000000-0005-0000-0000-00006F1F0000}"/>
    <cellStyle name="Normal 153 2" xfId="9552" xr:uid="{00000000-0005-0000-0000-0000701F0000}"/>
    <cellStyle name="Normal 153 3" xfId="9550" xr:uid="{00000000-0005-0000-0000-0000711F0000}"/>
    <cellStyle name="Normal 154" xfId="9512" xr:uid="{00000000-0005-0000-0000-0000721F0000}"/>
    <cellStyle name="Normal 154 2" xfId="9553" xr:uid="{00000000-0005-0000-0000-0000731F0000}"/>
    <cellStyle name="Normal 154 3" xfId="9548" xr:uid="{00000000-0005-0000-0000-0000741F0000}"/>
    <cellStyle name="Normal 155" xfId="9506" xr:uid="{00000000-0005-0000-0000-0000751F0000}"/>
    <cellStyle name="Normal 155 2" xfId="9554" xr:uid="{00000000-0005-0000-0000-0000761F0000}"/>
    <cellStyle name="Normal 155 3" xfId="9547" xr:uid="{00000000-0005-0000-0000-0000771F0000}"/>
    <cellStyle name="Normal 156" xfId="9536" xr:uid="{00000000-0005-0000-0000-0000781F0000}"/>
    <cellStyle name="Normal 16" xfId="8032" xr:uid="{00000000-0005-0000-0000-0000791F0000}"/>
    <cellStyle name="Normal 16 2" xfId="8033" xr:uid="{00000000-0005-0000-0000-00007A1F0000}"/>
    <cellStyle name="Normal 16 3" xfId="8034" xr:uid="{00000000-0005-0000-0000-00007B1F0000}"/>
    <cellStyle name="Normal 16 3 2" xfId="8035" xr:uid="{00000000-0005-0000-0000-00007C1F0000}"/>
    <cellStyle name="Normal 16 3 3" xfId="8036" xr:uid="{00000000-0005-0000-0000-00007D1F0000}"/>
    <cellStyle name="Normal 16 4" xfId="8037" xr:uid="{00000000-0005-0000-0000-00007E1F0000}"/>
    <cellStyle name="Normal 16 4 2" xfId="8038" xr:uid="{00000000-0005-0000-0000-00007F1F0000}"/>
    <cellStyle name="Normal 16 5" xfId="8039" xr:uid="{00000000-0005-0000-0000-0000801F0000}"/>
    <cellStyle name="Normal 16 6" xfId="8040" xr:uid="{00000000-0005-0000-0000-0000811F0000}"/>
    <cellStyle name="Normal 16 7" xfId="8041" xr:uid="{00000000-0005-0000-0000-0000821F0000}"/>
    <cellStyle name="Normal 16_2011 CBR Rev Calc by schedule" xfId="8042" xr:uid="{00000000-0005-0000-0000-0000831F0000}"/>
    <cellStyle name="Normal 17" xfId="8043" xr:uid="{00000000-0005-0000-0000-0000841F0000}"/>
    <cellStyle name="Normal 17 2" xfId="8044" xr:uid="{00000000-0005-0000-0000-0000851F0000}"/>
    <cellStyle name="Normal 17 3" xfId="8045" xr:uid="{00000000-0005-0000-0000-0000861F0000}"/>
    <cellStyle name="Normal 17 3 2" xfId="8046" xr:uid="{00000000-0005-0000-0000-0000871F0000}"/>
    <cellStyle name="Normal 17 4" xfId="8047" xr:uid="{00000000-0005-0000-0000-0000881F0000}"/>
    <cellStyle name="Normal 17 5" xfId="8048" xr:uid="{00000000-0005-0000-0000-0000891F0000}"/>
    <cellStyle name="Normal 18" xfId="8049" xr:uid="{00000000-0005-0000-0000-00008A1F0000}"/>
    <cellStyle name="Normal 18 2" xfId="8050" xr:uid="{00000000-0005-0000-0000-00008B1F0000}"/>
    <cellStyle name="Normal 18 3" xfId="8051" xr:uid="{00000000-0005-0000-0000-00008C1F0000}"/>
    <cellStyle name="Normal 18 3 2" xfId="8052" xr:uid="{00000000-0005-0000-0000-00008D1F0000}"/>
    <cellStyle name="Normal 18 4" xfId="8053" xr:uid="{00000000-0005-0000-0000-00008E1F0000}"/>
    <cellStyle name="Normal 18 5" xfId="8054" xr:uid="{00000000-0005-0000-0000-00008F1F0000}"/>
    <cellStyle name="Normal 19" xfId="8055" xr:uid="{00000000-0005-0000-0000-0000901F0000}"/>
    <cellStyle name="Normal 19 2" xfId="8056" xr:uid="{00000000-0005-0000-0000-0000911F0000}"/>
    <cellStyle name="Normal 19 3" xfId="8057" xr:uid="{00000000-0005-0000-0000-0000921F0000}"/>
    <cellStyle name="Normal 19 3 2" xfId="8058" xr:uid="{00000000-0005-0000-0000-0000931F0000}"/>
    <cellStyle name="Normal 19 4" xfId="8059" xr:uid="{00000000-0005-0000-0000-0000941F0000}"/>
    <cellStyle name="Normal 2" xfId="4" xr:uid="{00000000-0005-0000-0000-0000951F0000}"/>
    <cellStyle name="Normal 2 10" xfId="8060" xr:uid="{00000000-0005-0000-0000-0000961F0000}"/>
    <cellStyle name="Normal 2 10 2" xfId="8061" xr:uid="{00000000-0005-0000-0000-0000971F0000}"/>
    <cellStyle name="Normal 2 10 2 2" xfId="8062" xr:uid="{00000000-0005-0000-0000-0000981F0000}"/>
    <cellStyle name="Normal 2 10 3" xfId="8063" xr:uid="{00000000-0005-0000-0000-0000991F0000}"/>
    <cellStyle name="Normal 2 11" xfId="8064" xr:uid="{00000000-0005-0000-0000-00009A1F0000}"/>
    <cellStyle name="Normal 2 11 2" xfId="8065" xr:uid="{00000000-0005-0000-0000-00009B1F0000}"/>
    <cellStyle name="Normal 2 12" xfId="8066" xr:uid="{00000000-0005-0000-0000-00009C1F0000}"/>
    <cellStyle name="Normal 2 13" xfId="9542" xr:uid="{00000000-0005-0000-0000-00009D1F0000}"/>
    <cellStyle name="Normal 2 2" xfId="8067" xr:uid="{00000000-0005-0000-0000-00009E1F0000}"/>
    <cellStyle name="Normal 2 2 10" xfId="8068" xr:uid="{00000000-0005-0000-0000-00009F1F0000}"/>
    <cellStyle name="Normal 2 2 11" xfId="8069" xr:uid="{00000000-0005-0000-0000-0000A01F0000}"/>
    <cellStyle name="Normal 2 2 2" xfId="8070" xr:uid="{00000000-0005-0000-0000-0000A11F0000}"/>
    <cellStyle name="Normal 2 2 2 2" xfId="8071" xr:uid="{00000000-0005-0000-0000-0000A21F0000}"/>
    <cellStyle name="Normal 2 2 2 2 2" xfId="8072" xr:uid="{00000000-0005-0000-0000-0000A31F0000}"/>
    <cellStyle name="Normal 2 2 2 3" xfId="8073" xr:uid="{00000000-0005-0000-0000-0000A41F0000}"/>
    <cellStyle name="Normal 2 2 2 3 2" xfId="8074" xr:uid="{00000000-0005-0000-0000-0000A51F0000}"/>
    <cellStyle name="Normal 2 2 2 4" xfId="8075" xr:uid="{00000000-0005-0000-0000-0000A61F0000}"/>
    <cellStyle name="Normal 2 2 2 5" xfId="8076" xr:uid="{00000000-0005-0000-0000-0000A71F0000}"/>
    <cellStyle name="Normal 2 2 2 6" xfId="8077" xr:uid="{00000000-0005-0000-0000-0000A81F0000}"/>
    <cellStyle name="Normal 2 2 2 7" xfId="8078" xr:uid="{00000000-0005-0000-0000-0000A91F0000}"/>
    <cellStyle name="Normal 2 2 2_Chelan PUD Power Costs (8-10)" xfId="8079" xr:uid="{00000000-0005-0000-0000-0000AA1F0000}"/>
    <cellStyle name="Normal 2 2 3" xfId="8080" xr:uid="{00000000-0005-0000-0000-0000AB1F0000}"/>
    <cellStyle name="Normal 2 2 3 2" xfId="8081" xr:uid="{00000000-0005-0000-0000-0000AC1F0000}"/>
    <cellStyle name="Normal 2 2 3 3" xfId="8082" xr:uid="{00000000-0005-0000-0000-0000AD1F0000}"/>
    <cellStyle name="Normal 2 2 4" xfId="8083" xr:uid="{00000000-0005-0000-0000-0000AE1F0000}"/>
    <cellStyle name="Normal 2 2 4 2" xfId="8084" xr:uid="{00000000-0005-0000-0000-0000AF1F0000}"/>
    <cellStyle name="Normal 2 2 5" xfId="8085" xr:uid="{00000000-0005-0000-0000-0000B01F0000}"/>
    <cellStyle name="Normal 2 2 6" xfId="8086" xr:uid="{00000000-0005-0000-0000-0000B11F0000}"/>
    <cellStyle name="Normal 2 2 7" xfId="8087" xr:uid="{00000000-0005-0000-0000-0000B21F0000}"/>
    <cellStyle name="Normal 2 2 8" xfId="8088" xr:uid="{00000000-0005-0000-0000-0000B31F0000}"/>
    <cellStyle name="Normal 2 2 9" xfId="8089" xr:uid="{00000000-0005-0000-0000-0000B41F0000}"/>
    <cellStyle name="Normal 2 2_ Price Inputs" xfId="8090" xr:uid="{00000000-0005-0000-0000-0000B51F0000}"/>
    <cellStyle name="Normal 2 23" xfId="9546" xr:uid="{00000000-0005-0000-0000-0000B61F0000}"/>
    <cellStyle name="Normal 2 3" xfId="8091" xr:uid="{00000000-0005-0000-0000-0000B71F0000}"/>
    <cellStyle name="Normal 2 3 2" xfId="8092" xr:uid="{00000000-0005-0000-0000-0000B81F0000}"/>
    <cellStyle name="Normal 2 3 3" xfId="8093" xr:uid="{00000000-0005-0000-0000-0000B91F0000}"/>
    <cellStyle name="Normal 2 3 4" xfId="8094" xr:uid="{00000000-0005-0000-0000-0000BA1F0000}"/>
    <cellStyle name="Normal 2 3 5" xfId="9540" xr:uid="{00000000-0005-0000-0000-0000BB1F0000}"/>
    <cellStyle name="Normal 2 4" xfId="8095" xr:uid="{00000000-0005-0000-0000-0000BC1F0000}"/>
    <cellStyle name="Normal 2 4 2" xfId="8096" xr:uid="{00000000-0005-0000-0000-0000BD1F0000}"/>
    <cellStyle name="Normal 2 4 3" xfId="8097" xr:uid="{00000000-0005-0000-0000-0000BE1F0000}"/>
    <cellStyle name="Normal 2 5" xfId="8098" xr:uid="{00000000-0005-0000-0000-0000BF1F0000}"/>
    <cellStyle name="Normal 2 5 2" xfId="8099" xr:uid="{00000000-0005-0000-0000-0000C01F0000}"/>
    <cellStyle name="Normal 2 5 3" xfId="8100" xr:uid="{00000000-0005-0000-0000-0000C11F0000}"/>
    <cellStyle name="Normal 2 6" xfId="8101" xr:uid="{00000000-0005-0000-0000-0000C21F0000}"/>
    <cellStyle name="Normal 2 6 2" xfId="8102" xr:uid="{00000000-0005-0000-0000-0000C31F0000}"/>
    <cellStyle name="Normal 2 6 2 2" xfId="8103" xr:uid="{00000000-0005-0000-0000-0000C41F0000}"/>
    <cellStyle name="Normal 2 6 3" xfId="8104" xr:uid="{00000000-0005-0000-0000-0000C51F0000}"/>
    <cellStyle name="Normal 2 6 4" xfId="8105" xr:uid="{00000000-0005-0000-0000-0000C61F0000}"/>
    <cellStyle name="Normal 2 6 5" xfId="8106" xr:uid="{00000000-0005-0000-0000-0000C71F0000}"/>
    <cellStyle name="Normal 2 6 6" xfId="8107" xr:uid="{00000000-0005-0000-0000-0000C81F0000}"/>
    <cellStyle name="Normal 2 7" xfId="8108" xr:uid="{00000000-0005-0000-0000-0000C91F0000}"/>
    <cellStyle name="Normal 2 7 2" xfId="8109" xr:uid="{00000000-0005-0000-0000-0000CA1F0000}"/>
    <cellStyle name="Normal 2 7 2 2" xfId="8110" xr:uid="{00000000-0005-0000-0000-0000CB1F0000}"/>
    <cellStyle name="Normal 2 7 3" xfId="8111" xr:uid="{00000000-0005-0000-0000-0000CC1F0000}"/>
    <cellStyle name="Normal 2 7 4" xfId="8112" xr:uid="{00000000-0005-0000-0000-0000CD1F0000}"/>
    <cellStyle name="Normal 2 8" xfId="8113" xr:uid="{00000000-0005-0000-0000-0000CE1F0000}"/>
    <cellStyle name="Normal 2 8 2" xfId="8114" xr:uid="{00000000-0005-0000-0000-0000CF1F0000}"/>
    <cellStyle name="Normal 2 8 2 2" xfId="8115" xr:uid="{00000000-0005-0000-0000-0000D01F0000}"/>
    <cellStyle name="Normal 2 8 2 2 2" xfId="8116" xr:uid="{00000000-0005-0000-0000-0000D11F0000}"/>
    <cellStyle name="Normal 2 8 2 3" xfId="8117" xr:uid="{00000000-0005-0000-0000-0000D21F0000}"/>
    <cellStyle name="Normal 2 8 3" xfId="8118" xr:uid="{00000000-0005-0000-0000-0000D31F0000}"/>
    <cellStyle name="Normal 2 8 3 2" xfId="8119" xr:uid="{00000000-0005-0000-0000-0000D41F0000}"/>
    <cellStyle name="Normal 2 8 4" xfId="8120" xr:uid="{00000000-0005-0000-0000-0000D51F0000}"/>
    <cellStyle name="Normal 2 8 5" xfId="8121" xr:uid="{00000000-0005-0000-0000-0000D61F0000}"/>
    <cellStyle name="Normal 2 9" xfId="8122" xr:uid="{00000000-0005-0000-0000-0000D71F0000}"/>
    <cellStyle name="Normal 2 9 2" xfId="8123" xr:uid="{00000000-0005-0000-0000-0000D81F0000}"/>
    <cellStyle name="Normal 2 9 2 2" xfId="8124" xr:uid="{00000000-0005-0000-0000-0000D91F0000}"/>
    <cellStyle name="Normal 2 9 3" xfId="8125" xr:uid="{00000000-0005-0000-0000-0000DA1F0000}"/>
    <cellStyle name="Normal 2 9 4" xfId="8126" xr:uid="{00000000-0005-0000-0000-0000DB1F0000}"/>
    <cellStyle name="Normal 2_16.37E Wild Horse Expansion DeferralRevwrkingfile SF" xfId="8127" xr:uid="{00000000-0005-0000-0000-0000DC1F0000}"/>
    <cellStyle name="Normal 20" xfId="8128" xr:uid="{00000000-0005-0000-0000-0000DD1F0000}"/>
    <cellStyle name="Normal 20 2" xfId="8129" xr:uid="{00000000-0005-0000-0000-0000DE1F0000}"/>
    <cellStyle name="Normal 20 2 2" xfId="8130" xr:uid="{00000000-0005-0000-0000-0000DF1F0000}"/>
    <cellStyle name="Normal 20 3" xfId="8131" xr:uid="{00000000-0005-0000-0000-0000E01F0000}"/>
    <cellStyle name="Normal 20 3 2" xfId="8132" xr:uid="{00000000-0005-0000-0000-0000E11F0000}"/>
    <cellStyle name="Normal 20 4" xfId="8133" xr:uid="{00000000-0005-0000-0000-0000E21F0000}"/>
    <cellStyle name="Normal 20 4 2" xfId="8134" xr:uid="{00000000-0005-0000-0000-0000E31F0000}"/>
    <cellStyle name="Normal 20 5" xfId="8135" xr:uid="{00000000-0005-0000-0000-0000E41F0000}"/>
    <cellStyle name="Normal 20 6" xfId="8136" xr:uid="{00000000-0005-0000-0000-0000E51F0000}"/>
    <cellStyle name="Normal 21" xfId="8137" xr:uid="{00000000-0005-0000-0000-0000E61F0000}"/>
    <cellStyle name="Normal 21 2" xfId="8138" xr:uid="{00000000-0005-0000-0000-0000E71F0000}"/>
    <cellStyle name="Normal 21 2 2" xfId="8139" xr:uid="{00000000-0005-0000-0000-0000E81F0000}"/>
    <cellStyle name="Normal 21 2 3" xfId="8140" xr:uid="{00000000-0005-0000-0000-0000E91F0000}"/>
    <cellStyle name="Normal 21 3" xfId="8141" xr:uid="{00000000-0005-0000-0000-0000EA1F0000}"/>
    <cellStyle name="Normal 21 3 2" xfId="8142" xr:uid="{00000000-0005-0000-0000-0000EB1F0000}"/>
    <cellStyle name="Normal 21 4" xfId="8143" xr:uid="{00000000-0005-0000-0000-0000EC1F0000}"/>
    <cellStyle name="Normal 21 5" xfId="8144" xr:uid="{00000000-0005-0000-0000-0000ED1F0000}"/>
    <cellStyle name="Normal 21 6" xfId="8145" xr:uid="{00000000-0005-0000-0000-0000EE1F0000}"/>
    <cellStyle name="Normal 22" xfId="8146" xr:uid="{00000000-0005-0000-0000-0000EF1F0000}"/>
    <cellStyle name="Normal 22 2" xfId="8147" xr:uid="{00000000-0005-0000-0000-0000F01F0000}"/>
    <cellStyle name="Normal 22 2 2" xfId="8148" xr:uid="{00000000-0005-0000-0000-0000F11F0000}"/>
    <cellStyle name="Normal 22 2 3" xfId="8149" xr:uid="{00000000-0005-0000-0000-0000F21F0000}"/>
    <cellStyle name="Normal 22 3" xfId="8150" xr:uid="{00000000-0005-0000-0000-0000F31F0000}"/>
    <cellStyle name="Normal 22 3 2" xfId="8151" xr:uid="{00000000-0005-0000-0000-0000F41F0000}"/>
    <cellStyle name="Normal 22 4" xfId="8152" xr:uid="{00000000-0005-0000-0000-0000F51F0000}"/>
    <cellStyle name="Normal 22 5" xfId="8153" xr:uid="{00000000-0005-0000-0000-0000F61F0000}"/>
    <cellStyle name="Normal 22 6" xfId="8154" xr:uid="{00000000-0005-0000-0000-0000F71F0000}"/>
    <cellStyle name="Normal 23" xfId="8155" xr:uid="{00000000-0005-0000-0000-0000F81F0000}"/>
    <cellStyle name="Normal 23 2" xfId="8156" xr:uid="{00000000-0005-0000-0000-0000F91F0000}"/>
    <cellStyle name="Normal 23 2 2" xfId="8157" xr:uid="{00000000-0005-0000-0000-0000FA1F0000}"/>
    <cellStyle name="Normal 23 2 3" xfId="8158" xr:uid="{00000000-0005-0000-0000-0000FB1F0000}"/>
    <cellStyle name="Normal 23 3" xfId="8159" xr:uid="{00000000-0005-0000-0000-0000FC1F0000}"/>
    <cellStyle name="Normal 23 3 2" xfId="8160" xr:uid="{00000000-0005-0000-0000-0000FD1F0000}"/>
    <cellStyle name="Normal 23 4" xfId="8161" xr:uid="{00000000-0005-0000-0000-0000FE1F0000}"/>
    <cellStyle name="Normal 23 5" xfId="8162" xr:uid="{00000000-0005-0000-0000-0000FF1F0000}"/>
    <cellStyle name="Normal 23 6" xfId="8163" xr:uid="{00000000-0005-0000-0000-000000200000}"/>
    <cellStyle name="Normal 24" xfId="8164" xr:uid="{00000000-0005-0000-0000-000001200000}"/>
    <cellStyle name="Normal 24 2" xfId="8165" xr:uid="{00000000-0005-0000-0000-000002200000}"/>
    <cellStyle name="Normal 24 2 2" xfId="8166" xr:uid="{00000000-0005-0000-0000-000003200000}"/>
    <cellStyle name="Normal 24 2 3" xfId="8167" xr:uid="{00000000-0005-0000-0000-000004200000}"/>
    <cellStyle name="Normal 24 3" xfId="8168" xr:uid="{00000000-0005-0000-0000-000005200000}"/>
    <cellStyle name="Normal 24 3 2" xfId="8169" xr:uid="{00000000-0005-0000-0000-000006200000}"/>
    <cellStyle name="Normal 24 4" xfId="8170" xr:uid="{00000000-0005-0000-0000-000007200000}"/>
    <cellStyle name="Normal 24 5" xfId="8171" xr:uid="{00000000-0005-0000-0000-000008200000}"/>
    <cellStyle name="Normal 25" xfId="8172" xr:uid="{00000000-0005-0000-0000-000009200000}"/>
    <cellStyle name="Normal 25 2" xfId="8173" xr:uid="{00000000-0005-0000-0000-00000A200000}"/>
    <cellStyle name="Normal 25 2 2" xfId="8174" xr:uid="{00000000-0005-0000-0000-00000B200000}"/>
    <cellStyle name="Normal 25 2 3" xfId="8175" xr:uid="{00000000-0005-0000-0000-00000C200000}"/>
    <cellStyle name="Normal 25 3" xfId="8176" xr:uid="{00000000-0005-0000-0000-00000D200000}"/>
    <cellStyle name="Normal 25 3 2" xfId="8177" xr:uid="{00000000-0005-0000-0000-00000E200000}"/>
    <cellStyle name="Normal 25 4" xfId="8178" xr:uid="{00000000-0005-0000-0000-00000F200000}"/>
    <cellStyle name="Normal 25 5" xfId="8179" xr:uid="{00000000-0005-0000-0000-000010200000}"/>
    <cellStyle name="Normal 26" xfId="8180" xr:uid="{00000000-0005-0000-0000-000011200000}"/>
    <cellStyle name="Normal 26 2" xfId="8181" xr:uid="{00000000-0005-0000-0000-000012200000}"/>
    <cellStyle name="Normal 26 2 2" xfId="8182" xr:uid="{00000000-0005-0000-0000-000013200000}"/>
    <cellStyle name="Normal 26 2 3" xfId="8183" xr:uid="{00000000-0005-0000-0000-000014200000}"/>
    <cellStyle name="Normal 26 3" xfId="8184" xr:uid="{00000000-0005-0000-0000-000015200000}"/>
    <cellStyle name="Normal 26 3 2" xfId="8185" xr:uid="{00000000-0005-0000-0000-000016200000}"/>
    <cellStyle name="Normal 26 4" xfId="8186" xr:uid="{00000000-0005-0000-0000-000017200000}"/>
    <cellStyle name="Normal 26 5" xfId="8187" xr:uid="{00000000-0005-0000-0000-000018200000}"/>
    <cellStyle name="Normal 27" xfId="8188" xr:uid="{00000000-0005-0000-0000-000019200000}"/>
    <cellStyle name="Normal 27 2" xfId="8189" xr:uid="{00000000-0005-0000-0000-00001A200000}"/>
    <cellStyle name="Normal 27 2 2" xfId="8190" xr:uid="{00000000-0005-0000-0000-00001B200000}"/>
    <cellStyle name="Normal 27 2 3" xfId="8191" xr:uid="{00000000-0005-0000-0000-00001C200000}"/>
    <cellStyle name="Normal 27 3" xfId="8192" xr:uid="{00000000-0005-0000-0000-00001D200000}"/>
    <cellStyle name="Normal 27 3 2" xfId="8193" xr:uid="{00000000-0005-0000-0000-00001E200000}"/>
    <cellStyle name="Normal 27 4" xfId="8194" xr:uid="{00000000-0005-0000-0000-00001F200000}"/>
    <cellStyle name="Normal 27 5" xfId="8195" xr:uid="{00000000-0005-0000-0000-000020200000}"/>
    <cellStyle name="Normal 28" xfId="8196" xr:uid="{00000000-0005-0000-0000-000021200000}"/>
    <cellStyle name="Normal 28 2" xfId="8197" xr:uid="{00000000-0005-0000-0000-000022200000}"/>
    <cellStyle name="Normal 28 2 2" xfId="8198" xr:uid="{00000000-0005-0000-0000-000023200000}"/>
    <cellStyle name="Normal 28 2 3" xfId="8199" xr:uid="{00000000-0005-0000-0000-000024200000}"/>
    <cellStyle name="Normal 28 3" xfId="8200" xr:uid="{00000000-0005-0000-0000-000025200000}"/>
    <cellStyle name="Normal 28 3 2" xfId="8201" xr:uid="{00000000-0005-0000-0000-000026200000}"/>
    <cellStyle name="Normal 28 4" xfId="8202" xr:uid="{00000000-0005-0000-0000-000027200000}"/>
    <cellStyle name="Normal 28 5" xfId="8203" xr:uid="{00000000-0005-0000-0000-000028200000}"/>
    <cellStyle name="Normal 29" xfId="8204" xr:uid="{00000000-0005-0000-0000-000029200000}"/>
    <cellStyle name="Normal 29 2" xfId="8205" xr:uid="{00000000-0005-0000-0000-00002A200000}"/>
    <cellStyle name="Normal 29 2 2" xfId="8206" xr:uid="{00000000-0005-0000-0000-00002B200000}"/>
    <cellStyle name="Normal 29 2 3" xfId="8207" xr:uid="{00000000-0005-0000-0000-00002C200000}"/>
    <cellStyle name="Normal 29 3" xfId="8208" xr:uid="{00000000-0005-0000-0000-00002D200000}"/>
    <cellStyle name="Normal 29 3 2" xfId="8209" xr:uid="{00000000-0005-0000-0000-00002E200000}"/>
    <cellStyle name="Normal 29 4" xfId="8210" xr:uid="{00000000-0005-0000-0000-00002F200000}"/>
    <cellStyle name="Normal 29 5" xfId="8211" xr:uid="{00000000-0005-0000-0000-000030200000}"/>
    <cellStyle name="Normal 3" xfId="8212" xr:uid="{00000000-0005-0000-0000-000031200000}"/>
    <cellStyle name="Normal 3 10" xfId="8213" xr:uid="{00000000-0005-0000-0000-000032200000}"/>
    <cellStyle name="Normal 3 11" xfId="9515" xr:uid="{00000000-0005-0000-0000-000033200000}"/>
    <cellStyle name="Normal 3 2" xfId="8214" xr:uid="{00000000-0005-0000-0000-000034200000}"/>
    <cellStyle name="Normal 3 2 2" xfId="8215" xr:uid="{00000000-0005-0000-0000-000035200000}"/>
    <cellStyle name="Normal 3 2 2 2" xfId="8216" xr:uid="{00000000-0005-0000-0000-000036200000}"/>
    <cellStyle name="Normal 3 2 3" xfId="8217" xr:uid="{00000000-0005-0000-0000-000037200000}"/>
    <cellStyle name="Normal 3 2 4" xfId="8218" xr:uid="{00000000-0005-0000-0000-000038200000}"/>
    <cellStyle name="Normal 3 2 5" xfId="8219" xr:uid="{00000000-0005-0000-0000-000039200000}"/>
    <cellStyle name="Normal 3 2 6" xfId="8220" xr:uid="{00000000-0005-0000-0000-00003A200000}"/>
    <cellStyle name="Normal 3 2 7" xfId="9529" xr:uid="{00000000-0005-0000-0000-00003B200000}"/>
    <cellStyle name="Normal 3 2_Chelan PUD Power Costs (8-10)" xfId="8221" xr:uid="{00000000-0005-0000-0000-00003C200000}"/>
    <cellStyle name="Normal 3 3" xfId="8222" xr:uid="{00000000-0005-0000-0000-00003D200000}"/>
    <cellStyle name="Normal 3 3 2" xfId="8223" xr:uid="{00000000-0005-0000-0000-00003E200000}"/>
    <cellStyle name="Normal 3 3 2 2" xfId="8224" xr:uid="{00000000-0005-0000-0000-00003F200000}"/>
    <cellStyle name="Normal 3 3 2 3" xfId="8225" xr:uid="{00000000-0005-0000-0000-000040200000}"/>
    <cellStyle name="Normal 3 3 3" xfId="8226" xr:uid="{00000000-0005-0000-0000-000041200000}"/>
    <cellStyle name="Normal 3 3 4" xfId="8227" xr:uid="{00000000-0005-0000-0000-000042200000}"/>
    <cellStyle name="Normal 3 3 5" xfId="8228" xr:uid="{00000000-0005-0000-0000-000043200000}"/>
    <cellStyle name="Normal 3 3 6" xfId="8229" xr:uid="{00000000-0005-0000-0000-000044200000}"/>
    <cellStyle name="Normal 3 4" xfId="8230" xr:uid="{00000000-0005-0000-0000-000045200000}"/>
    <cellStyle name="Normal 3 4 2" xfId="8231" xr:uid="{00000000-0005-0000-0000-000046200000}"/>
    <cellStyle name="Normal 3 4 2 2" xfId="8232" xr:uid="{00000000-0005-0000-0000-000047200000}"/>
    <cellStyle name="Normal 3 4 3" xfId="8233" xr:uid="{00000000-0005-0000-0000-000048200000}"/>
    <cellStyle name="Normal 3 4 3 2" xfId="8234" xr:uid="{00000000-0005-0000-0000-000049200000}"/>
    <cellStyle name="Normal 3 4 4" xfId="8235" xr:uid="{00000000-0005-0000-0000-00004A200000}"/>
    <cellStyle name="Normal 3 4 4 2" xfId="8236" xr:uid="{00000000-0005-0000-0000-00004B200000}"/>
    <cellStyle name="Normal 3 4 5" xfId="8237" xr:uid="{00000000-0005-0000-0000-00004C200000}"/>
    <cellStyle name="Normal 3 5" xfId="8238" xr:uid="{00000000-0005-0000-0000-00004D200000}"/>
    <cellStyle name="Normal 3 5 2" xfId="8239" xr:uid="{00000000-0005-0000-0000-00004E200000}"/>
    <cellStyle name="Normal 3 6" xfId="8240" xr:uid="{00000000-0005-0000-0000-00004F200000}"/>
    <cellStyle name="Normal 3 6 2" xfId="8241" xr:uid="{00000000-0005-0000-0000-000050200000}"/>
    <cellStyle name="Normal 3 7" xfId="8242" xr:uid="{00000000-0005-0000-0000-000051200000}"/>
    <cellStyle name="Normal 3 8" xfId="8243" xr:uid="{00000000-0005-0000-0000-000052200000}"/>
    <cellStyle name="Normal 3 9" xfId="8244" xr:uid="{00000000-0005-0000-0000-000053200000}"/>
    <cellStyle name="Normal 3_ Price Inputs" xfId="8245" xr:uid="{00000000-0005-0000-0000-000054200000}"/>
    <cellStyle name="Normal 30" xfId="8246" xr:uid="{00000000-0005-0000-0000-000055200000}"/>
    <cellStyle name="Normal 30 2" xfId="8247" xr:uid="{00000000-0005-0000-0000-000056200000}"/>
    <cellStyle name="Normal 30 2 2" xfId="8248" xr:uid="{00000000-0005-0000-0000-000057200000}"/>
    <cellStyle name="Normal 30 2 3" xfId="8249" xr:uid="{00000000-0005-0000-0000-000058200000}"/>
    <cellStyle name="Normal 30 3" xfId="8250" xr:uid="{00000000-0005-0000-0000-000059200000}"/>
    <cellStyle name="Normal 30 3 2" xfId="8251" xr:uid="{00000000-0005-0000-0000-00005A200000}"/>
    <cellStyle name="Normal 30 4" xfId="8252" xr:uid="{00000000-0005-0000-0000-00005B200000}"/>
    <cellStyle name="Normal 30 5" xfId="8253" xr:uid="{00000000-0005-0000-0000-00005C200000}"/>
    <cellStyle name="Normal 31" xfId="8254" xr:uid="{00000000-0005-0000-0000-00005D200000}"/>
    <cellStyle name="Normal 31 2" xfId="8255" xr:uid="{00000000-0005-0000-0000-00005E200000}"/>
    <cellStyle name="Normal 31 2 2" xfId="8256" xr:uid="{00000000-0005-0000-0000-00005F200000}"/>
    <cellStyle name="Normal 31 2 3" xfId="8257" xr:uid="{00000000-0005-0000-0000-000060200000}"/>
    <cellStyle name="Normal 31 3" xfId="8258" xr:uid="{00000000-0005-0000-0000-000061200000}"/>
    <cellStyle name="Normal 31 3 2" xfId="8259" xr:uid="{00000000-0005-0000-0000-000062200000}"/>
    <cellStyle name="Normal 31 4" xfId="8260" xr:uid="{00000000-0005-0000-0000-000063200000}"/>
    <cellStyle name="Normal 31 5" xfId="8261" xr:uid="{00000000-0005-0000-0000-000064200000}"/>
    <cellStyle name="Normal 32" xfId="8262" xr:uid="{00000000-0005-0000-0000-000065200000}"/>
    <cellStyle name="Normal 32 2" xfId="8263" xr:uid="{00000000-0005-0000-0000-000066200000}"/>
    <cellStyle name="Normal 32 2 2" xfId="8264" xr:uid="{00000000-0005-0000-0000-000067200000}"/>
    <cellStyle name="Normal 32 2 3" xfId="8265" xr:uid="{00000000-0005-0000-0000-000068200000}"/>
    <cellStyle name="Normal 32 3" xfId="8266" xr:uid="{00000000-0005-0000-0000-000069200000}"/>
    <cellStyle name="Normal 32 3 2" xfId="8267" xr:uid="{00000000-0005-0000-0000-00006A200000}"/>
    <cellStyle name="Normal 32 4" xfId="8268" xr:uid="{00000000-0005-0000-0000-00006B200000}"/>
    <cellStyle name="Normal 32 5" xfId="8269" xr:uid="{00000000-0005-0000-0000-00006C200000}"/>
    <cellStyle name="Normal 33" xfId="8270" xr:uid="{00000000-0005-0000-0000-00006D200000}"/>
    <cellStyle name="Normal 33 2" xfId="8271" xr:uid="{00000000-0005-0000-0000-00006E200000}"/>
    <cellStyle name="Normal 33 2 2" xfId="8272" xr:uid="{00000000-0005-0000-0000-00006F200000}"/>
    <cellStyle name="Normal 33 2 3" xfId="8273" xr:uid="{00000000-0005-0000-0000-000070200000}"/>
    <cellStyle name="Normal 33 3" xfId="8274" xr:uid="{00000000-0005-0000-0000-000071200000}"/>
    <cellStyle name="Normal 33 3 2" xfId="8275" xr:uid="{00000000-0005-0000-0000-000072200000}"/>
    <cellStyle name="Normal 33 4" xfId="8276" xr:uid="{00000000-0005-0000-0000-000073200000}"/>
    <cellStyle name="Normal 33 5" xfId="8277" xr:uid="{00000000-0005-0000-0000-000074200000}"/>
    <cellStyle name="Normal 34" xfId="8278" xr:uid="{00000000-0005-0000-0000-000075200000}"/>
    <cellStyle name="Normal 34 2" xfId="8279" xr:uid="{00000000-0005-0000-0000-000076200000}"/>
    <cellStyle name="Normal 34 2 2" xfId="8280" xr:uid="{00000000-0005-0000-0000-000077200000}"/>
    <cellStyle name="Normal 34 2 3" xfId="8281" xr:uid="{00000000-0005-0000-0000-000078200000}"/>
    <cellStyle name="Normal 34 3" xfId="8282" xr:uid="{00000000-0005-0000-0000-000079200000}"/>
    <cellStyle name="Normal 34 3 2" xfId="8283" xr:uid="{00000000-0005-0000-0000-00007A200000}"/>
    <cellStyle name="Normal 34 4" xfId="8284" xr:uid="{00000000-0005-0000-0000-00007B200000}"/>
    <cellStyle name="Normal 34 5" xfId="8285" xr:uid="{00000000-0005-0000-0000-00007C200000}"/>
    <cellStyle name="Normal 35" xfId="8286" xr:uid="{00000000-0005-0000-0000-00007D200000}"/>
    <cellStyle name="Normal 35 2" xfId="8287" xr:uid="{00000000-0005-0000-0000-00007E200000}"/>
    <cellStyle name="Normal 35 2 2" xfId="8288" xr:uid="{00000000-0005-0000-0000-00007F200000}"/>
    <cellStyle name="Normal 35 2 3" xfId="8289" xr:uid="{00000000-0005-0000-0000-000080200000}"/>
    <cellStyle name="Normal 35 3" xfId="8290" xr:uid="{00000000-0005-0000-0000-000081200000}"/>
    <cellStyle name="Normal 35 3 2" xfId="8291" xr:uid="{00000000-0005-0000-0000-000082200000}"/>
    <cellStyle name="Normal 35 4" xfId="8292" xr:uid="{00000000-0005-0000-0000-000083200000}"/>
    <cellStyle name="Normal 35 5" xfId="8293" xr:uid="{00000000-0005-0000-0000-000084200000}"/>
    <cellStyle name="Normal 36" xfId="8294" xr:uid="{00000000-0005-0000-0000-000085200000}"/>
    <cellStyle name="Normal 36 2" xfId="8295" xr:uid="{00000000-0005-0000-0000-000086200000}"/>
    <cellStyle name="Normal 36 2 2" xfId="8296" xr:uid="{00000000-0005-0000-0000-000087200000}"/>
    <cellStyle name="Normal 36 2 3" xfId="8297" xr:uid="{00000000-0005-0000-0000-000088200000}"/>
    <cellStyle name="Normal 36 3" xfId="8298" xr:uid="{00000000-0005-0000-0000-000089200000}"/>
    <cellStyle name="Normal 36 3 2" xfId="8299" xr:uid="{00000000-0005-0000-0000-00008A200000}"/>
    <cellStyle name="Normal 36 4" xfId="8300" xr:uid="{00000000-0005-0000-0000-00008B200000}"/>
    <cellStyle name="Normal 36 5" xfId="8301" xr:uid="{00000000-0005-0000-0000-00008C200000}"/>
    <cellStyle name="Normal 37" xfId="8302" xr:uid="{00000000-0005-0000-0000-00008D200000}"/>
    <cellStyle name="Normal 37 2" xfId="8303" xr:uid="{00000000-0005-0000-0000-00008E200000}"/>
    <cellStyle name="Normal 37 2 2" xfId="8304" xr:uid="{00000000-0005-0000-0000-00008F200000}"/>
    <cellStyle name="Normal 37 2 3" xfId="8305" xr:uid="{00000000-0005-0000-0000-000090200000}"/>
    <cellStyle name="Normal 37 3" xfId="8306" xr:uid="{00000000-0005-0000-0000-000091200000}"/>
    <cellStyle name="Normal 37 3 2" xfId="8307" xr:uid="{00000000-0005-0000-0000-000092200000}"/>
    <cellStyle name="Normal 37 4" xfId="8308" xr:uid="{00000000-0005-0000-0000-000093200000}"/>
    <cellStyle name="Normal 37 5" xfId="8309" xr:uid="{00000000-0005-0000-0000-000094200000}"/>
    <cellStyle name="Normal 38" xfId="8310" xr:uid="{00000000-0005-0000-0000-000095200000}"/>
    <cellStyle name="Normal 38 2" xfId="8311" xr:uid="{00000000-0005-0000-0000-000096200000}"/>
    <cellStyle name="Normal 38 2 2" xfId="8312" xr:uid="{00000000-0005-0000-0000-000097200000}"/>
    <cellStyle name="Normal 38 2 3" xfId="8313" xr:uid="{00000000-0005-0000-0000-000098200000}"/>
    <cellStyle name="Normal 38 3" xfId="8314" xr:uid="{00000000-0005-0000-0000-000099200000}"/>
    <cellStyle name="Normal 38 3 2" xfId="8315" xr:uid="{00000000-0005-0000-0000-00009A200000}"/>
    <cellStyle name="Normal 38 4" xfId="8316" xr:uid="{00000000-0005-0000-0000-00009B200000}"/>
    <cellStyle name="Normal 38 5" xfId="8317" xr:uid="{00000000-0005-0000-0000-00009C200000}"/>
    <cellStyle name="Normal 39" xfId="8318" xr:uid="{00000000-0005-0000-0000-00009D200000}"/>
    <cellStyle name="Normal 39 2" xfId="8319" xr:uid="{00000000-0005-0000-0000-00009E200000}"/>
    <cellStyle name="Normal 39 2 2" xfId="8320" xr:uid="{00000000-0005-0000-0000-00009F200000}"/>
    <cellStyle name="Normal 39 2 3" xfId="8321" xr:uid="{00000000-0005-0000-0000-0000A0200000}"/>
    <cellStyle name="Normal 39 3" xfId="8322" xr:uid="{00000000-0005-0000-0000-0000A1200000}"/>
    <cellStyle name="Normal 39 3 2" xfId="8323" xr:uid="{00000000-0005-0000-0000-0000A2200000}"/>
    <cellStyle name="Normal 39 4" xfId="8324" xr:uid="{00000000-0005-0000-0000-0000A3200000}"/>
    <cellStyle name="Normal 39 5" xfId="8325" xr:uid="{00000000-0005-0000-0000-0000A4200000}"/>
    <cellStyle name="Normal 4" xfId="8326" xr:uid="{00000000-0005-0000-0000-0000A5200000}"/>
    <cellStyle name="Normal 4 2" xfId="8327" xr:uid="{00000000-0005-0000-0000-0000A6200000}"/>
    <cellStyle name="Normal 4 2 2" xfId="8328" xr:uid="{00000000-0005-0000-0000-0000A7200000}"/>
    <cellStyle name="Normal 4 2 2 2" xfId="8329" xr:uid="{00000000-0005-0000-0000-0000A8200000}"/>
    <cellStyle name="Normal 4 2 2 3" xfId="8330" xr:uid="{00000000-0005-0000-0000-0000A9200000}"/>
    <cellStyle name="Normal 4 2 3" xfId="8331" xr:uid="{00000000-0005-0000-0000-0000AA200000}"/>
    <cellStyle name="Normal 4 2 3 2" xfId="8332" xr:uid="{00000000-0005-0000-0000-0000AB200000}"/>
    <cellStyle name="Normal 4 2 4" xfId="8333" xr:uid="{00000000-0005-0000-0000-0000AC200000}"/>
    <cellStyle name="Normal 4 2 5" xfId="8334" xr:uid="{00000000-0005-0000-0000-0000AD200000}"/>
    <cellStyle name="Normal 4 2 6" xfId="8335" xr:uid="{00000000-0005-0000-0000-0000AE200000}"/>
    <cellStyle name="Normal 4 3" xfId="8336" xr:uid="{00000000-0005-0000-0000-0000AF200000}"/>
    <cellStyle name="Normal 4 3 2" xfId="8337" xr:uid="{00000000-0005-0000-0000-0000B0200000}"/>
    <cellStyle name="Normal 4 4" xfId="8338" xr:uid="{00000000-0005-0000-0000-0000B1200000}"/>
    <cellStyle name="Normal 4 4 2" xfId="8339" xr:uid="{00000000-0005-0000-0000-0000B2200000}"/>
    <cellStyle name="Normal 4 5" xfId="8340" xr:uid="{00000000-0005-0000-0000-0000B3200000}"/>
    <cellStyle name="Normal 4 5 2" xfId="8341" xr:uid="{00000000-0005-0000-0000-0000B4200000}"/>
    <cellStyle name="Normal 4 6" xfId="8342" xr:uid="{00000000-0005-0000-0000-0000B5200000}"/>
    <cellStyle name="Normal 4 7" xfId="8343" xr:uid="{00000000-0005-0000-0000-0000B6200000}"/>
    <cellStyle name="Normal 4 8" xfId="9534" xr:uid="{00000000-0005-0000-0000-0000B7200000}"/>
    <cellStyle name="Normal 4_ Price Inputs" xfId="8344" xr:uid="{00000000-0005-0000-0000-0000B8200000}"/>
    <cellStyle name="Normal 40" xfId="8345" xr:uid="{00000000-0005-0000-0000-0000B9200000}"/>
    <cellStyle name="Normal 40 2" xfId="8346" xr:uid="{00000000-0005-0000-0000-0000BA200000}"/>
    <cellStyle name="Normal 41" xfId="8347" xr:uid="{00000000-0005-0000-0000-0000BB200000}"/>
    <cellStyle name="Normal 41 2" xfId="8348" xr:uid="{00000000-0005-0000-0000-0000BC200000}"/>
    <cellStyle name="Normal 41 2 2" xfId="8349" xr:uid="{00000000-0005-0000-0000-0000BD200000}"/>
    <cellStyle name="Normal 41 3" xfId="8350" xr:uid="{00000000-0005-0000-0000-0000BE200000}"/>
    <cellStyle name="Normal 41 3 2" xfId="8351" xr:uid="{00000000-0005-0000-0000-0000BF200000}"/>
    <cellStyle name="Normal 41 4" xfId="8352" xr:uid="{00000000-0005-0000-0000-0000C0200000}"/>
    <cellStyle name="Normal 41 4 2" xfId="8353" xr:uid="{00000000-0005-0000-0000-0000C1200000}"/>
    <cellStyle name="Normal 42" xfId="8354" xr:uid="{00000000-0005-0000-0000-0000C2200000}"/>
    <cellStyle name="Normal 42 2" xfId="8355" xr:uid="{00000000-0005-0000-0000-0000C3200000}"/>
    <cellStyle name="Normal 42 2 2" xfId="8356" xr:uid="{00000000-0005-0000-0000-0000C4200000}"/>
    <cellStyle name="Normal 42 2 2 2" xfId="8357" xr:uid="{00000000-0005-0000-0000-0000C5200000}"/>
    <cellStyle name="Normal 42 2 3" xfId="8358" xr:uid="{00000000-0005-0000-0000-0000C6200000}"/>
    <cellStyle name="Normal 42 3" xfId="8359" xr:uid="{00000000-0005-0000-0000-0000C7200000}"/>
    <cellStyle name="Normal 42 3 2" xfId="8360" xr:uid="{00000000-0005-0000-0000-0000C8200000}"/>
    <cellStyle name="Normal 42 4" xfId="8361" xr:uid="{00000000-0005-0000-0000-0000C9200000}"/>
    <cellStyle name="Normal 42 4 2" xfId="8362" xr:uid="{00000000-0005-0000-0000-0000CA200000}"/>
    <cellStyle name="Normal 42 5" xfId="8363" xr:uid="{00000000-0005-0000-0000-0000CB200000}"/>
    <cellStyle name="Normal 42 5 2" xfId="8364" xr:uid="{00000000-0005-0000-0000-0000CC200000}"/>
    <cellStyle name="Normal 43" xfId="8365" xr:uid="{00000000-0005-0000-0000-0000CD200000}"/>
    <cellStyle name="Normal 43 2" xfId="8366" xr:uid="{00000000-0005-0000-0000-0000CE200000}"/>
    <cellStyle name="Normal 43 3" xfId="8367" xr:uid="{00000000-0005-0000-0000-0000CF200000}"/>
    <cellStyle name="Normal 43 3 2" xfId="8368" xr:uid="{00000000-0005-0000-0000-0000D0200000}"/>
    <cellStyle name="Normal 44" xfId="8369" xr:uid="{00000000-0005-0000-0000-0000D1200000}"/>
    <cellStyle name="Normal 44 2" xfId="8370" xr:uid="{00000000-0005-0000-0000-0000D2200000}"/>
    <cellStyle name="Normal 44 2 2" xfId="8371" xr:uid="{00000000-0005-0000-0000-0000D3200000}"/>
    <cellStyle name="Normal 44 2 2 2" xfId="8372" xr:uid="{00000000-0005-0000-0000-0000D4200000}"/>
    <cellStyle name="Normal 44 2 3" xfId="8373" xr:uid="{00000000-0005-0000-0000-0000D5200000}"/>
    <cellStyle name="Normal 44 2 4" xfId="8374" xr:uid="{00000000-0005-0000-0000-0000D6200000}"/>
    <cellStyle name="Normal 44 3" xfId="8375" xr:uid="{00000000-0005-0000-0000-0000D7200000}"/>
    <cellStyle name="Normal 44 3 2" xfId="8376" xr:uid="{00000000-0005-0000-0000-0000D8200000}"/>
    <cellStyle name="Normal 44 3 3" xfId="8377" xr:uid="{00000000-0005-0000-0000-0000D9200000}"/>
    <cellStyle name="Normal 44 4" xfId="8378" xr:uid="{00000000-0005-0000-0000-0000DA200000}"/>
    <cellStyle name="Normal 44 4 2" xfId="8379" xr:uid="{00000000-0005-0000-0000-0000DB200000}"/>
    <cellStyle name="Normal 44 5" xfId="8380" xr:uid="{00000000-0005-0000-0000-0000DC200000}"/>
    <cellStyle name="Normal 44 5 2" xfId="8381" xr:uid="{00000000-0005-0000-0000-0000DD200000}"/>
    <cellStyle name="Normal 44 6" xfId="8382" xr:uid="{00000000-0005-0000-0000-0000DE200000}"/>
    <cellStyle name="Normal 44 7" xfId="8383" xr:uid="{00000000-0005-0000-0000-0000DF200000}"/>
    <cellStyle name="Normal 45" xfId="8384" xr:uid="{00000000-0005-0000-0000-0000E0200000}"/>
    <cellStyle name="Normal 45 2" xfId="8385" xr:uid="{00000000-0005-0000-0000-0000E1200000}"/>
    <cellStyle name="Normal 45 2 2" xfId="8386" xr:uid="{00000000-0005-0000-0000-0000E2200000}"/>
    <cellStyle name="Normal 45 3" xfId="8387" xr:uid="{00000000-0005-0000-0000-0000E3200000}"/>
    <cellStyle name="Normal 45 4" xfId="8388" xr:uid="{00000000-0005-0000-0000-0000E4200000}"/>
    <cellStyle name="Normal 45 5" xfId="8389" xr:uid="{00000000-0005-0000-0000-0000E5200000}"/>
    <cellStyle name="Normal 45 6" xfId="8390" xr:uid="{00000000-0005-0000-0000-0000E6200000}"/>
    <cellStyle name="Normal 46" xfId="8391" xr:uid="{00000000-0005-0000-0000-0000E7200000}"/>
    <cellStyle name="Normal 46 2" xfId="8392" xr:uid="{00000000-0005-0000-0000-0000E8200000}"/>
    <cellStyle name="Normal 46 2 2" xfId="8393" xr:uid="{00000000-0005-0000-0000-0000E9200000}"/>
    <cellStyle name="Normal 46 2 3" xfId="8394" xr:uid="{00000000-0005-0000-0000-0000EA200000}"/>
    <cellStyle name="Normal 46 3" xfId="8395" xr:uid="{00000000-0005-0000-0000-0000EB200000}"/>
    <cellStyle name="Normal 46 4" xfId="8396" xr:uid="{00000000-0005-0000-0000-0000EC200000}"/>
    <cellStyle name="Normal 46 5" xfId="8397" xr:uid="{00000000-0005-0000-0000-0000ED200000}"/>
    <cellStyle name="Normal 46 6" xfId="8398" xr:uid="{00000000-0005-0000-0000-0000EE200000}"/>
    <cellStyle name="Normal 47" xfId="8399" xr:uid="{00000000-0005-0000-0000-0000EF200000}"/>
    <cellStyle name="Normal 47 2" xfId="8400" xr:uid="{00000000-0005-0000-0000-0000F0200000}"/>
    <cellStyle name="Normal 47 2 2" xfId="8401" xr:uid="{00000000-0005-0000-0000-0000F1200000}"/>
    <cellStyle name="Normal 47 3" xfId="8402" xr:uid="{00000000-0005-0000-0000-0000F2200000}"/>
    <cellStyle name="Normal 47 3 2" xfId="8403" xr:uid="{00000000-0005-0000-0000-0000F3200000}"/>
    <cellStyle name="Normal 47 4" xfId="8404" xr:uid="{00000000-0005-0000-0000-0000F4200000}"/>
    <cellStyle name="Normal 47 4 2" xfId="8405" xr:uid="{00000000-0005-0000-0000-0000F5200000}"/>
    <cellStyle name="Normal 47 5" xfId="8406" xr:uid="{00000000-0005-0000-0000-0000F6200000}"/>
    <cellStyle name="Normal 48" xfId="8407" xr:uid="{00000000-0005-0000-0000-0000F7200000}"/>
    <cellStyle name="Normal 48 2" xfId="8408" xr:uid="{00000000-0005-0000-0000-0000F8200000}"/>
    <cellStyle name="Normal 48 2 2" xfId="8409" xr:uid="{00000000-0005-0000-0000-0000F9200000}"/>
    <cellStyle name="Normal 48 3" xfId="8410" xr:uid="{00000000-0005-0000-0000-0000FA200000}"/>
    <cellStyle name="Normal 48 3 2" xfId="8411" xr:uid="{00000000-0005-0000-0000-0000FB200000}"/>
    <cellStyle name="Normal 48 4" xfId="8412" xr:uid="{00000000-0005-0000-0000-0000FC200000}"/>
    <cellStyle name="Normal 48 4 2" xfId="8413" xr:uid="{00000000-0005-0000-0000-0000FD200000}"/>
    <cellStyle name="Normal 49" xfId="8414" xr:uid="{00000000-0005-0000-0000-0000FE200000}"/>
    <cellStyle name="Normal 49 2" xfId="8415" xr:uid="{00000000-0005-0000-0000-0000FF200000}"/>
    <cellStyle name="Normal 49 2 2" xfId="8416" xr:uid="{00000000-0005-0000-0000-000000210000}"/>
    <cellStyle name="Normal 49 3" xfId="8417" xr:uid="{00000000-0005-0000-0000-000001210000}"/>
    <cellStyle name="Normal 49 3 2" xfId="8418" xr:uid="{00000000-0005-0000-0000-000002210000}"/>
    <cellStyle name="Normal 49 4" xfId="8419" xr:uid="{00000000-0005-0000-0000-000003210000}"/>
    <cellStyle name="Normal 49 4 2" xfId="8420" xr:uid="{00000000-0005-0000-0000-000004210000}"/>
    <cellStyle name="Normal 5" xfId="8421" xr:uid="{00000000-0005-0000-0000-000005210000}"/>
    <cellStyle name="Normal 5 2" xfId="8422" xr:uid="{00000000-0005-0000-0000-000006210000}"/>
    <cellStyle name="Normal 5 2 2" xfId="8423" xr:uid="{00000000-0005-0000-0000-000007210000}"/>
    <cellStyle name="Normal 5 2 3" xfId="8424" xr:uid="{00000000-0005-0000-0000-000008210000}"/>
    <cellStyle name="Normal 5 2 4" xfId="9527" xr:uid="{00000000-0005-0000-0000-000009210000}"/>
    <cellStyle name="Normal 5 3" xfId="8425" xr:uid="{00000000-0005-0000-0000-00000A210000}"/>
    <cellStyle name="Normal 5 3 2" xfId="8426" xr:uid="{00000000-0005-0000-0000-00000B210000}"/>
    <cellStyle name="Normal 5 4" xfId="8427" xr:uid="{00000000-0005-0000-0000-00000C210000}"/>
    <cellStyle name="Normal 5 4 2" xfId="8428" xr:uid="{00000000-0005-0000-0000-00000D210000}"/>
    <cellStyle name="Normal 5 5" xfId="8429" xr:uid="{00000000-0005-0000-0000-00000E210000}"/>
    <cellStyle name="Normal 5 5 2" xfId="8430" xr:uid="{00000000-0005-0000-0000-00000F210000}"/>
    <cellStyle name="Normal 5 6" xfId="8431" xr:uid="{00000000-0005-0000-0000-000010210000}"/>
    <cellStyle name="Normal 5 7" xfId="9528" xr:uid="{00000000-0005-0000-0000-000011210000}"/>
    <cellStyle name="Normal 5_2011 CBR Rev Calc by schedule" xfId="8432" xr:uid="{00000000-0005-0000-0000-000012210000}"/>
    <cellStyle name="Normal 50" xfId="8433" xr:uid="{00000000-0005-0000-0000-000013210000}"/>
    <cellStyle name="Normal 50 2" xfId="8434" xr:uid="{00000000-0005-0000-0000-000014210000}"/>
    <cellStyle name="Normal 50 2 2" xfId="8435" xr:uid="{00000000-0005-0000-0000-000015210000}"/>
    <cellStyle name="Normal 50 3" xfId="8436" xr:uid="{00000000-0005-0000-0000-000016210000}"/>
    <cellStyle name="Normal 50 3 2" xfId="8437" xr:uid="{00000000-0005-0000-0000-000017210000}"/>
    <cellStyle name="Normal 50 4" xfId="8438" xr:uid="{00000000-0005-0000-0000-000018210000}"/>
    <cellStyle name="Normal 50 4 2" xfId="8439" xr:uid="{00000000-0005-0000-0000-000019210000}"/>
    <cellStyle name="Normal 51" xfId="8440" xr:uid="{00000000-0005-0000-0000-00001A210000}"/>
    <cellStyle name="Normal 51 2" xfId="8441" xr:uid="{00000000-0005-0000-0000-00001B210000}"/>
    <cellStyle name="Normal 51 2 2" xfId="8442" xr:uid="{00000000-0005-0000-0000-00001C210000}"/>
    <cellStyle name="Normal 51 2 3" xfId="8443" xr:uid="{00000000-0005-0000-0000-00001D210000}"/>
    <cellStyle name="Normal 51 3" xfId="8444" xr:uid="{00000000-0005-0000-0000-00001E210000}"/>
    <cellStyle name="Normal 51 4" xfId="8445" xr:uid="{00000000-0005-0000-0000-00001F210000}"/>
    <cellStyle name="Normal 51 5" xfId="8446" xr:uid="{00000000-0005-0000-0000-000020210000}"/>
    <cellStyle name="Normal 51 6" xfId="8447" xr:uid="{00000000-0005-0000-0000-000021210000}"/>
    <cellStyle name="Normal 52" xfId="8448" xr:uid="{00000000-0005-0000-0000-000022210000}"/>
    <cellStyle name="Normal 53" xfId="8449" xr:uid="{00000000-0005-0000-0000-000023210000}"/>
    <cellStyle name="Normal 53 2" xfId="8450" xr:uid="{00000000-0005-0000-0000-000024210000}"/>
    <cellStyle name="Normal 53 3" xfId="8451" xr:uid="{00000000-0005-0000-0000-000025210000}"/>
    <cellStyle name="Normal 53 3 2" xfId="8452" xr:uid="{00000000-0005-0000-0000-000026210000}"/>
    <cellStyle name="Normal 53 4" xfId="8453" xr:uid="{00000000-0005-0000-0000-000027210000}"/>
    <cellStyle name="Normal 54" xfId="8454" xr:uid="{00000000-0005-0000-0000-000028210000}"/>
    <cellStyle name="Normal 54 2" xfId="8455" xr:uid="{00000000-0005-0000-0000-000029210000}"/>
    <cellStyle name="Normal 54 3" xfId="8456" xr:uid="{00000000-0005-0000-0000-00002A210000}"/>
    <cellStyle name="Normal 54 3 2" xfId="8457" xr:uid="{00000000-0005-0000-0000-00002B210000}"/>
    <cellStyle name="Normal 54 4" xfId="8458" xr:uid="{00000000-0005-0000-0000-00002C210000}"/>
    <cellStyle name="Normal 55" xfId="8459" xr:uid="{00000000-0005-0000-0000-00002D210000}"/>
    <cellStyle name="Normal 55 2" xfId="8460" xr:uid="{00000000-0005-0000-0000-00002E210000}"/>
    <cellStyle name="Normal 55 2 2" xfId="8461" xr:uid="{00000000-0005-0000-0000-00002F210000}"/>
    <cellStyle name="Normal 55 3" xfId="8462" xr:uid="{00000000-0005-0000-0000-000030210000}"/>
    <cellStyle name="Normal 56" xfId="8463" xr:uid="{00000000-0005-0000-0000-000031210000}"/>
    <cellStyle name="Normal 56 2" xfId="8464" xr:uid="{00000000-0005-0000-0000-000032210000}"/>
    <cellStyle name="Normal 56 2 2" xfId="8465" xr:uid="{00000000-0005-0000-0000-000033210000}"/>
    <cellStyle name="Normal 56 3" xfId="8466" xr:uid="{00000000-0005-0000-0000-000034210000}"/>
    <cellStyle name="Normal 57" xfId="8467" xr:uid="{00000000-0005-0000-0000-000035210000}"/>
    <cellStyle name="Normal 57 2" xfId="8468" xr:uid="{00000000-0005-0000-0000-000036210000}"/>
    <cellStyle name="Normal 58" xfId="8469" xr:uid="{00000000-0005-0000-0000-000037210000}"/>
    <cellStyle name="Normal 58 2" xfId="8470" xr:uid="{00000000-0005-0000-0000-000038210000}"/>
    <cellStyle name="Normal 59" xfId="8471" xr:uid="{00000000-0005-0000-0000-000039210000}"/>
    <cellStyle name="Normal 59 2" xfId="8472" xr:uid="{00000000-0005-0000-0000-00003A210000}"/>
    <cellStyle name="Normal 6" xfId="8473" xr:uid="{00000000-0005-0000-0000-00003B210000}"/>
    <cellStyle name="Normal 6 2" xfId="8474" xr:uid="{00000000-0005-0000-0000-00003C210000}"/>
    <cellStyle name="Normal 6 2 2" xfId="8475" xr:uid="{00000000-0005-0000-0000-00003D210000}"/>
    <cellStyle name="Normal 6 2 2 2" xfId="8476" xr:uid="{00000000-0005-0000-0000-00003E210000}"/>
    <cellStyle name="Normal 6 2 3" xfId="8477" xr:uid="{00000000-0005-0000-0000-00003F210000}"/>
    <cellStyle name="Normal 6 2 4" xfId="8478" xr:uid="{00000000-0005-0000-0000-000040210000}"/>
    <cellStyle name="Normal 6 3" xfId="8479" xr:uid="{00000000-0005-0000-0000-000041210000}"/>
    <cellStyle name="Normal 6 3 2" xfId="8480" xr:uid="{00000000-0005-0000-0000-000042210000}"/>
    <cellStyle name="Normal 6 4" xfId="8481" xr:uid="{00000000-0005-0000-0000-000043210000}"/>
    <cellStyle name="Normal 6 5" xfId="8482" xr:uid="{00000000-0005-0000-0000-000044210000}"/>
    <cellStyle name="Normal 6 5 2" xfId="8483" xr:uid="{00000000-0005-0000-0000-000045210000}"/>
    <cellStyle name="Normal 6 6" xfId="8484" xr:uid="{00000000-0005-0000-0000-000046210000}"/>
    <cellStyle name="Normal 6 7" xfId="9519" xr:uid="{00000000-0005-0000-0000-000047210000}"/>
    <cellStyle name="Normal 6_Scenario 1 REC vs PTC Offset" xfId="8485" xr:uid="{00000000-0005-0000-0000-000048210000}"/>
    <cellStyle name="Normal 60" xfId="8486" xr:uid="{00000000-0005-0000-0000-000049210000}"/>
    <cellStyle name="Normal 60 2" xfId="8487" xr:uid="{00000000-0005-0000-0000-00004A210000}"/>
    <cellStyle name="Normal 61" xfId="8488" xr:uid="{00000000-0005-0000-0000-00004B210000}"/>
    <cellStyle name="Normal 61 2" xfId="8489" xr:uid="{00000000-0005-0000-0000-00004C210000}"/>
    <cellStyle name="Normal 62" xfId="8490" xr:uid="{00000000-0005-0000-0000-00004D210000}"/>
    <cellStyle name="Normal 62 2" xfId="8491" xr:uid="{00000000-0005-0000-0000-00004E210000}"/>
    <cellStyle name="Normal 63" xfId="8492" xr:uid="{00000000-0005-0000-0000-00004F210000}"/>
    <cellStyle name="Normal 63 2" xfId="8493" xr:uid="{00000000-0005-0000-0000-000050210000}"/>
    <cellStyle name="Normal 64" xfId="8494" xr:uid="{00000000-0005-0000-0000-000051210000}"/>
    <cellStyle name="Normal 64 2" xfId="8495" xr:uid="{00000000-0005-0000-0000-000052210000}"/>
    <cellStyle name="Normal 65" xfId="8496" xr:uid="{00000000-0005-0000-0000-000053210000}"/>
    <cellStyle name="Normal 65 2" xfId="8497" xr:uid="{00000000-0005-0000-0000-000054210000}"/>
    <cellStyle name="Normal 66" xfId="8498" xr:uid="{00000000-0005-0000-0000-000055210000}"/>
    <cellStyle name="Normal 66 2" xfId="8499" xr:uid="{00000000-0005-0000-0000-000056210000}"/>
    <cellStyle name="Normal 67" xfId="8500" xr:uid="{00000000-0005-0000-0000-000057210000}"/>
    <cellStyle name="Normal 67 2" xfId="8501" xr:uid="{00000000-0005-0000-0000-000058210000}"/>
    <cellStyle name="Normal 68" xfId="8502" xr:uid="{00000000-0005-0000-0000-000059210000}"/>
    <cellStyle name="Normal 68 2" xfId="8503" xr:uid="{00000000-0005-0000-0000-00005A210000}"/>
    <cellStyle name="Normal 69" xfId="8504" xr:uid="{00000000-0005-0000-0000-00005B210000}"/>
    <cellStyle name="Normal 69 2" xfId="8505" xr:uid="{00000000-0005-0000-0000-00005C210000}"/>
    <cellStyle name="Normal 7" xfId="8506" xr:uid="{00000000-0005-0000-0000-00005D210000}"/>
    <cellStyle name="Normal 7 2" xfId="8507" xr:uid="{00000000-0005-0000-0000-00005E210000}"/>
    <cellStyle name="Normal 7 2 2" xfId="8508" xr:uid="{00000000-0005-0000-0000-00005F210000}"/>
    <cellStyle name="Normal 7 2 2 2" xfId="8509" xr:uid="{00000000-0005-0000-0000-000060210000}"/>
    <cellStyle name="Normal 7 2 3" xfId="8510" xr:uid="{00000000-0005-0000-0000-000061210000}"/>
    <cellStyle name="Normal 7 3" xfId="8511" xr:uid="{00000000-0005-0000-0000-000062210000}"/>
    <cellStyle name="Normal 7 4" xfId="8512" xr:uid="{00000000-0005-0000-0000-000063210000}"/>
    <cellStyle name="Normal 7 4 2" xfId="8513" xr:uid="{00000000-0005-0000-0000-000064210000}"/>
    <cellStyle name="Normal 7 5" xfId="8514" xr:uid="{00000000-0005-0000-0000-000065210000}"/>
    <cellStyle name="Normal 70" xfId="8515" xr:uid="{00000000-0005-0000-0000-000066210000}"/>
    <cellStyle name="Normal 70 2" xfId="8516" xr:uid="{00000000-0005-0000-0000-000067210000}"/>
    <cellStyle name="Normal 71" xfId="8517" xr:uid="{00000000-0005-0000-0000-000068210000}"/>
    <cellStyle name="Normal 71 2" xfId="8518" xr:uid="{00000000-0005-0000-0000-000069210000}"/>
    <cellStyle name="Normal 72" xfId="8519" xr:uid="{00000000-0005-0000-0000-00006A210000}"/>
    <cellStyle name="Normal 72 2" xfId="8520" xr:uid="{00000000-0005-0000-0000-00006B210000}"/>
    <cellStyle name="Normal 73" xfId="8521" xr:uid="{00000000-0005-0000-0000-00006C210000}"/>
    <cellStyle name="Normal 73 2" xfId="8522" xr:uid="{00000000-0005-0000-0000-00006D210000}"/>
    <cellStyle name="Normal 74" xfId="8523" xr:uid="{00000000-0005-0000-0000-00006E210000}"/>
    <cellStyle name="Normal 75" xfId="8524" xr:uid="{00000000-0005-0000-0000-00006F210000}"/>
    <cellStyle name="Normal 76" xfId="8525" xr:uid="{00000000-0005-0000-0000-000070210000}"/>
    <cellStyle name="Normal 77" xfId="8526" xr:uid="{00000000-0005-0000-0000-000071210000}"/>
    <cellStyle name="Normal 78" xfId="8527" xr:uid="{00000000-0005-0000-0000-000072210000}"/>
    <cellStyle name="Normal 79" xfId="8528" xr:uid="{00000000-0005-0000-0000-000073210000}"/>
    <cellStyle name="Normal 8" xfId="8529" xr:uid="{00000000-0005-0000-0000-000074210000}"/>
    <cellStyle name="Normal 8 2" xfId="8530" xr:uid="{00000000-0005-0000-0000-000075210000}"/>
    <cellStyle name="Normal 8 2 2" xfId="8531" xr:uid="{00000000-0005-0000-0000-000076210000}"/>
    <cellStyle name="Normal 8 2 2 2" xfId="8532" xr:uid="{00000000-0005-0000-0000-000077210000}"/>
    <cellStyle name="Normal 8 2 3" xfId="8533" xr:uid="{00000000-0005-0000-0000-000078210000}"/>
    <cellStyle name="Normal 8 2 4" xfId="8534" xr:uid="{00000000-0005-0000-0000-000079210000}"/>
    <cellStyle name="Normal 8 3" xfId="8535" xr:uid="{00000000-0005-0000-0000-00007A210000}"/>
    <cellStyle name="Normal 8 4" xfId="8536" xr:uid="{00000000-0005-0000-0000-00007B210000}"/>
    <cellStyle name="Normal 8 4 2" xfId="8537" xr:uid="{00000000-0005-0000-0000-00007C210000}"/>
    <cellStyle name="Normal 8 5" xfId="8538" xr:uid="{00000000-0005-0000-0000-00007D210000}"/>
    <cellStyle name="Normal 8 6" xfId="8539" xr:uid="{00000000-0005-0000-0000-00007E210000}"/>
    <cellStyle name="Normal 8 7" xfId="9526" xr:uid="{00000000-0005-0000-0000-00007F210000}"/>
    <cellStyle name="Normal 80" xfId="8540" xr:uid="{00000000-0005-0000-0000-000080210000}"/>
    <cellStyle name="Normal 81" xfId="8541" xr:uid="{00000000-0005-0000-0000-000081210000}"/>
    <cellStyle name="Normal 82" xfId="8542" xr:uid="{00000000-0005-0000-0000-000082210000}"/>
    <cellStyle name="Normal 83" xfId="8543" xr:uid="{00000000-0005-0000-0000-000083210000}"/>
    <cellStyle name="Normal 84" xfId="8544" xr:uid="{00000000-0005-0000-0000-000084210000}"/>
    <cellStyle name="Normal 85" xfId="8545" xr:uid="{00000000-0005-0000-0000-000085210000}"/>
    <cellStyle name="Normal 86" xfId="8546" xr:uid="{00000000-0005-0000-0000-000086210000}"/>
    <cellStyle name="Normal 87" xfId="8547" xr:uid="{00000000-0005-0000-0000-000087210000}"/>
    <cellStyle name="Normal 88" xfId="8548" xr:uid="{00000000-0005-0000-0000-000088210000}"/>
    <cellStyle name="Normal 89" xfId="8549" xr:uid="{00000000-0005-0000-0000-000089210000}"/>
    <cellStyle name="Normal 9" xfId="8550" xr:uid="{00000000-0005-0000-0000-00008A210000}"/>
    <cellStyle name="Normal 9 2" xfId="8551" xr:uid="{00000000-0005-0000-0000-00008B210000}"/>
    <cellStyle name="Normal 9 2 2" xfId="8552" xr:uid="{00000000-0005-0000-0000-00008C210000}"/>
    <cellStyle name="Normal 9 2 2 2" xfId="8553" xr:uid="{00000000-0005-0000-0000-00008D210000}"/>
    <cellStyle name="Normal 9 2 3" xfId="8554" xr:uid="{00000000-0005-0000-0000-00008E210000}"/>
    <cellStyle name="Normal 9 3" xfId="8555" xr:uid="{00000000-0005-0000-0000-00008F210000}"/>
    <cellStyle name="Normal 9 3 2" xfId="8556" xr:uid="{00000000-0005-0000-0000-000090210000}"/>
    <cellStyle name="Normal 9 4" xfId="8557" xr:uid="{00000000-0005-0000-0000-000091210000}"/>
    <cellStyle name="Normal 90" xfId="8558" xr:uid="{00000000-0005-0000-0000-000092210000}"/>
    <cellStyle name="Normal 91" xfId="8559" xr:uid="{00000000-0005-0000-0000-000093210000}"/>
    <cellStyle name="Normal 92" xfId="8560" xr:uid="{00000000-0005-0000-0000-000094210000}"/>
    <cellStyle name="Normal 93" xfId="8561" xr:uid="{00000000-0005-0000-0000-000095210000}"/>
    <cellStyle name="Normal 94" xfId="8562" xr:uid="{00000000-0005-0000-0000-000096210000}"/>
    <cellStyle name="Normal 95" xfId="8563" xr:uid="{00000000-0005-0000-0000-000097210000}"/>
    <cellStyle name="Normal 96" xfId="8564" xr:uid="{00000000-0005-0000-0000-000098210000}"/>
    <cellStyle name="Normal 96 2" xfId="8565" xr:uid="{00000000-0005-0000-0000-000099210000}"/>
    <cellStyle name="Normal 97" xfId="8566" xr:uid="{00000000-0005-0000-0000-00009A210000}"/>
    <cellStyle name="Normal 98" xfId="8567" xr:uid="{00000000-0005-0000-0000-00009B210000}"/>
    <cellStyle name="Normal 99" xfId="8568" xr:uid="{00000000-0005-0000-0000-00009C210000}"/>
    <cellStyle name="Note 10" xfId="8569" xr:uid="{00000000-0005-0000-0000-00009D210000}"/>
    <cellStyle name="Note 10 2" xfId="8570" xr:uid="{00000000-0005-0000-0000-00009E210000}"/>
    <cellStyle name="Note 10 2 2" xfId="8571" xr:uid="{00000000-0005-0000-0000-00009F210000}"/>
    <cellStyle name="Note 10 3" xfId="8572" xr:uid="{00000000-0005-0000-0000-0000A0210000}"/>
    <cellStyle name="Note 11" xfId="8573" xr:uid="{00000000-0005-0000-0000-0000A1210000}"/>
    <cellStyle name="Note 11 2" xfId="8574" xr:uid="{00000000-0005-0000-0000-0000A2210000}"/>
    <cellStyle name="Note 11 2 2" xfId="8575" xr:uid="{00000000-0005-0000-0000-0000A3210000}"/>
    <cellStyle name="Note 11 3" xfId="8576" xr:uid="{00000000-0005-0000-0000-0000A4210000}"/>
    <cellStyle name="Note 12" xfId="8577" xr:uid="{00000000-0005-0000-0000-0000A5210000}"/>
    <cellStyle name="Note 12 2" xfId="8578" xr:uid="{00000000-0005-0000-0000-0000A6210000}"/>
    <cellStyle name="Note 12 2 2" xfId="8579" xr:uid="{00000000-0005-0000-0000-0000A7210000}"/>
    <cellStyle name="Note 12 3" xfId="8580" xr:uid="{00000000-0005-0000-0000-0000A8210000}"/>
    <cellStyle name="Note 12 3 2" xfId="8581" xr:uid="{00000000-0005-0000-0000-0000A9210000}"/>
    <cellStyle name="Note 12 4" xfId="8582" xr:uid="{00000000-0005-0000-0000-0000AA210000}"/>
    <cellStyle name="Note 13" xfId="8583" xr:uid="{00000000-0005-0000-0000-0000AB210000}"/>
    <cellStyle name="Note 13 2" xfId="8584" xr:uid="{00000000-0005-0000-0000-0000AC210000}"/>
    <cellStyle name="Note 14" xfId="8585" xr:uid="{00000000-0005-0000-0000-0000AD210000}"/>
    <cellStyle name="Note 2" xfId="8586" xr:uid="{00000000-0005-0000-0000-0000AE210000}"/>
    <cellStyle name="Note 2 2" xfId="8587" xr:uid="{00000000-0005-0000-0000-0000AF210000}"/>
    <cellStyle name="Note 2 2 2" xfId="8588" xr:uid="{00000000-0005-0000-0000-0000B0210000}"/>
    <cellStyle name="Note 2 2 3" xfId="8589" xr:uid="{00000000-0005-0000-0000-0000B1210000}"/>
    <cellStyle name="Note 2 2 4" xfId="8590" xr:uid="{00000000-0005-0000-0000-0000B2210000}"/>
    <cellStyle name="Note 2 3" xfId="8591" xr:uid="{00000000-0005-0000-0000-0000B3210000}"/>
    <cellStyle name="Note 2 3 2" xfId="8592" xr:uid="{00000000-0005-0000-0000-0000B4210000}"/>
    <cellStyle name="Note 2 4" xfId="8593" xr:uid="{00000000-0005-0000-0000-0000B5210000}"/>
    <cellStyle name="Note 2 4 2" xfId="8594" xr:uid="{00000000-0005-0000-0000-0000B6210000}"/>
    <cellStyle name="Note 2 5" xfId="8595" xr:uid="{00000000-0005-0000-0000-0000B7210000}"/>
    <cellStyle name="Note 2_AURORA Total New" xfId="8596" xr:uid="{00000000-0005-0000-0000-0000B8210000}"/>
    <cellStyle name="Note 3" xfId="8597" xr:uid="{00000000-0005-0000-0000-0000B9210000}"/>
    <cellStyle name="Note 3 2" xfId="8598" xr:uid="{00000000-0005-0000-0000-0000BA210000}"/>
    <cellStyle name="Note 3 2 2" xfId="8599" xr:uid="{00000000-0005-0000-0000-0000BB210000}"/>
    <cellStyle name="Note 3 3" xfId="8600" xr:uid="{00000000-0005-0000-0000-0000BC210000}"/>
    <cellStyle name="Note 3 4" xfId="8601" xr:uid="{00000000-0005-0000-0000-0000BD210000}"/>
    <cellStyle name="Note 4" xfId="8602" xr:uid="{00000000-0005-0000-0000-0000BE210000}"/>
    <cellStyle name="Note 4 2" xfId="8603" xr:uid="{00000000-0005-0000-0000-0000BF210000}"/>
    <cellStyle name="Note 4 2 2" xfId="8604" xr:uid="{00000000-0005-0000-0000-0000C0210000}"/>
    <cellStyle name="Note 4 3" xfId="8605" xr:uid="{00000000-0005-0000-0000-0000C1210000}"/>
    <cellStyle name="Note 4 4" xfId="8606" xr:uid="{00000000-0005-0000-0000-0000C2210000}"/>
    <cellStyle name="Note 5" xfId="8607" xr:uid="{00000000-0005-0000-0000-0000C3210000}"/>
    <cellStyle name="Note 5 2" xfId="8608" xr:uid="{00000000-0005-0000-0000-0000C4210000}"/>
    <cellStyle name="Note 5 2 2" xfId="8609" xr:uid="{00000000-0005-0000-0000-0000C5210000}"/>
    <cellStyle name="Note 5 3" xfId="8610" xr:uid="{00000000-0005-0000-0000-0000C6210000}"/>
    <cellStyle name="Note 5 4" xfId="8611" xr:uid="{00000000-0005-0000-0000-0000C7210000}"/>
    <cellStyle name="Note 6" xfId="8612" xr:uid="{00000000-0005-0000-0000-0000C8210000}"/>
    <cellStyle name="Note 6 2" xfId="8613" xr:uid="{00000000-0005-0000-0000-0000C9210000}"/>
    <cellStyle name="Note 6 2 2" xfId="8614" xr:uid="{00000000-0005-0000-0000-0000CA210000}"/>
    <cellStyle name="Note 6 3" xfId="8615" xr:uid="{00000000-0005-0000-0000-0000CB210000}"/>
    <cellStyle name="Note 6 4" xfId="8616" xr:uid="{00000000-0005-0000-0000-0000CC210000}"/>
    <cellStyle name="Note 7" xfId="8617" xr:uid="{00000000-0005-0000-0000-0000CD210000}"/>
    <cellStyle name="Note 7 2" xfId="8618" xr:uid="{00000000-0005-0000-0000-0000CE210000}"/>
    <cellStyle name="Note 7 2 2" xfId="8619" xr:uid="{00000000-0005-0000-0000-0000CF210000}"/>
    <cellStyle name="Note 7 3" xfId="8620" xr:uid="{00000000-0005-0000-0000-0000D0210000}"/>
    <cellStyle name="Note 7 4" xfId="8621" xr:uid="{00000000-0005-0000-0000-0000D1210000}"/>
    <cellStyle name="Note 8" xfId="8622" xr:uid="{00000000-0005-0000-0000-0000D2210000}"/>
    <cellStyle name="Note 8 2" xfId="8623" xr:uid="{00000000-0005-0000-0000-0000D3210000}"/>
    <cellStyle name="Note 8 2 2" xfId="8624" xr:uid="{00000000-0005-0000-0000-0000D4210000}"/>
    <cellStyle name="Note 8 3" xfId="8625" xr:uid="{00000000-0005-0000-0000-0000D5210000}"/>
    <cellStyle name="Note 8 4" xfId="8626" xr:uid="{00000000-0005-0000-0000-0000D6210000}"/>
    <cellStyle name="Note 9" xfId="8627" xr:uid="{00000000-0005-0000-0000-0000D7210000}"/>
    <cellStyle name="Note 9 2" xfId="8628" xr:uid="{00000000-0005-0000-0000-0000D8210000}"/>
    <cellStyle name="Note 9 2 2" xfId="8629" xr:uid="{00000000-0005-0000-0000-0000D9210000}"/>
    <cellStyle name="Note 9 3" xfId="8630" xr:uid="{00000000-0005-0000-0000-0000DA210000}"/>
    <cellStyle name="Note 9 4" xfId="8631" xr:uid="{00000000-0005-0000-0000-0000DB210000}"/>
    <cellStyle name="Output 2" xfId="8632" xr:uid="{00000000-0005-0000-0000-0000DC210000}"/>
    <cellStyle name="Output 2 2" xfId="8633" xr:uid="{00000000-0005-0000-0000-0000DD210000}"/>
    <cellStyle name="Output 2 2 2" xfId="8634" xr:uid="{00000000-0005-0000-0000-0000DE210000}"/>
    <cellStyle name="Output 2 2 3" xfId="8635" xr:uid="{00000000-0005-0000-0000-0000DF210000}"/>
    <cellStyle name="Output 2 3" xfId="8636" xr:uid="{00000000-0005-0000-0000-0000E0210000}"/>
    <cellStyle name="Output 2 4" xfId="8637" xr:uid="{00000000-0005-0000-0000-0000E1210000}"/>
    <cellStyle name="Output 3" xfId="8638" xr:uid="{00000000-0005-0000-0000-0000E2210000}"/>
    <cellStyle name="Output 3 2" xfId="8639" xr:uid="{00000000-0005-0000-0000-0000E3210000}"/>
    <cellStyle name="Output 3 3" xfId="8640" xr:uid="{00000000-0005-0000-0000-0000E4210000}"/>
    <cellStyle name="Output 3 4" xfId="8641" xr:uid="{00000000-0005-0000-0000-0000E5210000}"/>
    <cellStyle name="Output 4" xfId="8642" xr:uid="{00000000-0005-0000-0000-0000E6210000}"/>
    <cellStyle name="Output 5" xfId="8643" xr:uid="{00000000-0005-0000-0000-0000E7210000}"/>
    <cellStyle name="Output 6" xfId="8644" xr:uid="{00000000-0005-0000-0000-0000E8210000}"/>
    <cellStyle name="Percen - Style1" xfId="8645" xr:uid="{00000000-0005-0000-0000-0000E9210000}"/>
    <cellStyle name="Percen - Style1 2" xfId="8646" xr:uid="{00000000-0005-0000-0000-0000EA210000}"/>
    <cellStyle name="Percen - Style2" xfId="8647" xr:uid="{00000000-0005-0000-0000-0000EB210000}"/>
    <cellStyle name="Percen - Style2 2" xfId="8648" xr:uid="{00000000-0005-0000-0000-0000EC210000}"/>
    <cellStyle name="Percen - Style2 3" xfId="8649" xr:uid="{00000000-0005-0000-0000-0000ED210000}"/>
    <cellStyle name="Percen - Style3" xfId="8650" xr:uid="{00000000-0005-0000-0000-0000EE210000}"/>
    <cellStyle name="Percen - Style3 2" xfId="8651" xr:uid="{00000000-0005-0000-0000-0000EF210000}"/>
    <cellStyle name="Percen - Style3 2 2" xfId="8652" xr:uid="{00000000-0005-0000-0000-0000F0210000}"/>
    <cellStyle name="Percen - Style3 3" xfId="8653" xr:uid="{00000000-0005-0000-0000-0000F1210000}"/>
    <cellStyle name="Percen - Style3 4" xfId="8654" xr:uid="{00000000-0005-0000-0000-0000F2210000}"/>
    <cellStyle name="Percen - Style3_ACCOUNTS" xfId="8655" xr:uid="{00000000-0005-0000-0000-0000F3210000}"/>
    <cellStyle name="Percent" xfId="3" builtinId="5"/>
    <cellStyle name="Percent (0)" xfId="8656" xr:uid="{00000000-0005-0000-0000-0000F5210000}"/>
    <cellStyle name="Percent [2]" xfId="8657" xr:uid="{00000000-0005-0000-0000-0000F6210000}"/>
    <cellStyle name="Percent [2] 2" xfId="8658" xr:uid="{00000000-0005-0000-0000-0000F7210000}"/>
    <cellStyle name="Percent [2] 2 2" xfId="8659" xr:uid="{00000000-0005-0000-0000-0000F8210000}"/>
    <cellStyle name="Percent [2] 2 2 2" xfId="8660" xr:uid="{00000000-0005-0000-0000-0000F9210000}"/>
    <cellStyle name="Percent [2] 2 3" xfId="8661" xr:uid="{00000000-0005-0000-0000-0000FA210000}"/>
    <cellStyle name="Percent [2] 3" xfId="8662" xr:uid="{00000000-0005-0000-0000-0000FB210000}"/>
    <cellStyle name="Percent [2] 3 2" xfId="8663" xr:uid="{00000000-0005-0000-0000-0000FC210000}"/>
    <cellStyle name="Percent [2] 3 2 2" xfId="8664" xr:uid="{00000000-0005-0000-0000-0000FD210000}"/>
    <cellStyle name="Percent [2] 3 3" xfId="8665" xr:uid="{00000000-0005-0000-0000-0000FE210000}"/>
    <cellStyle name="Percent [2] 3 3 2" xfId="8666" xr:uid="{00000000-0005-0000-0000-0000FF210000}"/>
    <cellStyle name="Percent [2] 3 4" xfId="8667" xr:uid="{00000000-0005-0000-0000-000000220000}"/>
    <cellStyle name="Percent [2] 3 4 2" xfId="8668" xr:uid="{00000000-0005-0000-0000-000001220000}"/>
    <cellStyle name="Percent [2] 4" xfId="8669" xr:uid="{00000000-0005-0000-0000-000002220000}"/>
    <cellStyle name="Percent [2] 4 2" xfId="8670" xr:uid="{00000000-0005-0000-0000-000003220000}"/>
    <cellStyle name="Percent [2] 5" xfId="8671" xr:uid="{00000000-0005-0000-0000-000004220000}"/>
    <cellStyle name="Percent [2] 6" xfId="8672" xr:uid="{00000000-0005-0000-0000-000005220000}"/>
    <cellStyle name="Percent [2] 7" xfId="8673" xr:uid="{00000000-0005-0000-0000-000006220000}"/>
    <cellStyle name="Percent 10" xfId="8674" xr:uid="{00000000-0005-0000-0000-000007220000}"/>
    <cellStyle name="Percent 10 2" xfId="8675" xr:uid="{00000000-0005-0000-0000-000008220000}"/>
    <cellStyle name="Percent 10 3" xfId="8676" xr:uid="{00000000-0005-0000-0000-000009220000}"/>
    <cellStyle name="Percent 10 3 2" xfId="8677" xr:uid="{00000000-0005-0000-0000-00000A220000}"/>
    <cellStyle name="Percent 10 4" xfId="8678" xr:uid="{00000000-0005-0000-0000-00000B220000}"/>
    <cellStyle name="Percent 100" xfId="8679" xr:uid="{00000000-0005-0000-0000-00000C220000}"/>
    <cellStyle name="Percent 101" xfId="8680" xr:uid="{00000000-0005-0000-0000-00000D220000}"/>
    <cellStyle name="Percent 102" xfId="8681" xr:uid="{00000000-0005-0000-0000-00000E220000}"/>
    <cellStyle name="Percent 103" xfId="8682" xr:uid="{00000000-0005-0000-0000-00000F220000}"/>
    <cellStyle name="Percent 104" xfId="8683" xr:uid="{00000000-0005-0000-0000-000010220000}"/>
    <cellStyle name="Percent 105" xfId="8684" xr:uid="{00000000-0005-0000-0000-000011220000}"/>
    <cellStyle name="Percent 106" xfId="8685" xr:uid="{00000000-0005-0000-0000-000012220000}"/>
    <cellStyle name="Percent 107" xfId="8686" xr:uid="{00000000-0005-0000-0000-000013220000}"/>
    <cellStyle name="Percent 108" xfId="8687" xr:uid="{00000000-0005-0000-0000-000014220000}"/>
    <cellStyle name="Percent 109" xfId="8688" xr:uid="{00000000-0005-0000-0000-000015220000}"/>
    <cellStyle name="Percent 11" xfId="8689" xr:uid="{00000000-0005-0000-0000-000016220000}"/>
    <cellStyle name="Percent 11 2" xfId="8690" xr:uid="{00000000-0005-0000-0000-000017220000}"/>
    <cellStyle name="Percent 11 2 2" xfId="8691" xr:uid="{00000000-0005-0000-0000-000018220000}"/>
    <cellStyle name="Percent 11 3" xfId="8692" xr:uid="{00000000-0005-0000-0000-000019220000}"/>
    <cellStyle name="Percent 11 3 2" xfId="8693" xr:uid="{00000000-0005-0000-0000-00001A220000}"/>
    <cellStyle name="Percent 11 4" xfId="8694" xr:uid="{00000000-0005-0000-0000-00001B220000}"/>
    <cellStyle name="Percent 11 4 2" xfId="8695" xr:uid="{00000000-0005-0000-0000-00001C220000}"/>
    <cellStyle name="Percent 11 5" xfId="8696" xr:uid="{00000000-0005-0000-0000-00001D220000}"/>
    <cellStyle name="Percent 110" xfId="8697" xr:uid="{00000000-0005-0000-0000-00001E220000}"/>
    <cellStyle name="Percent 111" xfId="8698" xr:uid="{00000000-0005-0000-0000-00001F220000}"/>
    <cellStyle name="Percent 112" xfId="8699" xr:uid="{00000000-0005-0000-0000-000020220000}"/>
    <cellStyle name="Percent 113" xfId="8700" xr:uid="{00000000-0005-0000-0000-000021220000}"/>
    <cellStyle name="Percent 114" xfId="8701" xr:uid="{00000000-0005-0000-0000-000022220000}"/>
    <cellStyle name="Percent 115" xfId="8702" xr:uid="{00000000-0005-0000-0000-000023220000}"/>
    <cellStyle name="Percent 116" xfId="8703" xr:uid="{00000000-0005-0000-0000-000024220000}"/>
    <cellStyle name="Percent 117" xfId="8704" xr:uid="{00000000-0005-0000-0000-000025220000}"/>
    <cellStyle name="Percent 118" xfId="8705" xr:uid="{00000000-0005-0000-0000-000026220000}"/>
    <cellStyle name="Percent 119" xfId="8706" xr:uid="{00000000-0005-0000-0000-000027220000}"/>
    <cellStyle name="Percent 12" xfId="8707" xr:uid="{00000000-0005-0000-0000-000028220000}"/>
    <cellStyle name="Percent 12 2" xfId="8708" xr:uid="{00000000-0005-0000-0000-000029220000}"/>
    <cellStyle name="Percent 12 2 2" xfId="8709" xr:uid="{00000000-0005-0000-0000-00002A220000}"/>
    <cellStyle name="Percent 12 2 2 2" xfId="8710" xr:uid="{00000000-0005-0000-0000-00002B220000}"/>
    <cellStyle name="Percent 12 2 3" xfId="8711" xr:uid="{00000000-0005-0000-0000-00002C220000}"/>
    <cellStyle name="Percent 12 3" xfId="8712" xr:uid="{00000000-0005-0000-0000-00002D220000}"/>
    <cellStyle name="Percent 12 3 2" xfId="8713" xr:uid="{00000000-0005-0000-0000-00002E220000}"/>
    <cellStyle name="Percent 12 4" xfId="8714" xr:uid="{00000000-0005-0000-0000-00002F220000}"/>
    <cellStyle name="Percent 12 4 2" xfId="8715" xr:uid="{00000000-0005-0000-0000-000030220000}"/>
    <cellStyle name="Percent 12 5" xfId="8716" xr:uid="{00000000-0005-0000-0000-000031220000}"/>
    <cellStyle name="Percent 12 5 2" xfId="8717" xr:uid="{00000000-0005-0000-0000-000032220000}"/>
    <cellStyle name="Percent 120" xfId="8718" xr:uid="{00000000-0005-0000-0000-000033220000}"/>
    <cellStyle name="Percent 121" xfId="9516" xr:uid="{00000000-0005-0000-0000-000034220000}"/>
    <cellStyle name="Percent 122" xfId="9511" xr:uid="{00000000-0005-0000-0000-000035220000}"/>
    <cellStyle name="Percent 123" xfId="9508" xr:uid="{00000000-0005-0000-0000-000036220000}"/>
    <cellStyle name="Percent 124" xfId="9509" xr:uid="{00000000-0005-0000-0000-000037220000}"/>
    <cellStyle name="Percent 125" xfId="9541" xr:uid="{00000000-0005-0000-0000-000038220000}"/>
    <cellStyle name="Percent 13" xfId="8719" xr:uid="{00000000-0005-0000-0000-000039220000}"/>
    <cellStyle name="Percent 13 2" xfId="8720" xr:uid="{00000000-0005-0000-0000-00003A220000}"/>
    <cellStyle name="Percent 13 2 2" xfId="8721" xr:uid="{00000000-0005-0000-0000-00003B220000}"/>
    <cellStyle name="Percent 13 2 3" xfId="8722" xr:uid="{00000000-0005-0000-0000-00003C220000}"/>
    <cellStyle name="Percent 13 3" xfId="8723" xr:uid="{00000000-0005-0000-0000-00003D220000}"/>
    <cellStyle name="Percent 13 3 2" xfId="8724" xr:uid="{00000000-0005-0000-0000-00003E220000}"/>
    <cellStyle name="Percent 13 4" xfId="8725" xr:uid="{00000000-0005-0000-0000-00003F220000}"/>
    <cellStyle name="Percent 13 5" xfId="8726" xr:uid="{00000000-0005-0000-0000-000040220000}"/>
    <cellStyle name="Percent 13 6" xfId="8727" xr:uid="{00000000-0005-0000-0000-000041220000}"/>
    <cellStyle name="Percent 14" xfId="8728" xr:uid="{00000000-0005-0000-0000-000042220000}"/>
    <cellStyle name="Percent 14 2" xfId="8729" xr:uid="{00000000-0005-0000-0000-000043220000}"/>
    <cellStyle name="Percent 14 2 2" xfId="8730" xr:uid="{00000000-0005-0000-0000-000044220000}"/>
    <cellStyle name="Percent 14 3" xfId="8731" xr:uid="{00000000-0005-0000-0000-000045220000}"/>
    <cellStyle name="Percent 14 4" xfId="8732" xr:uid="{00000000-0005-0000-0000-000046220000}"/>
    <cellStyle name="Percent 14 4 2" xfId="8733" xr:uid="{00000000-0005-0000-0000-000047220000}"/>
    <cellStyle name="Percent 14 5" xfId="8734" xr:uid="{00000000-0005-0000-0000-000048220000}"/>
    <cellStyle name="Percent 15" xfId="8735" xr:uid="{00000000-0005-0000-0000-000049220000}"/>
    <cellStyle name="Percent 15 2" xfId="8736" xr:uid="{00000000-0005-0000-0000-00004A220000}"/>
    <cellStyle name="Percent 15 2 2" xfId="8737" xr:uid="{00000000-0005-0000-0000-00004B220000}"/>
    <cellStyle name="Percent 15 2 3" xfId="8738" xr:uid="{00000000-0005-0000-0000-00004C220000}"/>
    <cellStyle name="Percent 15 2 4" xfId="8739" xr:uid="{00000000-0005-0000-0000-00004D220000}"/>
    <cellStyle name="Percent 15 3" xfId="8740" xr:uid="{00000000-0005-0000-0000-00004E220000}"/>
    <cellStyle name="Percent 15 3 2" xfId="8741" xr:uid="{00000000-0005-0000-0000-00004F220000}"/>
    <cellStyle name="Percent 15 4" xfId="8742" xr:uid="{00000000-0005-0000-0000-000050220000}"/>
    <cellStyle name="Percent 15 4 2" xfId="8743" xr:uid="{00000000-0005-0000-0000-000051220000}"/>
    <cellStyle name="Percent 15 5" xfId="8744" xr:uid="{00000000-0005-0000-0000-000052220000}"/>
    <cellStyle name="Percent 15 6" xfId="8745" xr:uid="{00000000-0005-0000-0000-000053220000}"/>
    <cellStyle name="Percent 16" xfId="8746" xr:uid="{00000000-0005-0000-0000-000054220000}"/>
    <cellStyle name="Percent 16 2" xfId="8747" xr:uid="{00000000-0005-0000-0000-000055220000}"/>
    <cellStyle name="Percent 16 2 2" xfId="8748" xr:uid="{00000000-0005-0000-0000-000056220000}"/>
    <cellStyle name="Percent 16 3" xfId="8749" xr:uid="{00000000-0005-0000-0000-000057220000}"/>
    <cellStyle name="Percent 16 3 2" xfId="8750" xr:uid="{00000000-0005-0000-0000-000058220000}"/>
    <cellStyle name="Percent 16 4" xfId="8751" xr:uid="{00000000-0005-0000-0000-000059220000}"/>
    <cellStyle name="Percent 16 4 2" xfId="8752" xr:uid="{00000000-0005-0000-0000-00005A220000}"/>
    <cellStyle name="Percent 17" xfId="8753" xr:uid="{00000000-0005-0000-0000-00005B220000}"/>
    <cellStyle name="Percent 17 2" xfId="8754" xr:uid="{00000000-0005-0000-0000-00005C220000}"/>
    <cellStyle name="Percent 17 2 2" xfId="8755" xr:uid="{00000000-0005-0000-0000-00005D220000}"/>
    <cellStyle name="Percent 17 2 3" xfId="8756" xr:uid="{00000000-0005-0000-0000-00005E220000}"/>
    <cellStyle name="Percent 17 3" xfId="8757" xr:uid="{00000000-0005-0000-0000-00005F220000}"/>
    <cellStyle name="Percent 17 3 2" xfId="8758" xr:uid="{00000000-0005-0000-0000-000060220000}"/>
    <cellStyle name="Percent 17 4" xfId="8759" xr:uid="{00000000-0005-0000-0000-000061220000}"/>
    <cellStyle name="Percent 17 4 2" xfId="8760" xr:uid="{00000000-0005-0000-0000-000062220000}"/>
    <cellStyle name="Percent 18" xfId="8761" xr:uid="{00000000-0005-0000-0000-000063220000}"/>
    <cellStyle name="Percent 18 2" xfId="8762" xr:uid="{00000000-0005-0000-0000-000064220000}"/>
    <cellStyle name="Percent 18 2 2" xfId="8763" xr:uid="{00000000-0005-0000-0000-000065220000}"/>
    <cellStyle name="Percent 18 3" xfId="8764" xr:uid="{00000000-0005-0000-0000-000066220000}"/>
    <cellStyle name="Percent 18 3 2" xfId="8765" xr:uid="{00000000-0005-0000-0000-000067220000}"/>
    <cellStyle name="Percent 18 4" xfId="8766" xr:uid="{00000000-0005-0000-0000-000068220000}"/>
    <cellStyle name="Percent 18 4 2" xfId="8767" xr:uid="{00000000-0005-0000-0000-000069220000}"/>
    <cellStyle name="Percent 18 5" xfId="8768" xr:uid="{00000000-0005-0000-0000-00006A220000}"/>
    <cellStyle name="Percent 19" xfId="8769" xr:uid="{00000000-0005-0000-0000-00006B220000}"/>
    <cellStyle name="Percent 19 2" xfId="8770" xr:uid="{00000000-0005-0000-0000-00006C220000}"/>
    <cellStyle name="Percent 19 2 2" xfId="8771" xr:uid="{00000000-0005-0000-0000-00006D220000}"/>
    <cellStyle name="Percent 19 3" xfId="8772" xr:uid="{00000000-0005-0000-0000-00006E220000}"/>
    <cellStyle name="Percent 19 3 2" xfId="8773" xr:uid="{00000000-0005-0000-0000-00006F220000}"/>
    <cellStyle name="Percent 19 4" xfId="8774" xr:uid="{00000000-0005-0000-0000-000070220000}"/>
    <cellStyle name="Percent 19 4 2" xfId="8775" xr:uid="{00000000-0005-0000-0000-000071220000}"/>
    <cellStyle name="Percent 2" xfId="8776" xr:uid="{00000000-0005-0000-0000-000072220000}"/>
    <cellStyle name="Percent 2 2" xfId="8777" xr:uid="{00000000-0005-0000-0000-000073220000}"/>
    <cellStyle name="Percent 2 2 2" xfId="8778" xr:uid="{00000000-0005-0000-0000-000074220000}"/>
    <cellStyle name="Percent 2 2 2 2" xfId="8779" xr:uid="{00000000-0005-0000-0000-000075220000}"/>
    <cellStyle name="Percent 2 2 3" xfId="8780" xr:uid="{00000000-0005-0000-0000-000076220000}"/>
    <cellStyle name="Percent 2 2 4" xfId="8781" xr:uid="{00000000-0005-0000-0000-000077220000}"/>
    <cellStyle name="Percent 2 2 5" xfId="9525" xr:uid="{00000000-0005-0000-0000-000078220000}"/>
    <cellStyle name="Percent 2 3" xfId="8782" xr:uid="{00000000-0005-0000-0000-000079220000}"/>
    <cellStyle name="Percent 2 3 2" xfId="8783" xr:uid="{00000000-0005-0000-0000-00007A220000}"/>
    <cellStyle name="Percent 2 3 3" xfId="8784" xr:uid="{00000000-0005-0000-0000-00007B220000}"/>
    <cellStyle name="Percent 2 3 4" xfId="8785" xr:uid="{00000000-0005-0000-0000-00007C220000}"/>
    <cellStyle name="Percent 2 4" xfId="8786" xr:uid="{00000000-0005-0000-0000-00007D220000}"/>
    <cellStyle name="Percent 2 4 2" xfId="8787" xr:uid="{00000000-0005-0000-0000-00007E220000}"/>
    <cellStyle name="Percent 2 5" xfId="8788" xr:uid="{00000000-0005-0000-0000-00007F220000}"/>
    <cellStyle name="Percent 2 6" xfId="8789" xr:uid="{00000000-0005-0000-0000-000080220000}"/>
    <cellStyle name="Percent 20" xfId="8790" xr:uid="{00000000-0005-0000-0000-000081220000}"/>
    <cellStyle name="Percent 20 2" xfId="8791" xr:uid="{00000000-0005-0000-0000-000082220000}"/>
    <cellStyle name="Percent 20 2 2" xfId="8792" xr:uid="{00000000-0005-0000-0000-000083220000}"/>
    <cellStyle name="Percent 20 2 3" xfId="8793" xr:uid="{00000000-0005-0000-0000-000084220000}"/>
    <cellStyle name="Percent 20 2 4" xfId="8794" xr:uid="{00000000-0005-0000-0000-000085220000}"/>
    <cellStyle name="Percent 20 3" xfId="8795" xr:uid="{00000000-0005-0000-0000-000086220000}"/>
    <cellStyle name="Percent 20 4" xfId="8796" xr:uid="{00000000-0005-0000-0000-000087220000}"/>
    <cellStyle name="Percent 20 5" xfId="8797" xr:uid="{00000000-0005-0000-0000-000088220000}"/>
    <cellStyle name="Percent 21" xfId="8798" xr:uid="{00000000-0005-0000-0000-000089220000}"/>
    <cellStyle name="Percent 21 2" xfId="8799" xr:uid="{00000000-0005-0000-0000-00008A220000}"/>
    <cellStyle name="Percent 21 3" xfId="8800" xr:uid="{00000000-0005-0000-0000-00008B220000}"/>
    <cellStyle name="Percent 22" xfId="8801" xr:uid="{00000000-0005-0000-0000-00008C220000}"/>
    <cellStyle name="Percent 22 2" xfId="8802" xr:uid="{00000000-0005-0000-0000-00008D220000}"/>
    <cellStyle name="Percent 22 3" xfId="8803" xr:uid="{00000000-0005-0000-0000-00008E220000}"/>
    <cellStyle name="Percent 22 3 2" xfId="8804" xr:uid="{00000000-0005-0000-0000-00008F220000}"/>
    <cellStyle name="Percent 22 4" xfId="8805" xr:uid="{00000000-0005-0000-0000-000090220000}"/>
    <cellStyle name="Percent 23" xfId="8806" xr:uid="{00000000-0005-0000-0000-000091220000}"/>
    <cellStyle name="Percent 23 2" xfId="8807" xr:uid="{00000000-0005-0000-0000-000092220000}"/>
    <cellStyle name="Percent 23 3" xfId="8808" xr:uid="{00000000-0005-0000-0000-000093220000}"/>
    <cellStyle name="Percent 23 3 2" xfId="8809" xr:uid="{00000000-0005-0000-0000-000094220000}"/>
    <cellStyle name="Percent 23 4" xfId="8810" xr:uid="{00000000-0005-0000-0000-000095220000}"/>
    <cellStyle name="Percent 24" xfId="8811" xr:uid="{00000000-0005-0000-0000-000096220000}"/>
    <cellStyle name="Percent 24 2" xfId="8812" xr:uid="{00000000-0005-0000-0000-000097220000}"/>
    <cellStyle name="Percent 24 2 2" xfId="8813" xr:uid="{00000000-0005-0000-0000-000098220000}"/>
    <cellStyle name="Percent 24 3" xfId="8814" xr:uid="{00000000-0005-0000-0000-000099220000}"/>
    <cellStyle name="Percent 24 3 2" xfId="8815" xr:uid="{00000000-0005-0000-0000-00009A220000}"/>
    <cellStyle name="Percent 24 4" xfId="8816" xr:uid="{00000000-0005-0000-0000-00009B220000}"/>
    <cellStyle name="Percent 24 4 2" xfId="8817" xr:uid="{00000000-0005-0000-0000-00009C220000}"/>
    <cellStyle name="Percent 24 5" xfId="8818" xr:uid="{00000000-0005-0000-0000-00009D220000}"/>
    <cellStyle name="Percent 25" xfId="8819" xr:uid="{00000000-0005-0000-0000-00009E220000}"/>
    <cellStyle name="Percent 25 2" xfId="8820" xr:uid="{00000000-0005-0000-0000-00009F220000}"/>
    <cellStyle name="Percent 25 2 2" xfId="8821" xr:uid="{00000000-0005-0000-0000-0000A0220000}"/>
    <cellStyle name="Percent 25 3" xfId="8822" xr:uid="{00000000-0005-0000-0000-0000A1220000}"/>
    <cellStyle name="Percent 26" xfId="8823" xr:uid="{00000000-0005-0000-0000-0000A2220000}"/>
    <cellStyle name="Percent 26 2" xfId="8824" xr:uid="{00000000-0005-0000-0000-0000A3220000}"/>
    <cellStyle name="Percent 27" xfId="8825" xr:uid="{00000000-0005-0000-0000-0000A4220000}"/>
    <cellStyle name="Percent 27 2" xfId="8826" xr:uid="{00000000-0005-0000-0000-0000A5220000}"/>
    <cellStyle name="Percent 28" xfId="8827" xr:uid="{00000000-0005-0000-0000-0000A6220000}"/>
    <cellStyle name="Percent 28 2" xfId="8828" xr:uid="{00000000-0005-0000-0000-0000A7220000}"/>
    <cellStyle name="Percent 29" xfId="8829" xr:uid="{00000000-0005-0000-0000-0000A8220000}"/>
    <cellStyle name="Percent 29 2" xfId="8830" xr:uid="{00000000-0005-0000-0000-0000A9220000}"/>
    <cellStyle name="Percent 3" xfId="8831" xr:uid="{00000000-0005-0000-0000-0000AA220000}"/>
    <cellStyle name="Percent 3 2" xfId="8832" xr:uid="{00000000-0005-0000-0000-0000AB220000}"/>
    <cellStyle name="Percent 3 2 2" xfId="8833" xr:uid="{00000000-0005-0000-0000-0000AC220000}"/>
    <cellStyle name="Percent 3 2 2 2" xfId="8834" xr:uid="{00000000-0005-0000-0000-0000AD220000}"/>
    <cellStyle name="Percent 3 2 3" xfId="8835" xr:uid="{00000000-0005-0000-0000-0000AE220000}"/>
    <cellStyle name="Percent 3 2 4" xfId="9524" xr:uid="{00000000-0005-0000-0000-0000AF220000}"/>
    <cellStyle name="Percent 3 3" xfId="8836" xr:uid="{00000000-0005-0000-0000-0000B0220000}"/>
    <cellStyle name="Percent 3 3 2" xfId="8837" xr:uid="{00000000-0005-0000-0000-0000B1220000}"/>
    <cellStyle name="Percent 3 3 3" xfId="9523" xr:uid="{00000000-0005-0000-0000-0000B2220000}"/>
    <cellStyle name="Percent 3 4" xfId="8838" xr:uid="{00000000-0005-0000-0000-0000B3220000}"/>
    <cellStyle name="Percent 3 5" xfId="8839" xr:uid="{00000000-0005-0000-0000-0000B4220000}"/>
    <cellStyle name="Percent 30" xfId="8840" xr:uid="{00000000-0005-0000-0000-0000B5220000}"/>
    <cellStyle name="Percent 30 2" xfId="8841" xr:uid="{00000000-0005-0000-0000-0000B6220000}"/>
    <cellStyle name="Percent 31" xfId="8842" xr:uid="{00000000-0005-0000-0000-0000B7220000}"/>
    <cellStyle name="Percent 31 2" xfId="8843" xr:uid="{00000000-0005-0000-0000-0000B8220000}"/>
    <cellStyle name="Percent 32" xfId="8844" xr:uid="{00000000-0005-0000-0000-0000B9220000}"/>
    <cellStyle name="Percent 32 2" xfId="8845" xr:uid="{00000000-0005-0000-0000-0000BA220000}"/>
    <cellStyle name="Percent 33" xfId="8846" xr:uid="{00000000-0005-0000-0000-0000BB220000}"/>
    <cellStyle name="Percent 33 2" xfId="8847" xr:uid="{00000000-0005-0000-0000-0000BC220000}"/>
    <cellStyle name="Percent 34" xfId="8848" xr:uid="{00000000-0005-0000-0000-0000BD220000}"/>
    <cellStyle name="Percent 34 2" xfId="8849" xr:uid="{00000000-0005-0000-0000-0000BE220000}"/>
    <cellStyle name="Percent 35" xfId="8850" xr:uid="{00000000-0005-0000-0000-0000BF220000}"/>
    <cellStyle name="Percent 35 2" xfId="8851" xr:uid="{00000000-0005-0000-0000-0000C0220000}"/>
    <cellStyle name="Percent 36" xfId="8852" xr:uid="{00000000-0005-0000-0000-0000C1220000}"/>
    <cellStyle name="Percent 36 2" xfId="8853" xr:uid="{00000000-0005-0000-0000-0000C2220000}"/>
    <cellStyle name="Percent 37" xfId="8854" xr:uid="{00000000-0005-0000-0000-0000C3220000}"/>
    <cellStyle name="Percent 37 2" xfId="8855" xr:uid="{00000000-0005-0000-0000-0000C4220000}"/>
    <cellStyle name="Percent 38" xfId="8856" xr:uid="{00000000-0005-0000-0000-0000C5220000}"/>
    <cellStyle name="Percent 38 2" xfId="8857" xr:uid="{00000000-0005-0000-0000-0000C6220000}"/>
    <cellStyle name="Percent 39" xfId="8858" xr:uid="{00000000-0005-0000-0000-0000C7220000}"/>
    <cellStyle name="Percent 39 2" xfId="8859" xr:uid="{00000000-0005-0000-0000-0000C8220000}"/>
    <cellStyle name="Percent 4" xfId="8860" xr:uid="{00000000-0005-0000-0000-0000C9220000}"/>
    <cellStyle name="Percent 4 2" xfId="8861" xr:uid="{00000000-0005-0000-0000-0000CA220000}"/>
    <cellStyle name="Percent 4 2 2" xfId="8862" xr:uid="{00000000-0005-0000-0000-0000CB220000}"/>
    <cellStyle name="Percent 4 2 3" xfId="8863" xr:uid="{00000000-0005-0000-0000-0000CC220000}"/>
    <cellStyle name="Percent 4 2 3 2" xfId="8864" xr:uid="{00000000-0005-0000-0000-0000CD220000}"/>
    <cellStyle name="Percent 4 2 4" xfId="8865" xr:uid="{00000000-0005-0000-0000-0000CE220000}"/>
    <cellStyle name="Percent 4 2 5" xfId="8866" xr:uid="{00000000-0005-0000-0000-0000CF220000}"/>
    <cellStyle name="Percent 4 3" xfId="8867" xr:uid="{00000000-0005-0000-0000-0000D0220000}"/>
    <cellStyle name="Percent 4 3 2" xfId="8868" xr:uid="{00000000-0005-0000-0000-0000D1220000}"/>
    <cellStyle name="Percent 4 4" xfId="8869" xr:uid="{00000000-0005-0000-0000-0000D2220000}"/>
    <cellStyle name="Percent 4 5" xfId="8870" xr:uid="{00000000-0005-0000-0000-0000D3220000}"/>
    <cellStyle name="Percent 40" xfId="8871" xr:uid="{00000000-0005-0000-0000-0000D4220000}"/>
    <cellStyle name="Percent 40 2" xfId="8872" xr:uid="{00000000-0005-0000-0000-0000D5220000}"/>
    <cellStyle name="Percent 41" xfId="8873" xr:uid="{00000000-0005-0000-0000-0000D6220000}"/>
    <cellStyle name="Percent 41 2" xfId="8874" xr:uid="{00000000-0005-0000-0000-0000D7220000}"/>
    <cellStyle name="Percent 42" xfId="8875" xr:uid="{00000000-0005-0000-0000-0000D8220000}"/>
    <cellStyle name="Percent 42 2" xfId="8876" xr:uid="{00000000-0005-0000-0000-0000D9220000}"/>
    <cellStyle name="Percent 43" xfId="8877" xr:uid="{00000000-0005-0000-0000-0000DA220000}"/>
    <cellStyle name="Percent 43 2" xfId="8878" xr:uid="{00000000-0005-0000-0000-0000DB220000}"/>
    <cellStyle name="Percent 44" xfId="8879" xr:uid="{00000000-0005-0000-0000-0000DC220000}"/>
    <cellStyle name="Percent 44 2" xfId="8880" xr:uid="{00000000-0005-0000-0000-0000DD220000}"/>
    <cellStyle name="Percent 45" xfId="8881" xr:uid="{00000000-0005-0000-0000-0000DE220000}"/>
    <cellStyle name="Percent 45 2" xfId="8882" xr:uid="{00000000-0005-0000-0000-0000DF220000}"/>
    <cellStyle name="Percent 46" xfId="8883" xr:uid="{00000000-0005-0000-0000-0000E0220000}"/>
    <cellStyle name="Percent 47" xfId="8884" xr:uid="{00000000-0005-0000-0000-0000E1220000}"/>
    <cellStyle name="Percent 48" xfId="8885" xr:uid="{00000000-0005-0000-0000-0000E2220000}"/>
    <cellStyle name="Percent 49" xfId="8886" xr:uid="{00000000-0005-0000-0000-0000E3220000}"/>
    <cellStyle name="Percent 5" xfId="8887" xr:uid="{00000000-0005-0000-0000-0000E4220000}"/>
    <cellStyle name="Percent 5 2" xfId="8888" xr:uid="{00000000-0005-0000-0000-0000E5220000}"/>
    <cellStyle name="Percent 5 2 2" xfId="8889" xr:uid="{00000000-0005-0000-0000-0000E6220000}"/>
    <cellStyle name="Percent 5 3" xfId="8890" xr:uid="{00000000-0005-0000-0000-0000E7220000}"/>
    <cellStyle name="Percent 5 4" xfId="8891" xr:uid="{00000000-0005-0000-0000-0000E8220000}"/>
    <cellStyle name="Percent 5 5" xfId="9522" xr:uid="{00000000-0005-0000-0000-0000E9220000}"/>
    <cellStyle name="Percent 50" xfId="8892" xr:uid="{00000000-0005-0000-0000-0000EA220000}"/>
    <cellStyle name="Percent 51" xfId="8893" xr:uid="{00000000-0005-0000-0000-0000EB220000}"/>
    <cellStyle name="Percent 52" xfId="8894" xr:uid="{00000000-0005-0000-0000-0000EC220000}"/>
    <cellStyle name="Percent 53" xfId="8895" xr:uid="{00000000-0005-0000-0000-0000ED220000}"/>
    <cellStyle name="Percent 54" xfId="8896" xr:uid="{00000000-0005-0000-0000-0000EE220000}"/>
    <cellStyle name="Percent 55" xfId="8897" xr:uid="{00000000-0005-0000-0000-0000EF220000}"/>
    <cellStyle name="Percent 56" xfId="8898" xr:uid="{00000000-0005-0000-0000-0000F0220000}"/>
    <cellStyle name="Percent 57" xfId="8899" xr:uid="{00000000-0005-0000-0000-0000F1220000}"/>
    <cellStyle name="Percent 58" xfId="8900" xr:uid="{00000000-0005-0000-0000-0000F2220000}"/>
    <cellStyle name="Percent 59" xfId="8901" xr:uid="{00000000-0005-0000-0000-0000F3220000}"/>
    <cellStyle name="Percent 6" xfId="8902" xr:uid="{00000000-0005-0000-0000-0000F4220000}"/>
    <cellStyle name="Percent 6 2" xfId="8903" xr:uid="{00000000-0005-0000-0000-0000F5220000}"/>
    <cellStyle name="Percent 6 2 2" xfId="8904" xr:uid="{00000000-0005-0000-0000-0000F6220000}"/>
    <cellStyle name="Percent 6 2 2 2" xfId="8905" xr:uid="{00000000-0005-0000-0000-0000F7220000}"/>
    <cellStyle name="Percent 6 2 3" xfId="8906" xr:uid="{00000000-0005-0000-0000-0000F8220000}"/>
    <cellStyle name="Percent 6 3" xfId="8907" xr:uid="{00000000-0005-0000-0000-0000F9220000}"/>
    <cellStyle name="Percent 6 3 2" xfId="8908" xr:uid="{00000000-0005-0000-0000-0000FA220000}"/>
    <cellStyle name="Percent 6 4" xfId="8909" xr:uid="{00000000-0005-0000-0000-0000FB220000}"/>
    <cellStyle name="Percent 6 5" xfId="8910" xr:uid="{00000000-0005-0000-0000-0000FC220000}"/>
    <cellStyle name="Percent 60" xfId="8911" xr:uid="{00000000-0005-0000-0000-0000FD220000}"/>
    <cellStyle name="Percent 61" xfId="8912" xr:uid="{00000000-0005-0000-0000-0000FE220000}"/>
    <cellStyle name="Percent 62" xfId="8913" xr:uid="{00000000-0005-0000-0000-0000FF220000}"/>
    <cellStyle name="Percent 63" xfId="8914" xr:uid="{00000000-0005-0000-0000-000000230000}"/>
    <cellStyle name="Percent 64" xfId="8915" xr:uid="{00000000-0005-0000-0000-000001230000}"/>
    <cellStyle name="Percent 65" xfId="8916" xr:uid="{00000000-0005-0000-0000-000002230000}"/>
    <cellStyle name="Percent 66" xfId="8917" xr:uid="{00000000-0005-0000-0000-000003230000}"/>
    <cellStyle name="Percent 67" xfId="8918" xr:uid="{00000000-0005-0000-0000-000004230000}"/>
    <cellStyle name="Percent 68" xfId="8919" xr:uid="{00000000-0005-0000-0000-000005230000}"/>
    <cellStyle name="Percent 69" xfId="8920" xr:uid="{00000000-0005-0000-0000-000006230000}"/>
    <cellStyle name="Percent 7" xfId="8921" xr:uid="{00000000-0005-0000-0000-000007230000}"/>
    <cellStyle name="Percent 7 2" xfId="8922" xr:uid="{00000000-0005-0000-0000-000008230000}"/>
    <cellStyle name="Percent 7 2 2" xfId="8923" xr:uid="{00000000-0005-0000-0000-000009230000}"/>
    <cellStyle name="Percent 7 2 3" xfId="8924" xr:uid="{00000000-0005-0000-0000-00000A230000}"/>
    <cellStyle name="Percent 7 3" xfId="8925" xr:uid="{00000000-0005-0000-0000-00000B230000}"/>
    <cellStyle name="Percent 7 3 2" xfId="8926" xr:uid="{00000000-0005-0000-0000-00000C230000}"/>
    <cellStyle name="Percent 7 3 3" xfId="8927" xr:uid="{00000000-0005-0000-0000-00000D230000}"/>
    <cellStyle name="Percent 7 3 4" xfId="8928" xr:uid="{00000000-0005-0000-0000-00000E230000}"/>
    <cellStyle name="Percent 7 4" xfId="8929" xr:uid="{00000000-0005-0000-0000-00000F230000}"/>
    <cellStyle name="Percent 7 4 2" xfId="8930" xr:uid="{00000000-0005-0000-0000-000010230000}"/>
    <cellStyle name="Percent 7 5" xfId="8931" xr:uid="{00000000-0005-0000-0000-000011230000}"/>
    <cellStyle name="Percent 7 5 2" xfId="8932" xr:uid="{00000000-0005-0000-0000-000012230000}"/>
    <cellStyle name="Percent 7 6" xfId="8933" xr:uid="{00000000-0005-0000-0000-000013230000}"/>
    <cellStyle name="Percent 7 7" xfId="8934" xr:uid="{00000000-0005-0000-0000-000014230000}"/>
    <cellStyle name="Percent 7 8" xfId="8935" xr:uid="{00000000-0005-0000-0000-000015230000}"/>
    <cellStyle name="Percent 7 9" xfId="8936" xr:uid="{00000000-0005-0000-0000-000016230000}"/>
    <cellStyle name="Percent 70" xfId="8937" xr:uid="{00000000-0005-0000-0000-000017230000}"/>
    <cellStyle name="Percent 71" xfId="8938" xr:uid="{00000000-0005-0000-0000-000018230000}"/>
    <cellStyle name="Percent 72" xfId="8939" xr:uid="{00000000-0005-0000-0000-000019230000}"/>
    <cellStyle name="Percent 73" xfId="8940" xr:uid="{00000000-0005-0000-0000-00001A230000}"/>
    <cellStyle name="Percent 74" xfId="8941" xr:uid="{00000000-0005-0000-0000-00001B230000}"/>
    <cellStyle name="Percent 75" xfId="8942" xr:uid="{00000000-0005-0000-0000-00001C230000}"/>
    <cellStyle name="Percent 76" xfId="8943" xr:uid="{00000000-0005-0000-0000-00001D230000}"/>
    <cellStyle name="Percent 77" xfId="8944" xr:uid="{00000000-0005-0000-0000-00001E230000}"/>
    <cellStyle name="Percent 78" xfId="8945" xr:uid="{00000000-0005-0000-0000-00001F230000}"/>
    <cellStyle name="Percent 79" xfId="8946" xr:uid="{00000000-0005-0000-0000-000020230000}"/>
    <cellStyle name="Percent 8" xfId="8947" xr:uid="{00000000-0005-0000-0000-000021230000}"/>
    <cellStyle name="Percent 8 2" xfId="8948" xr:uid="{00000000-0005-0000-0000-000022230000}"/>
    <cellStyle name="Percent 8 2 2" xfId="8949" xr:uid="{00000000-0005-0000-0000-000023230000}"/>
    <cellStyle name="Percent 8 3" xfId="8950" xr:uid="{00000000-0005-0000-0000-000024230000}"/>
    <cellStyle name="Percent 80" xfId="8951" xr:uid="{00000000-0005-0000-0000-000025230000}"/>
    <cellStyle name="Percent 81" xfId="8952" xr:uid="{00000000-0005-0000-0000-000026230000}"/>
    <cellStyle name="Percent 82" xfId="8953" xr:uid="{00000000-0005-0000-0000-000027230000}"/>
    <cellStyle name="Percent 83" xfId="8954" xr:uid="{00000000-0005-0000-0000-000028230000}"/>
    <cellStyle name="Percent 84" xfId="8955" xr:uid="{00000000-0005-0000-0000-000029230000}"/>
    <cellStyle name="Percent 85" xfId="8956" xr:uid="{00000000-0005-0000-0000-00002A230000}"/>
    <cellStyle name="Percent 86" xfId="8957" xr:uid="{00000000-0005-0000-0000-00002B230000}"/>
    <cellStyle name="Percent 87" xfId="8958" xr:uid="{00000000-0005-0000-0000-00002C230000}"/>
    <cellStyle name="Percent 88" xfId="8959" xr:uid="{00000000-0005-0000-0000-00002D230000}"/>
    <cellStyle name="Percent 89" xfId="8960" xr:uid="{00000000-0005-0000-0000-00002E230000}"/>
    <cellStyle name="Percent 9" xfId="8961" xr:uid="{00000000-0005-0000-0000-00002F230000}"/>
    <cellStyle name="Percent 9 2" xfId="8962" xr:uid="{00000000-0005-0000-0000-000030230000}"/>
    <cellStyle name="Percent 9 2 2" xfId="8963" xr:uid="{00000000-0005-0000-0000-000031230000}"/>
    <cellStyle name="Percent 9 2 3" xfId="8964" xr:uid="{00000000-0005-0000-0000-000032230000}"/>
    <cellStyle name="Percent 9 3" xfId="8965" xr:uid="{00000000-0005-0000-0000-000033230000}"/>
    <cellStyle name="Percent 9 4" xfId="8966" xr:uid="{00000000-0005-0000-0000-000034230000}"/>
    <cellStyle name="Percent 90" xfId="8967" xr:uid="{00000000-0005-0000-0000-000035230000}"/>
    <cellStyle name="Percent 91" xfId="8968" xr:uid="{00000000-0005-0000-0000-000036230000}"/>
    <cellStyle name="Percent 92" xfId="8969" xr:uid="{00000000-0005-0000-0000-000037230000}"/>
    <cellStyle name="Percent 93" xfId="8970" xr:uid="{00000000-0005-0000-0000-000038230000}"/>
    <cellStyle name="Percent 94" xfId="8971" xr:uid="{00000000-0005-0000-0000-000039230000}"/>
    <cellStyle name="Percent 95" xfId="8972" xr:uid="{00000000-0005-0000-0000-00003A230000}"/>
    <cellStyle name="Percent 96" xfId="8973" xr:uid="{00000000-0005-0000-0000-00003B230000}"/>
    <cellStyle name="Percent 97" xfId="8974" xr:uid="{00000000-0005-0000-0000-00003C230000}"/>
    <cellStyle name="Percent 98" xfId="8975" xr:uid="{00000000-0005-0000-0000-00003D230000}"/>
    <cellStyle name="Percent 99" xfId="8976" xr:uid="{00000000-0005-0000-0000-00003E230000}"/>
    <cellStyle name="Processing" xfId="8977" xr:uid="{00000000-0005-0000-0000-00003F230000}"/>
    <cellStyle name="Processing 2" xfId="8978" xr:uid="{00000000-0005-0000-0000-000040230000}"/>
    <cellStyle name="Processing 2 2" xfId="8979" xr:uid="{00000000-0005-0000-0000-000041230000}"/>
    <cellStyle name="Processing 3" xfId="8980" xr:uid="{00000000-0005-0000-0000-000042230000}"/>
    <cellStyle name="Processing 4" xfId="8981" xr:uid="{00000000-0005-0000-0000-000043230000}"/>
    <cellStyle name="Processing_AURORA Total New" xfId="8982" xr:uid="{00000000-0005-0000-0000-000044230000}"/>
    <cellStyle name="PS_Comma" xfId="9521" xr:uid="{00000000-0005-0000-0000-000045230000}"/>
    <cellStyle name="PSChar" xfId="8983" xr:uid="{00000000-0005-0000-0000-000046230000}"/>
    <cellStyle name="PSChar 2" xfId="8984" xr:uid="{00000000-0005-0000-0000-000047230000}"/>
    <cellStyle name="PSChar 2 2" xfId="8985" xr:uid="{00000000-0005-0000-0000-000048230000}"/>
    <cellStyle name="PSChar 3" xfId="8986" xr:uid="{00000000-0005-0000-0000-000049230000}"/>
    <cellStyle name="PSChar 4" xfId="8987" xr:uid="{00000000-0005-0000-0000-00004A230000}"/>
    <cellStyle name="PSDate" xfId="8988" xr:uid="{00000000-0005-0000-0000-00004B230000}"/>
    <cellStyle name="PSDate 2" xfId="8989" xr:uid="{00000000-0005-0000-0000-00004C230000}"/>
    <cellStyle name="PSDate 2 2" xfId="8990" xr:uid="{00000000-0005-0000-0000-00004D230000}"/>
    <cellStyle name="PSDate 3" xfId="8991" xr:uid="{00000000-0005-0000-0000-00004E230000}"/>
    <cellStyle name="PSDate 4" xfId="8992" xr:uid="{00000000-0005-0000-0000-00004F230000}"/>
    <cellStyle name="PSDec" xfId="8993" xr:uid="{00000000-0005-0000-0000-000050230000}"/>
    <cellStyle name="PSDec 2" xfId="8994" xr:uid="{00000000-0005-0000-0000-000051230000}"/>
    <cellStyle name="PSDec 2 2" xfId="8995" xr:uid="{00000000-0005-0000-0000-000052230000}"/>
    <cellStyle name="PSDec 3" xfId="8996" xr:uid="{00000000-0005-0000-0000-000053230000}"/>
    <cellStyle name="PSDec 4" xfId="8997" xr:uid="{00000000-0005-0000-0000-000054230000}"/>
    <cellStyle name="PSHeading" xfId="8998" xr:uid="{00000000-0005-0000-0000-000055230000}"/>
    <cellStyle name="PSHeading 2" xfId="8999" xr:uid="{00000000-0005-0000-0000-000056230000}"/>
    <cellStyle name="PSHeading 2 2" xfId="9000" xr:uid="{00000000-0005-0000-0000-000057230000}"/>
    <cellStyle name="PSHeading 3" xfId="9001" xr:uid="{00000000-0005-0000-0000-000058230000}"/>
    <cellStyle name="PSHeading 4" xfId="9002" xr:uid="{00000000-0005-0000-0000-000059230000}"/>
    <cellStyle name="PSInt" xfId="9003" xr:uid="{00000000-0005-0000-0000-00005A230000}"/>
    <cellStyle name="PSInt 2" xfId="9004" xr:uid="{00000000-0005-0000-0000-00005B230000}"/>
    <cellStyle name="PSInt 2 2" xfId="9005" xr:uid="{00000000-0005-0000-0000-00005C230000}"/>
    <cellStyle name="PSInt 3" xfId="9006" xr:uid="{00000000-0005-0000-0000-00005D230000}"/>
    <cellStyle name="PSInt 4" xfId="9007" xr:uid="{00000000-0005-0000-0000-00005E230000}"/>
    <cellStyle name="PSSpacer" xfId="9008" xr:uid="{00000000-0005-0000-0000-00005F230000}"/>
    <cellStyle name="PSSpacer 2" xfId="9009" xr:uid="{00000000-0005-0000-0000-000060230000}"/>
    <cellStyle name="PSSpacer 2 2" xfId="9010" xr:uid="{00000000-0005-0000-0000-000061230000}"/>
    <cellStyle name="PSSpacer 3" xfId="9011" xr:uid="{00000000-0005-0000-0000-000062230000}"/>
    <cellStyle name="PSSpacer 4" xfId="9012" xr:uid="{00000000-0005-0000-0000-000063230000}"/>
    <cellStyle name="purple - Style8" xfId="9013" xr:uid="{00000000-0005-0000-0000-000064230000}"/>
    <cellStyle name="purple - Style8 2" xfId="9014" xr:uid="{00000000-0005-0000-0000-000065230000}"/>
    <cellStyle name="purple - Style8 2 2" xfId="9015" xr:uid="{00000000-0005-0000-0000-000066230000}"/>
    <cellStyle name="purple - Style8 3" xfId="9016" xr:uid="{00000000-0005-0000-0000-000067230000}"/>
    <cellStyle name="purple - Style8_ACCOUNTS" xfId="9017" xr:uid="{00000000-0005-0000-0000-000068230000}"/>
    <cellStyle name="RED" xfId="9018" xr:uid="{00000000-0005-0000-0000-000069230000}"/>
    <cellStyle name="Red - Style7" xfId="9019" xr:uid="{00000000-0005-0000-0000-00006A230000}"/>
    <cellStyle name="Red - Style7 2" xfId="9020" xr:uid="{00000000-0005-0000-0000-00006B230000}"/>
    <cellStyle name="Red - Style7 2 2" xfId="9021" xr:uid="{00000000-0005-0000-0000-00006C230000}"/>
    <cellStyle name="Red - Style7 3" xfId="9022" xr:uid="{00000000-0005-0000-0000-00006D230000}"/>
    <cellStyle name="Red - Style7_ACCOUNTS" xfId="9023" xr:uid="{00000000-0005-0000-0000-00006E230000}"/>
    <cellStyle name="RED 10" xfId="9024" xr:uid="{00000000-0005-0000-0000-00006F230000}"/>
    <cellStyle name="RED 11" xfId="9025" xr:uid="{00000000-0005-0000-0000-000070230000}"/>
    <cellStyle name="RED 12" xfId="9026" xr:uid="{00000000-0005-0000-0000-000071230000}"/>
    <cellStyle name="RED 13" xfId="9027" xr:uid="{00000000-0005-0000-0000-000072230000}"/>
    <cellStyle name="RED 14" xfId="9028" xr:uid="{00000000-0005-0000-0000-000073230000}"/>
    <cellStyle name="RED 15" xfId="9029" xr:uid="{00000000-0005-0000-0000-000074230000}"/>
    <cellStyle name="RED 16" xfId="9030" xr:uid="{00000000-0005-0000-0000-000075230000}"/>
    <cellStyle name="RED 17" xfId="9031" xr:uid="{00000000-0005-0000-0000-000076230000}"/>
    <cellStyle name="RED 18" xfId="9032" xr:uid="{00000000-0005-0000-0000-000077230000}"/>
    <cellStyle name="RED 19" xfId="9033" xr:uid="{00000000-0005-0000-0000-000078230000}"/>
    <cellStyle name="RED 2" xfId="9034" xr:uid="{00000000-0005-0000-0000-000079230000}"/>
    <cellStyle name="RED 2 2" xfId="9035" xr:uid="{00000000-0005-0000-0000-00007A230000}"/>
    <cellStyle name="RED 20" xfId="9036" xr:uid="{00000000-0005-0000-0000-00007B230000}"/>
    <cellStyle name="RED 21" xfId="9037" xr:uid="{00000000-0005-0000-0000-00007C230000}"/>
    <cellStyle name="RED 22" xfId="9038" xr:uid="{00000000-0005-0000-0000-00007D230000}"/>
    <cellStyle name="RED 23" xfId="9039" xr:uid="{00000000-0005-0000-0000-00007E230000}"/>
    <cellStyle name="RED 24" xfId="9040" xr:uid="{00000000-0005-0000-0000-00007F230000}"/>
    <cellStyle name="RED 3" xfId="9041" xr:uid="{00000000-0005-0000-0000-000080230000}"/>
    <cellStyle name="RED 4" xfId="9042" xr:uid="{00000000-0005-0000-0000-000081230000}"/>
    <cellStyle name="RED 5" xfId="9043" xr:uid="{00000000-0005-0000-0000-000082230000}"/>
    <cellStyle name="RED 6" xfId="9044" xr:uid="{00000000-0005-0000-0000-000083230000}"/>
    <cellStyle name="RED 7" xfId="9045" xr:uid="{00000000-0005-0000-0000-000084230000}"/>
    <cellStyle name="RED 8" xfId="9046" xr:uid="{00000000-0005-0000-0000-000085230000}"/>
    <cellStyle name="RED 9" xfId="9047" xr:uid="{00000000-0005-0000-0000-000086230000}"/>
    <cellStyle name="RED_04 07E Wild Horse Wind Expansion (C) (2)" xfId="9048" xr:uid="{00000000-0005-0000-0000-000087230000}"/>
    <cellStyle name="Report" xfId="9049" xr:uid="{00000000-0005-0000-0000-000088230000}"/>
    <cellStyle name="Report - Style5" xfId="9050" xr:uid="{00000000-0005-0000-0000-000089230000}"/>
    <cellStyle name="Report - Style6" xfId="9051" xr:uid="{00000000-0005-0000-0000-00008A230000}"/>
    <cellStyle name="Report - Style7" xfId="9052" xr:uid="{00000000-0005-0000-0000-00008B230000}"/>
    <cellStyle name="Report - Style8" xfId="9053" xr:uid="{00000000-0005-0000-0000-00008C230000}"/>
    <cellStyle name="Report 2" xfId="9054" xr:uid="{00000000-0005-0000-0000-00008D230000}"/>
    <cellStyle name="Report 2 2" xfId="9055" xr:uid="{00000000-0005-0000-0000-00008E230000}"/>
    <cellStyle name="Report 3" xfId="9056" xr:uid="{00000000-0005-0000-0000-00008F230000}"/>
    <cellStyle name="Report 4" xfId="9057" xr:uid="{00000000-0005-0000-0000-000090230000}"/>
    <cellStyle name="Report 5" xfId="9058" xr:uid="{00000000-0005-0000-0000-000091230000}"/>
    <cellStyle name="Report 6" xfId="9059" xr:uid="{00000000-0005-0000-0000-000092230000}"/>
    <cellStyle name="Report Bar" xfId="9060" xr:uid="{00000000-0005-0000-0000-000093230000}"/>
    <cellStyle name="Report Bar 2" xfId="9061" xr:uid="{00000000-0005-0000-0000-000094230000}"/>
    <cellStyle name="Report Bar 2 2" xfId="9062" xr:uid="{00000000-0005-0000-0000-000095230000}"/>
    <cellStyle name="Report Bar 3" xfId="9063" xr:uid="{00000000-0005-0000-0000-000096230000}"/>
    <cellStyle name="Report Bar 4" xfId="9064" xr:uid="{00000000-0005-0000-0000-000097230000}"/>
    <cellStyle name="Report Bar 5" xfId="9065" xr:uid="{00000000-0005-0000-0000-000098230000}"/>
    <cellStyle name="Report Bar_AURORA Total New" xfId="9066" xr:uid="{00000000-0005-0000-0000-000099230000}"/>
    <cellStyle name="Report Heading" xfId="9067" xr:uid="{00000000-0005-0000-0000-00009A230000}"/>
    <cellStyle name="Report Heading 2" xfId="9068" xr:uid="{00000000-0005-0000-0000-00009B230000}"/>
    <cellStyle name="Report Heading 3" xfId="9069" xr:uid="{00000000-0005-0000-0000-00009C230000}"/>
    <cellStyle name="Report Heading 3 2" xfId="9505" xr:uid="{00000000-0005-0000-0000-00009D230000}"/>
    <cellStyle name="Report Heading_Electric Rev Req Model (2009 GRC) Rebuttal" xfId="9070" xr:uid="{00000000-0005-0000-0000-00009E230000}"/>
    <cellStyle name="Report Percent" xfId="9071" xr:uid="{00000000-0005-0000-0000-00009F230000}"/>
    <cellStyle name="Report Percent 2" xfId="9072" xr:uid="{00000000-0005-0000-0000-0000A0230000}"/>
    <cellStyle name="Report Percent 2 2" xfId="9073" xr:uid="{00000000-0005-0000-0000-0000A1230000}"/>
    <cellStyle name="Report Percent 2 2 2" xfId="9074" xr:uid="{00000000-0005-0000-0000-0000A2230000}"/>
    <cellStyle name="Report Percent 2 3" xfId="9075" xr:uid="{00000000-0005-0000-0000-0000A3230000}"/>
    <cellStyle name="Report Percent 3" xfId="9076" xr:uid="{00000000-0005-0000-0000-0000A4230000}"/>
    <cellStyle name="Report Percent 3 2" xfId="9077" xr:uid="{00000000-0005-0000-0000-0000A5230000}"/>
    <cellStyle name="Report Percent 3 2 2" xfId="9078" xr:uid="{00000000-0005-0000-0000-0000A6230000}"/>
    <cellStyle name="Report Percent 3 3" xfId="9079" xr:uid="{00000000-0005-0000-0000-0000A7230000}"/>
    <cellStyle name="Report Percent 3 3 2" xfId="9080" xr:uid="{00000000-0005-0000-0000-0000A8230000}"/>
    <cellStyle name="Report Percent 3 4" xfId="9081" xr:uid="{00000000-0005-0000-0000-0000A9230000}"/>
    <cellStyle name="Report Percent 3 4 2" xfId="9082" xr:uid="{00000000-0005-0000-0000-0000AA230000}"/>
    <cellStyle name="Report Percent 4" xfId="9083" xr:uid="{00000000-0005-0000-0000-0000AB230000}"/>
    <cellStyle name="Report Percent 4 2" xfId="9084" xr:uid="{00000000-0005-0000-0000-0000AC230000}"/>
    <cellStyle name="Report Percent 5" xfId="9085" xr:uid="{00000000-0005-0000-0000-0000AD230000}"/>
    <cellStyle name="Report Percent 6" xfId="9086" xr:uid="{00000000-0005-0000-0000-0000AE230000}"/>
    <cellStyle name="Report Percent 7" xfId="9087" xr:uid="{00000000-0005-0000-0000-0000AF230000}"/>
    <cellStyle name="Report Percent_ACCOUNTS" xfId="9088" xr:uid="{00000000-0005-0000-0000-0000B0230000}"/>
    <cellStyle name="Report Unit Cost" xfId="9089" xr:uid="{00000000-0005-0000-0000-0000B1230000}"/>
    <cellStyle name="Report Unit Cost 2" xfId="9090" xr:uid="{00000000-0005-0000-0000-0000B2230000}"/>
    <cellStyle name="Report Unit Cost 2 2" xfId="9091" xr:uid="{00000000-0005-0000-0000-0000B3230000}"/>
    <cellStyle name="Report Unit Cost 2 2 2" xfId="9092" xr:uid="{00000000-0005-0000-0000-0000B4230000}"/>
    <cellStyle name="Report Unit Cost 2 3" xfId="9093" xr:uid="{00000000-0005-0000-0000-0000B5230000}"/>
    <cellStyle name="Report Unit Cost 3" xfId="9094" xr:uid="{00000000-0005-0000-0000-0000B6230000}"/>
    <cellStyle name="Report Unit Cost 3 2" xfId="9095" xr:uid="{00000000-0005-0000-0000-0000B7230000}"/>
    <cellStyle name="Report Unit Cost 3 2 2" xfId="9096" xr:uid="{00000000-0005-0000-0000-0000B8230000}"/>
    <cellStyle name="Report Unit Cost 3 3" xfId="9097" xr:uid="{00000000-0005-0000-0000-0000B9230000}"/>
    <cellStyle name="Report Unit Cost 3 3 2" xfId="9098" xr:uid="{00000000-0005-0000-0000-0000BA230000}"/>
    <cellStyle name="Report Unit Cost 3 4" xfId="9099" xr:uid="{00000000-0005-0000-0000-0000BB230000}"/>
    <cellStyle name="Report Unit Cost 3 4 2" xfId="9100" xr:uid="{00000000-0005-0000-0000-0000BC230000}"/>
    <cellStyle name="Report Unit Cost 4" xfId="9101" xr:uid="{00000000-0005-0000-0000-0000BD230000}"/>
    <cellStyle name="Report Unit Cost 4 2" xfId="9102" xr:uid="{00000000-0005-0000-0000-0000BE230000}"/>
    <cellStyle name="Report Unit Cost 5" xfId="9103" xr:uid="{00000000-0005-0000-0000-0000BF230000}"/>
    <cellStyle name="Report Unit Cost 6" xfId="9104" xr:uid="{00000000-0005-0000-0000-0000C0230000}"/>
    <cellStyle name="Report Unit Cost 7" xfId="9105" xr:uid="{00000000-0005-0000-0000-0000C1230000}"/>
    <cellStyle name="Report Unit Cost_ACCOUNTS" xfId="9106" xr:uid="{00000000-0005-0000-0000-0000C2230000}"/>
    <cellStyle name="Report_Adj Bench DR 3 for Initial Briefs (Electric)" xfId="9107" xr:uid="{00000000-0005-0000-0000-0000C3230000}"/>
    <cellStyle name="Reports" xfId="9108" xr:uid="{00000000-0005-0000-0000-0000C4230000}"/>
    <cellStyle name="Reports 2" xfId="9109" xr:uid="{00000000-0005-0000-0000-0000C5230000}"/>
    <cellStyle name="Reports 3" xfId="9110" xr:uid="{00000000-0005-0000-0000-0000C6230000}"/>
    <cellStyle name="Reports Total" xfId="9111" xr:uid="{00000000-0005-0000-0000-0000C7230000}"/>
    <cellStyle name="Reports Total 2" xfId="9112" xr:uid="{00000000-0005-0000-0000-0000C8230000}"/>
    <cellStyle name="Reports Total 2 2" xfId="9113" xr:uid="{00000000-0005-0000-0000-0000C9230000}"/>
    <cellStyle name="Reports Total 3" xfId="9114" xr:uid="{00000000-0005-0000-0000-0000CA230000}"/>
    <cellStyle name="Reports Total 4" xfId="9115" xr:uid="{00000000-0005-0000-0000-0000CB230000}"/>
    <cellStyle name="Reports Total 5" xfId="9116" xr:uid="{00000000-0005-0000-0000-0000CC230000}"/>
    <cellStyle name="Reports Total_AURORA Total New" xfId="9117" xr:uid="{00000000-0005-0000-0000-0000CD230000}"/>
    <cellStyle name="Reports Unit Cost Total" xfId="9118" xr:uid="{00000000-0005-0000-0000-0000CE230000}"/>
    <cellStyle name="Reports Unit Cost Total 2" xfId="9119" xr:uid="{00000000-0005-0000-0000-0000CF230000}"/>
    <cellStyle name="Reports Unit Cost Total 3" xfId="9120" xr:uid="{00000000-0005-0000-0000-0000D0230000}"/>
    <cellStyle name="Reports_14.21G &amp; 16.28E Incentive Pay" xfId="9121" xr:uid="{00000000-0005-0000-0000-0000D1230000}"/>
    <cellStyle name="RevList" xfId="9122" xr:uid="{00000000-0005-0000-0000-0000D2230000}"/>
    <cellStyle name="RevList 2" xfId="9123" xr:uid="{00000000-0005-0000-0000-0000D3230000}"/>
    <cellStyle name="round100" xfId="9124" xr:uid="{00000000-0005-0000-0000-0000D4230000}"/>
    <cellStyle name="round100 2" xfId="9125" xr:uid="{00000000-0005-0000-0000-0000D5230000}"/>
    <cellStyle name="round100 2 2" xfId="9126" xr:uid="{00000000-0005-0000-0000-0000D6230000}"/>
    <cellStyle name="round100 2 2 2" xfId="9127" xr:uid="{00000000-0005-0000-0000-0000D7230000}"/>
    <cellStyle name="round100 2 3" xfId="9128" xr:uid="{00000000-0005-0000-0000-0000D8230000}"/>
    <cellStyle name="round100 3" xfId="9129" xr:uid="{00000000-0005-0000-0000-0000D9230000}"/>
    <cellStyle name="round100 3 2" xfId="9130" xr:uid="{00000000-0005-0000-0000-0000DA230000}"/>
    <cellStyle name="round100 3 2 2" xfId="9131" xr:uid="{00000000-0005-0000-0000-0000DB230000}"/>
    <cellStyle name="round100 3 3" xfId="9132" xr:uid="{00000000-0005-0000-0000-0000DC230000}"/>
    <cellStyle name="round100 3 3 2" xfId="9133" xr:uid="{00000000-0005-0000-0000-0000DD230000}"/>
    <cellStyle name="round100 3 4" xfId="9134" xr:uid="{00000000-0005-0000-0000-0000DE230000}"/>
    <cellStyle name="round100 3 4 2" xfId="9135" xr:uid="{00000000-0005-0000-0000-0000DF230000}"/>
    <cellStyle name="round100 4" xfId="9136" xr:uid="{00000000-0005-0000-0000-0000E0230000}"/>
    <cellStyle name="round100 4 2" xfId="9137" xr:uid="{00000000-0005-0000-0000-0000E1230000}"/>
    <cellStyle name="round100 5" xfId="9138" xr:uid="{00000000-0005-0000-0000-0000E2230000}"/>
    <cellStyle name="round100 6" xfId="9139" xr:uid="{00000000-0005-0000-0000-0000E3230000}"/>
    <cellStyle name="round100 7" xfId="9140" xr:uid="{00000000-0005-0000-0000-0000E4230000}"/>
    <cellStyle name="SAPBEXaggData" xfId="9141" xr:uid="{00000000-0005-0000-0000-0000E5230000}"/>
    <cellStyle name="SAPBEXaggData 2" xfId="9142" xr:uid="{00000000-0005-0000-0000-0000E6230000}"/>
    <cellStyle name="SAPBEXaggData 3" xfId="9143" xr:uid="{00000000-0005-0000-0000-0000E7230000}"/>
    <cellStyle name="SAPBEXaggDataEmph" xfId="9144" xr:uid="{00000000-0005-0000-0000-0000E8230000}"/>
    <cellStyle name="SAPBEXaggDataEmph 2" xfId="9145" xr:uid="{00000000-0005-0000-0000-0000E9230000}"/>
    <cellStyle name="SAPBEXaggDataEmph 3" xfId="9146" xr:uid="{00000000-0005-0000-0000-0000EA230000}"/>
    <cellStyle name="SAPBEXaggItem" xfId="9147" xr:uid="{00000000-0005-0000-0000-0000EB230000}"/>
    <cellStyle name="SAPBEXaggItem 2" xfId="9148" xr:uid="{00000000-0005-0000-0000-0000EC230000}"/>
    <cellStyle name="SAPBEXaggItem 3" xfId="9149" xr:uid="{00000000-0005-0000-0000-0000ED230000}"/>
    <cellStyle name="SAPBEXaggItemX" xfId="9150" xr:uid="{00000000-0005-0000-0000-0000EE230000}"/>
    <cellStyle name="SAPBEXaggItemX 2" xfId="9151" xr:uid="{00000000-0005-0000-0000-0000EF230000}"/>
    <cellStyle name="SAPBEXaggItemX 3" xfId="9152" xr:uid="{00000000-0005-0000-0000-0000F0230000}"/>
    <cellStyle name="SAPBEXchaText" xfId="9153" xr:uid="{00000000-0005-0000-0000-0000F1230000}"/>
    <cellStyle name="SAPBEXchaText 2" xfId="9154" xr:uid="{00000000-0005-0000-0000-0000F2230000}"/>
    <cellStyle name="SAPBEXchaText 2 2" xfId="9155" xr:uid="{00000000-0005-0000-0000-0000F3230000}"/>
    <cellStyle name="SAPBEXchaText 2 2 2" xfId="9156" xr:uid="{00000000-0005-0000-0000-0000F4230000}"/>
    <cellStyle name="SAPBEXchaText 2 3" xfId="9157" xr:uid="{00000000-0005-0000-0000-0000F5230000}"/>
    <cellStyle name="SAPBEXchaText 3" xfId="9158" xr:uid="{00000000-0005-0000-0000-0000F6230000}"/>
    <cellStyle name="SAPBEXchaText 3 2" xfId="9159" xr:uid="{00000000-0005-0000-0000-0000F7230000}"/>
    <cellStyle name="SAPBEXchaText 3 2 2" xfId="9160" xr:uid="{00000000-0005-0000-0000-0000F8230000}"/>
    <cellStyle name="SAPBEXchaText 3 3" xfId="9161" xr:uid="{00000000-0005-0000-0000-0000F9230000}"/>
    <cellStyle name="SAPBEXchaText 3 3 2" xfId="9162" xr:uid="{00000000-0005-0000-0000-0000FA230000}"/>
    <cellStyle name="SAPBEXchaText 3 4" xfId="9163" xr:uid="{00000000-0005-0000-0000-0000FB230000}"/>
    <cellStyle name="SAPBEXchaText 3 4 2" xfId="9164" xr:uid="{00000000-0005-0000-0000-0000FC230000}"/>
    <cellStyle name="SAPBEXchaText 4" xfId="9165" xr:uid="{00000000-0005-0000-0000-0000FD230000}"/>
    <cellStyle name="SAPBEXchaText 4 2" xfId="9166" xr:uid="{00000000-0005-0000-0000-0000FE230000}"/>
    <cellStyle name="SAPBEXchaText 5" xfId="9167" xr:uid="{00000000-0005-0000-0000-0000FF230000}"/>
    <cellStyle name="SAPBEXchaText 6" xfId="9168" xr:uid="{00000000-0005-0000-0000-000000240000}"/>
    <cellStyle name="SAPBEXchaText 7" xfId="9169" xr:uid="{00000000-0005-0000-0000-000001240000}"/>
    <cellStyle name="SAPBEXchaText 8" xfId="9170" xr:uid="{00000000-0005-0000-0000-000002240000}"/>
    <cellStyle name="SAPBEXchaText 9" xfId="9171" xr:uid="{00000000-0005-0000-0000-000003240000}"/>
    <cellStyle name="SAPBEXexcBad7" xfId="9172" xr:uid="{00000000-0005-0000-0000-000004240000}"/>
    <cellStyle name="SAPBEXexcBad7 2" xfId="9173" xr:uid="{00000000-0005-0000-0000-000005240000}"/>
    <cellStyle name="SAPBEXexcBad7 3" xfId="9174" xr:uid="{00000000-0005-0000-0000-000006240000}"/>
    <cellStyle name="SAPBEXexcBad8" xfId="9175" xr:uid="{00000000-0005-0000-0000-000007240000}"/>
    <cellStyle name="SAPBEXexcBad8 2" xfId="9176" xr:uid="{00000000-0005-0000-0000-000008240000}"/>
    <cellStyle name="SAPBEXexcBad8 3" xfId="9177" xr:uid="{00000000-0005-0000-0000-000009240000}"/>
    <cellStyle name="SAPBEXexcBad9" xfId="9178" xr:uid="{00000000-0005-0000-0000-00000A240000}"/>
    <cellStyle name="SAPBEXexcBad9 2" xfId="9179" xr:uid="{00000000-0005-0000-0000-00000B240000}"/>
    <cellStyle name="SAPBEXexcBad9 3" xfId="9180" xr:uid="{00000000-0005-0000-0000-00000C240000}"/>
    <cellStyle name="SAPBEXexcCritical4" xfId="9181" xr:uid="{00000000-0005-0000-0000-00000D240000}"/>
    <cellStyle name="SAPBEXexcCritical4 2" xfId="9182" xr:uid="{00000000-0005-0000-0000-00000E240000}"/>
    <cellStyle name="SAPBEXexcCritical4 3" xfId="9183" xr:uid="{00000000-0005-0000-0000-00000F240000}"/>
    <cellStyle name="SAPBEXexcCritical5" xfId="9184" xr:uid="{00000000-0005-0000-0000-000010240000}"/>
    <cellStyle name="SAPBEXexcCritical5 2" xfId="9185" xr:uid="{00000000-0005-0000-0000-000011240000}"/>
    <cellStyle name="SAPBEXexcCritical5 3" xfId="9186" xr:uid="{00000000-0005-0000-0000-000012240000}"/>
    <cellStyle name="SAPBEXexcCritical6" xfId="9187" xr:uid="{00000000-0005-0000-0000-000013240000}"/>
    <cellStyle name="SAPBEXexcCritical6 2" xfId="9188" xr:uid="{00000000-0005-0000-0000-000014240000}"/>
    <cellStyle name="SAPBEXexcCritical6 3" xfId="9189" xr:uid="{00000000-0005-0000-0000-000015240000}"/>
    <cellStyle name="SAPBEXexcGood1" xfId="9190" xr:uid="{00000000-0005-0000-0000-000016240000}"/>
    <cellStyle name="SAPBEXexcGood1 2" xfId="9191" xr:uid="{00000000-0005-0000-0000-000017240000}"/>
    <cellStyle name="SAPBEXexcGood1 3" xfId="9192" xr:uid="{00000000-0005-0000-0000-000018240000}"/>
    <cellStyle name="SAPBEXexcGood2" xfId="9193" xr:uid="{00000000-0005-0000-0000-000019240000}"/>
    <cellStyle name="SAPBEXexcGood2 2" xfId="9194" xr:uid="{00000000-0005-0000-0000-00001A240000}"/>
    <cellStyle name="SAPBEXexcGood2 3" xfId="9195" xr:uid="{00000000-0005-0000-0000-00001B240000}"/>
    <cellStyle name="SAPBEXexcGood3" xfId="9196" xr:uid="{00000000-0005-0000-0000-00001C240000}"/>
    <cellStyle name="SAPBEXexcGood3 2" xfId="9197" xr:uid="{00000000-0005-0000-0000-00001D240000}"/>
    <cellStyle name="SAPBEXexcGood3 3" xfId="9198" xr:uid="{00000000-0005-0000-0000-00001E240000}"/>
    <cellStyle name="SAPBEXfilterDrill" xfId="9199" xr:uid="{00000000-0005-0000-0000-00001F240000}"/>
    <cellStyle name="SAPBEXfilterDrill 2" xfId="9200" xr:uid="{00000000-0005-0000-0000-000020240000}"/>
    <cellStyle name="SAPBEXfilterDrill 3" xfId="9201" xr:uid="{00000000-0005-0000-0000-000021240000}"/>
    <cellStyle name="SAPBEXfilterDrill 4" xfId="9202" xr:uid="{00000000-0005-0000-0000-000022240000}"/>
    <cellStyle name="SAPBEXfilterItem" xfId="9203" xr:uid="{00000000-0005-0000-0000-000023240000}"/>
    <cellStyle name="SAPBEXfilterItem 2" xfId="9204" xr:uid="{00000000-0005-0000-0000-000024240000}"/>
    <cellStyle name="SAPBEXfilterItem 3" xfId="9205" xr:uid="{00000000-0005-0000-0000-000025240000}"/>
    <cellStyle name="SAPBEXfilterText" xfId="9206" xr:uid="{00000000-0005-0000-0000-000026240000}"/>
    <cellStyle name="SAPBEXfilterText 2" xfId="9207" xr:uid="{00000000-0005-0000-0000-000027240000}"/>
    <cellStyle name="SAPBEXfilterText 3" xfId="9208" xr:uid="{00000000-0005-0000-0000-000028240000}"/>
    <cellStyle name="SAPBEXformats" xfId="9209" xr:uid="{00000000-0005-0000-0000-000029240000}"/>
    <cellStyle name="SAPBEXformats 2" xfId="9210" xr:uid="{00000000-0005-0000-0000-00002A240000}"/>
    <cellStyle name="SAPBEXformats 2 2" xfId="9211" xr:uid="{00000000-0005-0000-0000-00002B240000}"/>
    <cellStyle name="SAPBEXformats 3" xfId="9212" xr:uid="{00000000-0005-0000-0000-00002C240000}"/>
    <cellStyle name="SAPBEXformats 4" xfId="9213" xr:uid="{00000000-0005-0000-0000-00002D240000}"/>
    <cellStyle name="SAPBEXheaderItem" xfId="9214" xr:uid="{00000000-0005-0000-0000-00002E240000}"/>
    <cellStyle name="SAPBEXheaderItem 2" xfId="9215" xr:uid="{00000000-0005-0000-0000-00002F240000}"/>
    <cellStyle name="SAPBEXheaderItem 3" xfId="9216" xr:uid="{00000000-0005-0000-0000-000030240000}"/>
    <cellStyle name="SAPBEXheaderItem 4" xfId="9217" xr:uid="{00000000-0005-0000-0000-000031240000}"/>
    <cellStyle name="SAPBEXheaderText" xfId="9218" xr:uid="{00000000-0005-0000-0000-000032240000}"/>
    <cellStyle name="SAPBEXheaderText 2" xfId="9219" xr:uid="{00000000-0005-0000-0000-000033240000}"/>
    <cellStyle name="SAPBEXheaderText 3" xfId="9220" xr:uid="{00000000-0005-0000-0000-000034240000}"/>
    <cellStyle name="SAPBEXheaderText 4" xfId="9221" xr:uid="{00000000-0005-0000-0000-000035240000}"/>
    <cellStyle name="SAPBEXHLevel0" xfId="9222" xr:uid="{00000000-0005-0000-0000-000036240000}"/>
    <cellStyle name="SAPBEXHLevel0 2" xfId="9223" xr:uid="{00000000-0005-0000-0000-000037240000}"/>
    <cellStyle name="SAPBEXHLevel0 2 2" xfId="9224" xr:uid="{00000000-0005-0000-0000-000038240000}"/>
    <cellStyle name="SAPBEXHLevel0 3" xfId="9225" xr:uid="{00000000-0005-0000-0000-000039240000}"/>
    <cellStyle name="SAPBEXHLevel0 4" xfId="9226" xr:uid="{00000000-0005-0000-0000-00003A240000}"/>
    <cellStyle name="SAPBEXHLevel0X" xfId="9227" xr:uid="{00000000-0005-0000-0000-00003B240000}"/>
    <cellStyle name="SAPBEXHLevel0X 2" xfId="9228" xr:uid="{00000000-0005-0000-0000-00003C240000}"/>
    <cellStyle name="SAPBEXHLevel0X 2 2" xfId="9229" xr:uid="{00000000-0005-0000-0000-00003D240000}"/>
    <cellStyle name="SAPBEXHLevel0X 2 2 2" xfId="9230" xr:uid="{00000000-0005-0000-0000-00003E240000}"/>
    <cellStyle name="SAPBEXHLevel0X 2 3" xfId="9231" xr:uid="{00000000-0005-0000-0000-00003F240000}"/>
    <cellStyle name="SAPBEXHLevel0X 3" xfId="9232" xr:uid="{00000000-0005-0000-0000-000040240000}"/>
    <cellStyle name="SAPBEXHLevel0X 3 2" xfId="9233" xr:uid="{00000000-0005-0000-0000-000041240000}"/>
    <cellStyle name="SAPBEXHLevel0X 3 2 2" xfId="9234" xr:uid="{00000000-0005-0000-0000-000042240000}"/>
    <cellStyle name="SAPBEXHLevel0X 3 3" xfId="9235" xr:uid="{00000000-0005-0000-0000-000043240000}"/>
    <cellStyle name="SAPBEXHLevel0X 3 3 2" xfId="9236" xr:uid="{00000000-0005-0000-0000-000044240000}"/>
    <cellStyle name="SAPBEXHLevel0X 3 4" xfId="9237" xr:uid="{00000000-0005-0000-0000-000045240000}"/>
    <cellStyle name="SAPBEXHLevel0X 3 4 2" xfId="9238" xr:uid="{00000000-0005-0000-0000-000046240000}"/>
    <cellStyle name="SAPBEXHLevel0X 4" xfId="9239" xr:uid="{00000000-0005-0000-0000-000047240000}"/>
    <cellStyle name="SAPBEXHLevel0X 4 2" xfId="9240" xr:uid="{00000000-0005-0000-0000-000048240000}"/>
    <cellStyle name="SAPBEXHLevel0X 5" xfId="9241" xr:uid="{00000000-0005-0000-0000-000049240000}"/>
    <cellStyle name="SAPBEXHLevel0X 6" xfId="9242" xr:uid="{00000000-0005-0000-0000-00004A240000}"/>
    <cellStyle name="SAPBEXHLevel0X 7" xfId="9243" xr:uid="{00000000-0005-0000-0000-00004B240000}"/>
    <cellStyle name="SAPBEXHLevel0X 8" xfId="9244" xr:uid="{00000000-0005-0000-0000-00004C240000}"/>
    <cellStyle name="SAPBEXHLevel1" xfId="9245" xr:uid="{00000000-0005-0000-0000-00004D240000}"/>
    <cellStyle name="SAPBEXHLevel1 2" xfId="9246" xr:uid="{00000000-0005-0000-0000-00004E240000}"/>
    <cellStyle name="SAPBEXHLevel1 2 2" xfId="9247" xr:uid="{00000000-0005-0000-0000-00004F240000}"/>
    <cellStyle name="SAPBEXHLevel1 3" xfId="9248" xr:uid="{00000000-0005-0000-0000-000050240000}"/>
    <cellStyle name="SAPBEXHLevel1 4" xfId="9249" xr:uid="{00000000-0005-0000-0000-000051240000}"/>
    <cellStyle name="SAPBEXHLevel1X" xfId="9250" xr:uid="{00000000-0005-0000-0000-000052240000}"/>
    <cellStyle name="SAPBEXHLevel1X 2" xfId="9251" xr:uid="{00000000-0005-0000-0000-000053240000}"/>
    <cellStyle name="SAPBEXHLevel1X 2 2" xfId="9252" xr:uid="{00000000-0005-0000-0000-000054240000}"/>
    <cellStyle name="SAPBEXHLevel1X 3" xfId="9253" xr:uid="{00000000-0005-0000-0000-000055240000}"/>
    <cellStyle name="SAPBEXHLevel1X 4" xfId="9254" xr:uid="{00000000-0005-0000-0000-000056240000}"/>
    <cellStyle name="SAPBEXHLevel2" xfId="9255" xr:uid="{00000000-0005-0000-0000-000057240000}"/>
    <cellStyle name="SAPBEXHLevel2 2" xfId="9256" xr:uid="{00000000-0005-0000-0000-000058240000}"/>
    <cellStyle name="SAPBEXHLevel2 2 2" xfId="9257" xr:uid="{00000000-0005-0000-0000-000059240000}"/>
    <cellStyle name="SAPBEXHLevel2 3" xfId="9258" xr:uid="{00000000-0005-0000-0000-00005A240000}"/>
    <cellStyle name="SAPBEXHLevel2 4" xfId="9259" xr:uid="{00000000-0005-0000-0000-00005B240000}"/>
    <cellStyle name="SAPBEXHLevel2X" xfId="9260" xr:uid="{00000000-0005-0000-0000-00005C240000}"/>
    <cellStyle name="SAPBEXHLevel2X 2" xfId="9261" xr:uid="{00000000-0005-0000-0000-00005D240000}"/>
    <cellStyle name="SAPBEXHLevel2X 2 2" xfId="9262" xr:uid="{00000000-0005-0000-0000-00005E240000}"/>
    <cellStyle name="SAPBEXHLevel2X 3" xfId="9263" xr:uid="{00000000-0005-0000-0000-00005F240000}"/>
    <cellStyle name="SAPBEXHLevel2X 4" xfId="9264" xr:uid="{00000000-0005-0000-0000-000060240000}"/>
    <cellStyle name="SAPBEXHLevel3" xfId="9265" xr:uid="{00000000-0005-0000-0000-000061240000}"/>
    <cellStyle name="SAPBEXHLevel3 2" xfId="9266" xr:uid="{00000000-0005-0000-0000-000062240000}"/>
    <cellStyle name="SAPBEXHLevel3 2 2" xfId="9267" xr:uid="{00000000-0005-0000-0000-000063240000}"/>
    <cellStyle name="SAPBEXHLevel3 3" xfId="9268" xr:uid="{00000000-0005-0000-0000-000064240000}"/>
    <cellStyle name="SAPBEXHLevel3 4" xfId="9269" xr:uid="{00000000-0005-0000-0000-000065240000}"/>
    <cellStyle name="SAPBEXHLevel3X" xfId="9270" xr:uid="{00000000-0005-0000-0000-000066240000}"/>
    <cellStyle name="SAPBEXHLevel3X 2" xfId="9271" xr:uid="{00000000-0005-0000-0000-000067240000}"/>
    <cellStyle name="SAPBEXHLevel3X 2 2" xfId="9272" xr:uid="{00000000-0005-0000-0000-000068240000}"/>
    <cellStyle name="SAPBEXHLevel3X 3" xfId="9273" xr:uid="{00000000-0005-0000-0000-000069240000}"/>
    <cellStyle name="SAPBEXHLevel3X 4" xfId="9274" xr:uid="{00000000-0005-0000-0000-00006A240000}"/>
    <cellStyle name="SAPBEXinputData" xfId="9275" xr:uid="{00000000-0005-0000-0000-00006B240000}"/>
    <cellStyle name="SAPBEXinputData 2" xfId="9276" xr:uid="{00000000-0005-0000-0000-00006C240000}"/>
    <cellStyle name="SAPBEXinputData 2 2" xfId="9277" xr:uid="{00000000-0005-0000-0000-00006D240000}"/>
    <cellStyle name="SAPBEXinputData 3" xfId="9278" xr:uid="{00000000-0005-0000-0000-00006E240000}"/>
    <cellStyle name="SAPBEXItemHeader" xfId="9279" xr:uid="{00000000-0005-0000-0000-00006F240000}"/>
    <cellStyle name="SAPBEXresData" xfId="9280" xr:uid="{00000000-0005-0000-0000-000070240000}"/>
    <cellStyle name="SAPBEXresData 2" xfId="9281" xr:uid="{00000000-0005-0000-0000-000071240000}"/>
    <cellStyle name="SAPBEXresData 3" xfId="9282" xr:uid="{00000000-0005-0000-0000-000072240000}"/>
    <cellStyle name="SAPBEXresDataEmph" xfId="9283" xr:uid="{00000000-0005-0000-0000-000073240000}"/>
    <cellStyle name="SAPBEXresDataEmph 2" xfId="9284" xr:uid="{00000000-0005-0000-0000-000074240000}"/>
    <cellStyle name="SAPBEXresDataEmph 3" xfId="9285" xr:uid="{00000000-0005-0000-0000-000075240000}"/>
    <cellStyle name="SAPBEXresItem" xfId="9286" xr:uid="{00000000-0005-0000-0000-000076240000}"/>
    <cellStyle name="SAPBEXresItem 2" xfId="9287" xr:uid="{00000000-0005-0000-0000-000077240000}"/>
    <cellStyle name="SAPBEXresItem 3" xfId="9288" xr:uid="{00000000-0005-0000-0000-000078240000}"/>
    <cellStyle name="SAPBEXresItemX" xfId="9289" xr:uid="{00000000-0005-0000-0000-000079240000}"/>
    <cellStyle name="SAPBEXresItemX 2" xfId="9290" xr:uid="{00000000-0005-0000-0000-00007A240000}"/>
    <cellStyle name="SAPBEXresItemX 3" xfId="9291" xr:uid="{00000000-0005-0000-0000-00007B240000}"/>
    <cellStyle name="SAPBEXstdData" xfId="9292" xr:uid="{00000000-0005-0000-0000-00007C240000}"/>
    <cellStyle name="SAPBEXstdData 2" xfId="9293" xr:uid="{00000000-0005-0000-0000-00007D240000}"/>
    <cellStyle name="SAPBEXstdData 3" xfId="9294" xr:uid="{00000000-0005-0000-0000-00007E240000}"/>
    <cellStyle name="SAPBEXstdData 4" xfId="9295" xr:uid="{00000000-0005-0000-0000-00007F240000}"/>
    <cellStyle name="SAPBEXstdDataEmph" xfId="9296" xr:uid="{00000000-0005-0000-0000-000080240000}"/>
    <cellStyle name="SAPBEXstdDataEmph 2" xfId="9297" xr:uid="{00000000-0005-0000-0000-000081240000}"/>
    <cellStyle name="SAPBEXstdDataEmph 3" xfId="9298" xr:uid="{00000000-0005-0000-0000-000082240000}"/>
    <cellStyle name="SAPBEXstdItem" xfId="9299" xr:uid="{00000000-0005-0000-0000-000083240000}"/>
    <cellStyle name="SAPBEXstdItem 2" xfId="9300" xr:uid="{00000000-0005-0000-0000-000084240000}"/>
    <cellStyle name="SAPBEXstdItem 2 2" xfId="9301" xr:uid="{00000000-0005-0000-0000-000085240000}"/>
    <cellStyle name="SAPBEXstdItem 2 2 2" xfId="9302" xr:uid="{00000000-0005-0000-0000-000086240000}"/>
    <cellStyle name="SAPBEXstdItem 2 3" xfId="9303" xr:uid="{00000000-0005-0000-0000-000087240000}"/>
    <cellStyle name="SAPBEXstdItem 3" xfId="9304" xr:uid="{00000000-0005-0000-0000-000088240000}"/>
    <cellStyle name="SAPBEXstdItem 3 2" xfId="9305" xr:uid="{00000000-0005-0000-0000-000089240000}"/>
    <cellStyle name="SAPBEXstdItem 3 2 2" xfId="9306" xr:uid="{00000000-0005-0000-0000-00008A240000}"/>
    <cellStyle name="SAPBEXstdItem 3 3" xfId="9307" xr:uid="{00000000-0005-0000-0000-00008B240000}"/>
    <cellStyle name="SAPBEXstdItem 3 3 2" xfId="9308" xr:uid="{00000000-0005-0000-0000-00008C240000}"/>
    <cellStyle name="SAPBEXstdItem 3 4" xfId="9309" xr:uid="{00000000-0005-0000-0000-00008D240000}"/>
    <cellStyle name="SAPBEXstdItem 3 4 2" xfId="9310" xr:uid="{00000000-0005-0000-0000-00008E240000}"/>
    <cellStyle name="SAPBEXstdItem 4" xfId="9311" xr:uid="{00000000-0005-0000-0000-00008F240000}"/>
    <cellStyle name="SAPBEXstdItem 4 2" xfId="9312" xr:uid="{00000000-0005-0000-0000-000090240000}"/>
    <cellStyle name="SAPBEXstdItem 5" xfId="9313" xr:uid="{00000000-0005-0000-0000-000091240000}"/>
    <cellStyle name="SAPBEXstdItem 6" xfId="9314" xr:uid="{00000000-0005-0000-0000-000092240000}"/>
    <cellStyle name="SAPBEXstdItem 7" xfId="9315" xr:uid="{00000000-0005-0000-0000-000093240000}"/>
    <cellStyle name="SAPBEXstdItem 8" xfId="9316" xr:uid="{00000000-0005-0000-0000-000094240000}"/>
    <cellStyle name="SAPBEXstdItemX" xfId="9317" xr:uid="{00000000-0005-0000-0000-000095240000}"/>
    <cellStyle name="SAPBEXstdItemX 2" xfId="9318" xr:uid="{00000000-0005-0000-0000-000096240000}"/>
    <cellStyle name="SAPBEXstdItemX 2 2" xfId="9319" xr:uid="{00000000-0005-0000-0000-000097240000}"/>
    <cellStyle name="SAPBEXstdItemX 2 2 2" xfId="9320" xr:uid="{00000000-0005-0000-0000-000098240000}"/>
    <cellStyle name="SAPBEXstdItemX 2 3" xfId="9321" xr:uid="{00000000-0005-0000-0000-000099240000}"/>
    <cellStyle name="SAPBEXstdItemX 3" xfId="9322" xr:uid="{00000000-0005-0000-0000-00009A240000}"/>
    <cellStyle name="SAPBEXstdItemX 3 2" xfId="9323" xr:uid="{00000000-0005-0000-0000-00009B240000}"/>
    <cellStyle name="SAPBEXstdItemX 3 2 2" xfId="9324" xr:uid="{00000000-0005-0000-0000-00009C240000}"/>
    <cellStyle name="SAPBEXstdItemX 3 3" xfId="9325" xr:uid="{00000000-0005-0000-0000-00009D240000}"/>
    <cellStyle name="SAPBEXstdItemX 3 3 2" xfId="9326" xr:uid="{00000000-0005-0000-0000-00009E240000}"/>
    <cellStyle name="SAPBEXstdItemX 3 4" xfId="9327" xr:uid="{00000000-0005-0000-0000-00009F240000}"/>
    <cellStyle name="SAPBEXstdItemX 3 4 2" xfId="9328" xr:uid="{00000000-0005-0000-0000-0000A0240000}"/>
    <cellStyle name="SAPBEXstdItemX 4" xfId="9329" xr:uid="{00000000-0005-0000-0000-0000A1240000}"/>
    <cellStyle name="SAPBEXstdItemX 4 2" xfId="9330" xr:uid="{00000000-0005-0000-0000-0000A2240000}"/>
    <cellStyle name="SAPBEXstdItemX 5" xfId="9331" xr:uid="{00000000-0005-0000-0000-0000A3240000}"/>
    <cellStyle name="SAPBEXstdItemX 6" xfId="9332" xr:uid="{00000000-0005-0000-0000-0000A4240000}"/>
    <cellStyle name="SAPBEXstdItemX 7" xfId="9333" xr:uid="{00000000-0005-0000-0000-0000A5240000}"/>
    <cellStyle name="SAPBEXstdItemX 8" xfId="9334" xr:uid="{00000000-0005-0000-0000-0000A6240000}"/>
    <cellStyle name="SAPBEXtitle" xfId="9335" xr:uid="{00000000-0005-0000-0000-0000A7240000}"/>
    <cellStyle name="SAPBEXtitle 2" xfId="9336" xr:uid="{00000000-0005-0000-0000-0000A8240000}"/>
    <cellStyle name="SAPBEXtitle 3" xfId="9337" xr:uid="{00000000-0005-0000-0000-0000A9240000}"/>
    <cellStyle name="SAPBEXunassignedItem" xfId="9338" xr:uid="{00000000-0005-0000-0000-0000AA240000}"/>
    <cellStyle name="SAPBEXundefined" xfId="9339" xr:uid="{00000000-0005-0000-0000-0000AB240000}"/>
    <cellStyle name="SAPBEXundefined 2" xfId="9340" xr:uid="{00000000-0005-0000-0000-0000AC240000}"/>
    <cellStyle name="SAPBEXundefined 3" xfId="9341" xr:uid="{00000000-0005-0000-0000-0000AD240000}"/>
    <cellStyle name="shade" xfId="9342" xr:uid="{00000000-0005-0000-0000-0000AE240000}"/>
    <cellStyle name="shade 2" xfId="9343" xr:uid="{00000000-0005-0000-0000-0000AF240000}"/>
    <cellStyle name="shade 2 2" xfId="9344" xr:uid="{00000000-0005-0000-0000-0000B0240000}"/>
    <cellStyle name="shade 2 2 2" xfId="9345" xr:uid="{00000000-0005-0000-0000-0000B1240000}"/>
    <cellStyle name="shade 2 3" xfId="9346" xr:uid="{00000000-0005-0000-0000-0000B2240000}"/>
    <cellStyle name="shade 3" xfId="9347" xr:uid="{00000000-0005-0000-0000-0000B3240000}"/>
    <cellStyle name="shade 3 2" xfId="9348" xr:uid="{00000000-0005-0000-0000-0000B4240000}"/>
    <cellStyle name="shade 3 2 2" xfId="9349" xr:uid="{00000000-0005-0000-0000-0000B5240000}"/>
    <cellStyle name="shade 3 3" xfId="9350" xr:uid="{00000000-0005-0000-0000-0000B6240000}"/>
    <cellStyle name="shade 3 3 2" xfId="9351" xr:uid="{00000000-0005-0000-0000-0000B7240000}"/>
    <cellStyle name="shade 3 4" xfId="9352" xr:uid="{00000000-0005-0000-0000-0000B8240000}"/>
    <cellStyle name="shade 3 4 2" xfId="9353" xr:uid="{00000000-0005-0000-0000-0000B9240000}"/>
    <cellStyle name="shade 4" xfId="9354" xr:uid="{00000000-0005-0000-0000-0000BA240000}"/>
    <cellStyle name="shade 4 2" xfId="9355" xr:uid="{00000000-0005-0000-0000-0000BB240000}"/>
    <cellStyle name="shade 5" xfId="9356" xr:uid="{00000000-0005-0000-0000-0000BC240000}"/>
    <cellStyle name="shade 6" xfId="9357" xr:uid="{00000000-0005-0000-0000-0000BD240000}"/>
    <cellStyle name="shade 7" xfId="9358" xr:uid="{00000000-0005-0000-0000-0000BE240000}"/>
    <cellStyle name="shade_ACCOUNTS" xfId="9359" xr:uid="{00000000-0005-0000-0000-0000BF240000}"/>
    <cellStyle name="Sheet Title" xfId="9360" xr:uid="{00000000-0005-0000-0000-0000C0240000}"/>
    <cellStyle name="StmtTtl1" xfId="9361" xr:uid="{00000000-0005-0000-0000-0000C1240000}"/>
    <cellStyle name="StmtTtl1 2" xfId="9362" xr:uid="{00000000-0005-0000-0000-0000C2240000}"/>
    <cellStyle name="StmtTtl1 2 2" xfId="9363" xr:uid="{00000000-0005-0000-0000-0000C3240000}"/>
    <cellStyle name="StmtTtl1 2 3" xfId="9364" xr:uid="{00000000-0005-0000-0000-0000C4240000}"/>
    <cellStyle name="StmtTtl1 2 4" xfId="9365" xr:uid="{00000000-0005-0000-0000-0000C5240000}"/>
    <cellStyle name="StmtTtl1 3" xfId="9366" xr:uid="{00000000-0005-0000-0000-0000C6240000}"/>
    <cellStyle name="StmtTtl1 3 2" xfId="9367" xr:uid="{00000000-0005-0000-0000-0000C7240000}"/>
    <cellStyle name="StmtTtl1 3 3" xfId="9368" xr:uid="{00000000-0005-0000-0000-0000C8240000}"/>
    <cellStyle name="StmtTtl1 3 4" xfId="9369" xr:uid="{00000000-0005-0000-0000-0000C9240000}"/>
    <cellStyle name="StmtTtl1 4" xfId="9370" xr:uid="{00000000-0005-0000-0000-0000CA240000}"/>
    <cellStyle name="StmtTtl1 4 2" xfId="9371" xr:uid="{00000000-0005-0000-0000-0000CB240000}"/>
    <cellStyle name="StmtTtl1 4 3" xfId="9372" xr:uid="{00000000-0005-0000-0000-0000CC240000}"/>
    <cellStyle name="StmtTtl1 4 4" xfId="9373" xr:uid="{00000000-0005-0000-0000-0000CD240000}"/>
    <cellStyle name="StmtTtl1 5" xfId="9374" xr:uid="{00000000-0005-0000-0000-0000CE240000}"/>
    <cellStyle name="StmtTtl1 5 2" xfId="9375" xr:uid="{00000000-0005-0000-0000-0000CF240000}"/>
    <cellStyle name="StmtTtl1 6" xfId="9376" xr:uid="{00000000-0005-0000-0000-0000D0240000}"/>
    <cellStyle name="StmtTtl1 6 2" xfId="9377" xr:uid="{00000000-0005-0000-0000-0000D1240000}"/>
    <cellStyle name="StmtTtl1 7" xfId="9378" xr:uid="{00000000-0005-0000-0000-0000D2240000}"/>
    <cellStyle name="StmtTtl1 8" xfId="9379" xr:uid="{00000000-0005-0000-0000-0000D3240000}"/>
    <cellStyle name="StmtTtl1_(C) WHE Proforma with ITC cash grant 10 Yr Amort_for deferral_102809" xfId="9380" xr:uid="{00000000-0005-0000-0000-0000D4240000}"/>
    <cellStyle name="StmtTtl2" xfId="9381" xr:uid="{00000000-0005-0000-0000-0000D5240000}"/>
    <cellStyle name="StmtTtl2 2" xfId="9382" xr:uid="{00000000-0005-0000-0000-0000D6240000}"/>
    <cellStyle name="StmtTtl2 2 2" xfId="9383" xr:uid="{00000000-0005-0000-0000-0000D7240000}"/>
    <cellStyle name="StmtTtl2 3" xfId="9384" xr:uid="{00000000-0005-0000-0000-0000D8240000}"/>
    <cellStyle name="StmtTtl2 3 2" xfId="9385" xr:uid="{00000000-0005-0000-0000-0000D9240000}"/>
    <cellStyle name="StmtTtl2 4" xfId="9386" xr:uid="{00000000-0005-0000-0000-0000DA240000}"/>
    <cellStyle name="StmtTtl2 5" xfId="9387" xr:uid="{00000000-0005-0000-0000-0000DB240000}"/>
    <cellStyle name="StmtTtl2 6" xfId="9388" xr:uid="{00000000-0005-0000-0000-0000DC240000}"/>
    <cellStyle name="StmtTtl2 7" xfId="9389" xr:uid="{00000000-0005-0000-0000-0000DD240000}"/>
    <cellStyle name="StmtTtl2 8" xfId="9390" xr:uid="{00000000-0005-0000-0000-0000DE240000}"/>
    <cellStyle name="StmtTtl2 9" xfId="9391" xr:uid="{00000000-0005-0000-0000-0000DF240000}"/>
    <cellStyle name="StmtTtl2_4.32E Depreciation Study Robs file" xfId="9392" xr:uid="{00000000-0005-0000-0000-0000E0240000}"/>
    <cellStyle name="STYL1 - Style1" xfId="9393" xr:uid="{00000000-0005-0000-0000-0000E1240000}"/>
    <cellStyle name="STYL1 - Style1 2" xfId="9394" xr:uid="{00000000-0005-0000-0000-0000E2240000}"/>
    <cellStyle name="Style 1" xfId="9395" xr:uid="{00000000-0005-0000-0000-0000E3240000}"/>
    <cellStyle name="Style 1 10" xfId="9396" xr:uid="{00000000-0005-0000-0000-0000E4240000}"/>
    <cellStyle name="Style 1 11" xfId="9397" xr:uid="{00000000-0005-0000-0000-0000E5240000}"/>
    <cellStyle name="Style 1 2" xfId="9398" xr:uid="{00000000-0005-0000-0000-0000E6240000}"/>
    <cellStyle name="Style 1 2 2" xfId="9399" xr:uid="{00000000-0005-0000-0000-0000E7240000}"/>
    <cellStyle name="Style 1 2 2 2" xfId="9400" xr:uid="{00000000-0005-0000-0000-0000E8240000}"/>
    <cellStyle name="Style 1 2 3" xfId="9401" xr:uid="{00000000-0005-0000-0000-0000E9240000}"/>
    <cellStyle name="Style 1 2 4" xfId="9402" xr:uid="{00000000-0005-0000-0000-0000EA240000}"/>
    <cellStyle name="Style 1 2 5" xfId="9403" xr:uid="{00000000-0005-0000-0000-0000EB240000}"/>
    <cellStyle name="Style 1 2 6" xfId="9404" xr:uid="{00000000-0005-0000-0000-0000EC240000}"/>
    <cellStyle name="Style 1 2_Chelan PUD Power Costs (8-10)" xfId="9405" xr:uid="{00000000-0005-0000-0000-0000ED240000}"/>
    <cellStyle name="Style 1 3" xfId="9406" xr:uid="{00000000-0005-0000-0000-0000EE240000}"/>
    <cellStyle name="Style 1 3 2" xfId="9407" xr:uid="{00000000-0005-0000-0000-0000EF240000}"/>
    <cellStyle name="Style 1 3 2 2" xfId="9408" xr:uid="{00000000-0005-0000-0000-0000F0240000}"/>
    <cellStyle name="Style 1 3 2 3" xfId="9409" xr:uid="{00000000-0005-0000-0000-0000F1240000}"/>
    <cellStyle name="Style 1 3 3" xfId="9410" xr:uid="{00000000-0005-0000-0000-0000F2240000}"/>
    <cellStyle name="Style 1 3 3 2" xfId="9411" xr:uid="{00000000-0005-0000-0000-0000F3240000}"/>
    <cellStyle name="Style 1 3 4" xfId="9412" xr:uid="{00000000-0005-0000-0000-0000F4240000}"/>
    <cellStyle name="Style 1 3 5" xfId="9413" xr:uid="{00000000-0005-0000-0000-0000F5240000}"/>
    <cellStyle name="Style 1 4" xfId="9414" xr:uid="{00000000-0005-0000-0000-0000F6240000}"/>
    <cellStyle name="Style 1 4 2" xfId="9415" xr:uid="{00000000-0005-0000-0000-0000F7240000}"/>
    <cellStyle name="Style 1 4 2 2" xfId="9416" xr:uid="{00000000-0005-0000-0000-0000F8240000}"/>
    <cellStyle name="Style 1 4 3" xfId="9417" xr:uid="{00000000-0005-0000-0000-0000F9240000}"/>
    <cellStyle name="Style 1 4 4" xfId="9418" xr:uid="{00000000-0005-0000-0000-0000FA240000}"/>
    <cellStyle name="Style 1 5" xfId="9419" xr:uid="{00000000-0005-0000-0000-0000FB240000}"/>
    <cellStyle name="Style 1 5 2" xfId="9420" xr:uid="{00000000-0005-0000-0000-0000FC240000}"/>
    <cellStyle name="Style 1 5 2 2" xfId="9421" xr:uid="{00000000-0005-0000-0000-0000FD240000}"/>
    <cellStyle name="Style 1 5 3" xfId="9422" xr:uid="{00000000-0005-0000-0000-0000FE240000}"/>
    <cellStyle name="Style 1 5 4" xfId="9423" xr:uid="{00000000-0005-0000-0000-0000FF240000}"/>
    <cellStyle name="Style 1 6" xfId="9424" xr:uid="{00000000-0005-0000-0000-000000250000}"/>
    <cellStyle name="Style 1 6 2" xfId="9425" xr:uid="{00000000-0005-0000-0000-000001250000}"/>
    <cellStyle name="Style 1 6 2 2" xfId="9426" xr:uid="{00000000-0005-0000-0000-000002250000}"/>
    <cellStyle name="Style 1 6 2 3" xfId="9427" xr:uid="{00000000-0005-0000-0000-000003250000}"/>
    <cellStyle name="Style 1 6 3" xfId="9428" xr:uid="{00000000-0005-0000-0000-000004250000}"/>
    <cellStyle name="Style 1 6 3 2" xfId="9429" xr:uid="{00000000-0005-0000-0000-000005250000}"/>
    <cellStyle name="Style 1 6 4" xfId="9430" xr:uid="{00000000-0005-0000-0000-000006250000}"/>
    <cellStyle name="Style 1 6 4 2" xfId="9431" xr:uid="{00000000-0005-0000-0000-000007250000}"/>
    <cellStyle name="Style 1 6 5" xfId="9432" xr:uid="{00000000-0005-0000-0000-000008250000}"/>
    <cellStyle name="Style 1 6 5 2" xfId="9433" xr:uid="{00000000-0005-0000-0000-000009250000}"/>
    <cellStyle name="Style 1 6 6" xfId="9434" xr:uid="{00000000-0005-0000-0000-00000A250000}"/>
    <cellStyle name="Style 1 7" xfId="9435" xr:uid="{00000000-0005-0000-0000-00000B250000}"/>
    <cellStyle name="Style 1 8" xfId="9436" xr:uid="{00000000-0005-0000-0000-00000C250000}"/>
    <cellStyle name="Style 1 9" xfId="9437" xr:uid="{00000000-0005-0000-0000-00000D250000}"/>
    <cellStyle name="Style 1_ Price Inputs" xfId="9438" xr:uid="{00000000-0005-0000-0000-00000E250000}"/>
    <cellStyle name="STYLE1" xfId="9439" xr:uid="{00000000-0005-0000-0000-00000F250000}"/>
    <cellStyle name="STYLE2" xfId="9440" xr:uid="{00000000-0005-0000-0000-000010250000}"/>
    <cellStyle name="STYLE3" xfId="9441" xr:uid="{00000000-0005-0000-0000-000011250000}"/>
    <cellStyle name="sub-tl - Style3" xfId="9442" xr:uid="{00000000-0005-0000-0000-000012250000}"/>
    <cellStyle name="subtot - Style5" xfId="9443" xr:uid="{00000000-0005-0000-0000-000013250000}"/>
    <cellStyle name="Subtotal" xfId="9444" xr:uid="{00000000-0005-0000-0000-000014250000}"/>
    <cellStyle name="Sub-total" xfId="9445" xr:uid="{00000000-0005-0000-0000-000015250000}"/>
    <cellStyle name="Subtotal 2" xfId="9446" xr:uid="{00000000-0005-0000-0000-000016250000}"/>
    <cellStyle name="Sub-total 2" xfId="9447" xr:uid="{00000000-0005-0000-0000-000017250000}"/>
    <cellStyle name="Subtotal 3" xfId="9448" xr:uid="{00000000-0005-0000-0000-000018250000}"/>
    <cellStyle name="Sub-total 3" xfId="9449" xr:uid="{00000000-0005-0000-0000-000019250000}"/>
    <cellStyle name="taples Plaza" xfId="9450" xr:uid="{00000000-0005-0000-0000-00001A250000}"/>
    <cellStyle name="Test" xfId="9451" xr:uid="{00000000-0005-0000-0000-00001B250000}"/>
    <cellStyle name="Tickmark" xfId="9452" xr:uid="{00000000-0005-0000-0000-00001C250000}"/>
    <cellStyle name="Title 2" xfId="9453" xr:uid="{00000000-0005-0000-0000-00001D250000}"/>
    <cellStyle name="Title 2 2" xfId="9454" xr:uid="{00000000-0005-0000-0000-00001E250000}"/>
    <cellStyle name="Title 2 2 2" xfId="9455" xr:uid="{00000000-0005-0000-0000-00001F250000}"/>
    <cellStyle name="Title 2 3" xfId="9456" xr:uid="{00000000-0005-0000-0000-000020250000}"/>
    <cellStyle name="Title 3" xfId="9457" xr:uid="{00000000-0005-0000-0000-000021250000}"/>
    <cellStyle name="Title 3 2" xfId="9458" xr:uid="{00000000-0005-0000-0000-000022250000}"/>
    <cellStyle name="Title 3 3" xfId="9459" xr:uid="{00000000-0005-0000-0000-000023250000}"/>
    <cellStyle name="Title 3 4" xfId="9460" xr:uid="{00000000-0005-0000-0000-000024250000}"/>
    <cellStyle name="Title 4" xfId="9461" xr:uid="{00000000-0005-0000-0000-000025250000}"/>
    <cellStyle name="Title 5" xfId="9462" xr:uid="{00000000-0005-0000-0000-000026250000}"/>
    <cellStyle name="Title 6" xfId="9463" xr:uid="{00000000-0005-0000-0000-000027250000}"/>
    <cellStyle name="Title: - Style3" xfId="9464" xr:uid="{00000000-0005-0000-0000-000028250000}"/>
    <cellStyle name="Title: - Style4" xfId="9465" xr:uid="{00000000-0005-0000-0000-000029250000}"/>
    <cellStyle name="Title: Major" xfId="9466" xr:uid="{00000000-0005-0000-0000-00002A250000}"/>
    <cellStyle name="Title: Major 2" xfId="9467" xr:uid="{00000000-0005-0000-0000-00002B250000}"/>
    <cellStyle name="Title: Major 3" xfId="9468" xr:uid="{00000000-0005-0000-0000-00002C250000}"/>
    <cellStyle name="Title: Minor" xfId="9469" xr:uid="{00000000-0005-0000-0000-00002D250000}"/>
    <cellStyle name="Title: Minor 2" xfId="9470" xr:uid="{00000000-0005-0000-0000-00002E250000}"/>
    <cellStyle name="Title: Minor 3" xfId="9471" xr:uid="{00000000-0005-0000-0000-00002F250000}"/>
    <cellStyle name="Title: Minor_Electric Rev Req Model (2009 GRC) Rebuttal" xfId="9472" xr:uid="{00000000-0005-0000-0000-000030250000}"/>
    <cellStyle name="Title: Worksheet" xfId="9473" xr:uid="{00000000-0005-0000-0000-000031250000}"/>
    <cellStyle name="Title: Worksheet 2" xfId="9474" xr:uid="{00000000-0005-0000-0000-000032250000}"/>
    <cellStyle name="Total 2" xfId="9475" xr:uid="{00000000-0005-0000-0000-000033250000}"/>
    <cellStyle name="Total 2 2" xfId="9476" xr:uid="{00000000-0005-0000-0000-000034250000}"/>
    <cellStyle name="Total 2 2 2" xfId="9477" xr:uid="{00000000-0005-0000-0000-000035250000}"/>
    <cellStyle name="Total 2 2 3" xfId="9478" xr:uid="{00000000-0005-0000-0000-000036250000}"/>
    <cellStyle name="Total 2 3" xfId="9479" xr:uid="{00000000-0005-0000-0000-000037250000}"/>
    <cellStyle name="Total 2 3 2" xfId="9480" xr:uid="{00000000-0005-0000-0000-000038250000}"/>
    <cellStyle name="Total 2 3 3" xfId="9481" xr:uid="{00000000-0005-0000-0000-000039250000}"/>
    <cellStyle name="Total 2 3 4" xfId="9482" xr:uid="{00000000-0005-0000-0000-00003A250000}"/>
    <cellStyle name="Total 2 4" xfId="9483" xr:uid="{00000000-0005-0000-0000-00003B250000}"/>
    <cellStyle name="Total 3" xfId="9484" xr:uid="{00000000-0005-0000-0000-00003C250000}"/>
    <cellStyle name="Total 3 2" xfId="9485" xr:uid="{00000000-0005-0000-0000-00003D250000}"/>
    <cellStyle name="Total 3 3" xfId="9486" xr:uid="{00000000-0005-0000-0000-00003E250000}"/>
    <cellStyle name="Total 3 4" xfId="9487" xr:uid="{00000000-0005-0000-0000-00003F250000}"/>
    <cellStyle name="Total 4" xfId="9488" xr:uid="{00000000-0005-0000-0000-000040250000}"/>
    <cellStyle name="Total 4 2" xfId="9489" xr:uid="{00000000-0005-0000-0000-000041250000}"/>
    <cellStyle name="Total 5" xfId="9490" xr:uid="{00000000-0005-0000-0000-000042250000}"/>
    <cellStyle name="Total 6" xfId="9491" xr:uid="{00000000-0005-0000-0000-000043250000}"/>
    <cellStyle name="Total 9" xfId="9492" xr:uid="{00000000-0005-0000-0000-000044250000}"/>
    <cellStyle name="Total 9 2" xfId="9493" xr:uid="{00000000-0005-0000-0000-000045250000}"/>
    <cellStyle name="Total4 - Style4" xfId="9494" xr:uid="{00000000-0005-0000-0000-000046250000}"/>
    <cellStyle name="Total4 - Style4 2" xfId="9495" xr:uid="{00000000-0005-0000-0000-000047250000}"/>
    <cellStyle name="Total4 - Style4 2 2" xfId="9496" xr:uid="{00000000-0005-0000-0000-000048250000}"/>
    <cellStyle name="Total4 - Style4 3" xfId="9497" xr:uid="{00000000-0005-0000-0000-000049250000}"/>
    <cellStyle name="Total4 - Style4_ACCOUNTS" xfId="9498" xr:uid="{00000000-0005-0000-0000-00004A250000}"/>
    <cellStyle name="Warning Text 2" xfId="9499" xr:uid="{00000000-0005-0000-0000-00004B250000}"/>
    <cellStyle name="Warning Text 2 2" xfId="9500" xr:uid="{00000000-0005-0000-0000-00004C250000}"/>
    <cellStyle name="Warning Text 2 2 2" xfId="9501" xr:uid="{00000000-0005-0000-0000-00004D250000}"/>
    <cellStyle name="Warning Text 2 3" xfId="9502" xr:uid="{00000000-0005-0000-0000-00004E250000}"/>
    <cellStyle name="Warning Text 3" xfId="9503" xr:uid="{00000000-0005-0000-0000-00004F250000}"/>
    <cellStyle name="Warning Text 4" xfId="9504" xr:uid="{00000000-0005-0000-0000-000050250000}"/>
    <cellStyle name="WM_STANDARD" xfId="9518" xr:uid="{00000000-0005-0000-0000-000051250000}"/>
    <cellStyle name="WMI_Standard" xfId="9517" xr:uid="{00000000-0005-0000-0000-000052250000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00000000-0011-0000-FFFF-FFFF00000000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59"/>
  <sheetViews>
    <sheetView topLeftCell="U1" workbookViewId="0">
      <selection activeCell="AU60" sqref="AU60"/>
    </sheetView>
  </sheetViews>
  <sheetFormatPr defaultRowHeight="14.4"/>
  <cols>
    <col min="1" max="1" width="5.33203125" customWidth="1"/>
    <col min="3" max="3" width="22.5546875" customWidth="1"/>
    <col min="4" max="4" width="17.33203125" customWidth="1"/>
    <col min="5" max="5" width="17.6640625" customWidth="1"/>
    <col min="6" max="6" width="16.88671875" customWidth="1"/>
    <col min="7" max="7" width="17.6640625" customWidth="1"/>
    <col min="8" max="8" width="16.33203125" customWidth="1"/>
    <col min="9" max="10" width="17.33203125" customWidth="1"/>
    <col min="11" max="11" width="16.5546875" customWidth="1"/>
    <col min="12" max="12" width="3.33203125" style="247" customWidth="1"/>
    <col min="13" max="13" width="6" customWidth="1"/>
    <col min="14" max="14" width="38" customWidth="1"/>
    <col min="15" max="15" width="19.33203125" customWidth="1"/>
    <col min="16" max="16" width="16.88671875" bestFit="1" customWidth="1"/>
    <col min="17" max="17" width="16.33203125" customWidth="1"/>
    <col min="18" max="18" width="3.33203125" style="247" customWidth="1"/>
    <col min="19" max="19" width="5.6640625" customWidth="1"/>
    <col min="20" max="20" width="26.33203125" customWidth="1"/>
    <col min="21" max="21" width="16.88671875" customWidth="1"/>
    <col min="22" max="22" width="12.5546875" customWidth="1"/>
    <col min="23" max="23" width="12.6640625" customWidth="1"/>
    <col min="24" max="24" width="12.5546875" customWidth="1"/>
    <col min="25" max="25" width="12.33203125" customWidth="1"/>
    <col min="26" max="27" width="12.5546875" customWidth="1"/>
    <col min="28" max="28" width="12.33203125" customWidth="1"/>
    <col min="29" max="29" width="12.6640625" customWidth="1"/>
    <col min="30" max="30" width="12.5546875" customWidth="1"/>
    <col min="31" max="31" width="12.33203125" customWidth="1"/>
    <col min="32" max="32" width="12.109375" customWidth="1"/>
    <col min="33" max="33" width="12.33203125" customWidth="1"/>
    <col min="34" max="34" width="13.88671875" customWidth="1"/>
    <col min="35" max="35" width="3.6640625" style="247" customWidth="1"/>
    <col min="36" max="36" width="2.44140625" customWidth="1"/>
    <col min="37" max="37" width="22.6640625" customWidth="1"/>
    <col min="39" max="50" width="12.5546875" bestFit="1" customWidth="1"/>
    <col min="51" max="51" width="14.33203125" bestFit="1" customWidth="1"/>
    <col min="52" max="52" width="4.5546875" style="247" customWidth="1"/>
    <col min="54" max="54" width="3" customWidth="1"/>
    <col min="55" max="55" width="30.6640625" customWidth="1"/>
    <col min="56" max="56" width="3.33203125" customWidth="1"/>
  </cols>
  <sheetData>
    <row r="1" spans="1:57" ht="17.399999999999999">
      <c r="A1" s="385" t="s">
        <v>20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M1" s="2"/>
      <c r="N1" s="2"/>
      <c r="O1" s="2"/>
      <c r="P1" s="2"/>
      <c r="Q1" s="2"/>
      <c r="S1" s="391" t="s">
        <v>20</v>
      </c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1"/>
      <c r="AG1" s="391"/>
      <c r="AH1" s="391"/>
      <c r="AJ1" s="151" t="s">
        <v>305</v>
      </c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BA1" s="123" t="s">
        <v>155</v>
      </c>
      <c r="BB1" s="237"/>
      <c r="BC1" s="237"/>
      <c r="BD1" s="237"/>
      <c r="BE1" s="240"/>
    </row>
    <row r="2" spans="1:57" ht="17.399999999999999">
      <c r="A2" s="385" t="s">
        <v>52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M2" s="385" t="s">
        <v>20</v>
      </c>
      <c r="N2" s="385"/>
      <c r="O2" s="385"/>
      <c r="P2" s="385"/>
      <c r="Q2" s="385"/>
      <c r="S2" s="391" t="str">
        <f>M3</f>
        <v xml:space="preserve"> Electric Decoupling Mechanism</v>
      </c>
      <c r="T2" s="391"/>
      <c r="U2" s="391"/>
      <c r="V2" s="391"/>
      <c r="W2" s="391"/>
      <c r="X2" s="391"/>
      <c r="Y2" s="391"/>
      <c r="Z2" s="391"/>
      <c r="AA2" s="391"/>
      <c r="AB2" s="391"/>
      <c r="AC2" s="391"/>
      <c r="AD2" s="391"/>
      <c r="AE2" s="391"/>
      <c r="AF2" s="391"/>
      <c r="AG2" s="391"/>
      <c r="AH2" s="391"/>
      <c r="AJ2" s="151" t="s">
        <v>80</v>
      </c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BA2" s="389" t="s">
        <v>156</v>
      </c>
      <c r="BB2" s="389"/>
      <c r="BC2" s="389"/>
      <c r="BD2" s="389"/>
      <c r="BE2" s="389"/>
    </row>
    <row r="3" spans="1:57" ht="17.399999999999999">
      <c r="A3" s="386" t="s">
        <v>76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M3" s="385" t="s">
        <v>52</v>
      </c>
      <c r="N3" s="385"/>
      <c r="O3" s="385"/>
      <c r="P3" s="385"/>
      <c r="Q3" s="385"/>
      <c r="S3" s="392" t="s">
        <v>75</v>
      </c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J3" s="151" t="s">
        <v>306</v>
      </c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BA3" s="389" t="s">
        <v>157</v>
      </c>
      <c r="BB3" s="389"/>
      <c r="BC3" s="389"/>
      <c r="BD3" s="389"/>
      <c r="BE3" s="389"/>
    </row>
    <row r="4" spans="1:57" ht="15.6">
      <c r="A4" s="7"/>
      <c r="B4" s="8"/>
      <c r="C4" s="8"/>
      <c r="D4" s="8"/>
      <c r="E4" s="8"/>
      <c r="F4" s="8"/>
      <c r="G4" s="8"/>
      <c r="H4" s="8"/>
      <c r="I4" s="8"/>
      <c r="J4" s="8"/>
      <c r="K4" s="8"/>
      <c r="M4" s="386" t="s">
        <v>73</v>
      </c>
      <c r="N4" s="386"/>
      <c r="O4" s="386"/>
      <c r="P4" s="386"/>
      <c r="Q4" s="386"/>
      <c r="S4" s="385"/>
      <c r="T4" s="385"/>
      <c r="U4" s="385"/>
      <c r="V4" s="385"/>
      <c r="W4" s="385"/>
      <c r="X4" s="385"/>
      <c r="Y4" s="385"/>
      <c r="Z4" s="385"/>
      <c r="AA4" s="385"/>
      <c r="AB4" s="385"/>
      <c r="AC4" s="385"/>
      <c r="AD4" s="385"/>
      <c r="AE4" s="385"/>
      <c r="AF4" s="385"/>
      <c r="AG4" s="385"/>
      <c r="AH4" s="385"/>
      <c r="AJ4" s="151" t="s">
        <v>81</v>
      </c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BA4" s="390" t="s">
        <v>308</v>
      </c>
      <c r="BB4" s="390"/>
      <c r="BC4" s="390"/>
      <c r="BD4" s="390"/>
      <c r="BE4" s="390"/>
    </row>
    <row r="5" spans="1:57" ht="26.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M5" s="24"/>
      <c r="N5" s="24"/>
      <c r="O5" s="24"/>
      <c r="P5" s="24"/>
      <c r="Q5" s="24"/>
      <c r="S5" s="251" t="s">
        <v>17</v>
      </c>
      <c r="T5" s="252"/>
      <c r="U5" s="253" t="s">
        <v>16</v>
      </c>
      <c r="V5" s="254" t="s">
        <v>35</v>
      </c>
      <c r="W5" s="254" t="s">
        <v>36</v>
      </c>
      <c r="X5" s="254" t="s">
        <v>37</v>
      </c>
      <c r="Y5" s="254" t="s">
        <v>38</v>
      </c>
      <c r="Z5" s="254" t="s">
        <v>39</v>
      </c>
      <c r="AA5" s="254" t="s">
        <v>40</v>
      </c>
      <c r="AB5" s="254" t="s">
        <v>41</v>
      </c>
      <c r="AC5" s="254" t="s">
        <v>42</v>
      </c>
      <c r="AD5" s="254" t="s">
        <v>43</v>
      </c>
      <c r="AE5" s="254" t="s">
        <v>44</v>
      </c>
      <c r="AF5" s="254" t="s">
        <v>45</v>
      </c>
      <c r="AG5" s="254" t="s">
        <v>46</v>
      </c>
      <c r="AH5" s="251" t="s">
        <v>28</v>
      </c>
      <c r="AJ5" s="151"/>
      <c r="AK5" s="151"/>
      <c r="AL5" s="151"/>
      <c r="AM5" s="151" t="s">
        <v>293</v>
      </c>
      <c r="AN5" s="151" t="s">
        <v>294</v>
      </c>
      <c r="AO5" s="151" t="s">
        <v>82</v>
      </c>
      <c r="AP5" s="151" t="s">
        <v>83</v>
      </c>
      <c r="AQ5" s="151" t="s">
        <v>39</v>
      </c>
      <c r="AR5" s="151" t="s">
        <v>295</v>
      </c>
      <c r="AS5" s="151" t="s">
        <v>296</v>
      </c>
      <c r="AT5" s="151" t="s">
        <v>297</v>
      </c>
      <c r="AU5" s="151" t="s">
        <v>298</v>
      </c>
      <c r="AV5" s="151" t="s">
        <v>299</v>
      </c>
      <c r="AW5" s="151" t="s">
        <v>300</v>
      </c>
      <c r="AX5" s="151" t="s">
        <v>301</v>
      </c>
      <c r="AY5" s="151" t="s">
        <v>66</v>
      </c>
      <c r="BA5" s="126"/>
      <c r="BB5" s="126"/>
      <c r="BC5" s="126"/>
      <c r="BD5" s="126"/>
      <c r="BE5" s="127"/>
    </row>
    <row r="6" spans="1:57" ht="15.6">
      <c r="A6" s="7"/>
      <c r="B6" s="8"/>
      <c r="C6" s="8"/>
      <c r="D6" s="8"/>
      <c r="E6" s="9" t="s">
        <v>21</v>
      </c>
      <c r="F6" s="9" t="s">
        <v>22</v>
      </c>
      <c r="G6" s="9" t="s">
        <v>23</v>
      </c>
      <c r="H6" s="9" t="s">
        <v>24</v>
      </c>
      <c r="I6" s="9" t="s">
        <v>26</v>
      </c>
      <c r="J6" s="102" t="s">
        <v>25</v>
      </c>
      <c r="K6" s="9" t="s">
        <v>27</v>
      </c>
      <c r="M6" s="387" t="s">
        <v>17</v>
      </c>
      <c r="N6" s="24"/>
      <c r="O6" s="24"/>
      <c r="P6" s="387" t="s">
        <v>19</v>
      </c>
      <c r="Q6" s="387" t="s">
        <v>18</v>
      </c>
      <c r="S6" s="20"/>
      <c r="T6" s="21" t="s">
        <v>14</v>
      </c>
      <c r="U6" s="21" t="s">
        <v>13</v>
      </c>
      <c r="V6" s="21" t="s">
        <v>12</v>
      </c>
      <c r="W6" s="21" t="s">
        <v>11</v>
      </c>
      <c r="X6" s="21" t="s">
        <v>10</v>
      </c>
      <c r="Y6" s="21" t="s">
        <v>9</v>
      </c>
      <c r="Z6" s="21" t="s">
        <v>8</v>
      </c>
      <c r="AA6" s="21" t="s">
        <v>7</v>
      </c>
      <c r="AB6" s="21" t="s">
        <v>6</v>
      </c>
      <c r="AC6" s="21" t="s">
        <v>5</v>
      </c>
      <c r="AD6" s="21" t="s">
        <v>4</v>
      </c>
      <c r="AE6" s="21" t="s">
        <v>3</v>
      </c>
      <c r="AF6" s="21" t="s">
        <v>2</v>
      </c>
      <c r="AG6" s="21" t="s">
        <v>1</v>
      </c>
      <c r="AH6" s="21" t="s">
        <v>0</v>
      </c>
      <c r="AJ6" s="151" t="s">
        <v>84</v>
      </c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BA6" s="237" t="s">
        <v>158</v>
      </c>
      <c r="BB6" s="237"/>
      <c r="BC6" s="237"/>
      <c r="BD6" s="237"/>
      <c r="BE6" s="129"/>
    </row>
    <row r="7" spans="1:57" ht="17.399999999999999" customHeight="1">
      <c r="A7" s="7"/>
      <c r="B7" s="8"/>
      <c r="C7" s="8"/>
      <c r="D7" s="8"/>
      <c r="E7" s="238" t="s">
        <v>28</v>
      </c>
      <c r="F7" s="238" t="s">
        <v>288</v>
      </c>
      <c r="G7" s="238" t="s">
        <v>29</v>
      </c>
      <c r="H7" s="238" t="s">
        <v>30</v>
      </c>
      <c r="I7" s="238" t="s">
        <v>32</v>
      </c>
      <c r="J7" s="103" t="s">
        <v>31</v>
      </c>
      <c r="K7" s="238" t="s">
        <v>33</v>
      </c>
      <c r="M7" s="388"/>
      <c r="N7" s="249"/>
      <c r="O7" s="248" t="s">
        <v>16</v>
      </c>
      <c r="P7" s="388"/>
      <c r="Q7" s="388"/>
      <c r="S7" s="21">
        <v>1</v>
      </c>
      <c r="T7" s="32" t="s">
        <v>47</v>
      </c>
      <c r="U7" s="21"/>
      <c r="V7" s="20"/>
      <c r="W7" s="20"/>
      <c r="X7" s="20"/>
      <c r="Y7" s="20"/>
      <c r="Z7" s="22"/>
      <c r="AA7" s="22"/>
      <c r="AB7" s="20"/>
      <c r="AC7" s="20"/>
      <c r="AD7" s="20"/>
      <c r="AE7" s="20"/>
      <c r="AF7" s="20"/>
      <c r="AG7" s="20"/>
      <c r="AH7" s="33"/>
      <c r="AJ7" s="151"/>
      <c r="AK7" s="151" t="s">
        <v>302</v>
      </c>
      <c r="AL7" s="151"/>
      <c r="AM7" s="50">
        <v>289886480</v>
      </c>
      <c r="AN7" s="50">
        <v>265521283</v>
      </c>
      <c r="AO7" s="50">
        <v>243798239</v>
      </c>
      <c r="AP7" s="50">
        <v>186717371</v>
      </c>
      <c r="AQ7" s="50">
        <v>166632949</v>
      </c>
      <c r="AR7" s="50">
        <v>143928993</v>
      </c>
      <c r="AS7" s="50">
        <v>156298537</v>
      </c>
      <c r="AT7" s="50">
        <v>190162484</v>
      </c>
      <c r="AU7" s="50">
        <v>183763954</v>
      </c>
      <c r="AV7" s="50">
        <v>172515690</v>
      </c>
      <c r="AW7" s="50">
        <v>182389214</v>
      </c>
      <c r="AX7" s="50">
        <v>262077988</v>
      </c>
      <c r="AY7" s="50">
        <f t="shared" ref="AY7:AY12" si="0">SUM(AM7:AX7)</f>
        <v>2443693182</v>
      </c>
      <c r="BA7" s="255" t="s">
        <v>159</v>
      </c>
      <c r="BB7" s="237"/>
      <c r="BC7" s="255" t="s">
        <v>160</v>
      </c>
      <c r="BD7" s="131"/>
      <c r="BE7" s="256" t="s">
        <v>161</v>
      </c>
    </row>
    <row r="8" spans="1:57" ht="15.6">
      <c r="A8" s="7"/>
      <c r="B8" s="8"/>
      <c r="C8" s="8"/>
      <c r="D8" s="8"/>
      <c r="E8" s="8"/>
      <c r="F8" s="8"/>
      <c r="G8" s="8"/>
      <c r="H8" s="8"/>
      <c r="I8" s="8"/>
      <c r="J8" s="104"/>
      <c r="K8" s="105"/>
      <c r="M8" s="24"/>
      <c r="N8" s="25" t="s">
        <v>14</v>
      </c>
      <c r="O8" s="25" t="s">
        <v>13</v>
      </c>
      <c r="P8" s="25" t="s">
        <v>12</v>
      </c>
      <c r="Q8" s="25" t="s">
        <v>11</v>
      </c>
      <c r="S8" s="21">
        <f>S7+1</f>
        <v>2</v>
      </c>
      <c r="T8" s="34" t="s">
        <v>19</v>
      </c>
      <c r="U8" s="21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33"/>
      <c r="AJ8" s="151"/>
      <c r="AK8" s="151" t="s">
        <v>85</v>
      </c>
      <c r="AL8" s="151"/>
      <c r="AM8" s="50">
        <v>59897515</v>
      </c>
      <c r="AN8" s="50">
        <v>57189947</v>
      </c>
      <c r="AO8" s="50">
        <v>53416031</v>
      </c>
      <c r="AP8" s="50">
        <v>45515376</v>
      </c>
      <c r="AQ8" s="50">
        <v>44349209</v>
      </c>
      <c r="AR8" s="50">
        <v>40552190</v>
      </c>
      <c r="AS8" s="50">
        <v>43982858</v>
      </c>
      <c r="AT8" s="50">
        <v>50216491</v>
      </c>
      <c r="AU8" s="50">
        <v>52391286</v>
      </c>
      <c r="AV8" s="50">
        <v>48027262</v>
      </c>
      <c r="AW8" s="50">
        <v>44565871</v>
      </c>
      <c r="AX8" s="50">
        <v>56546224</v>
      </c>
      <c r="AY8" s="50">
        <f t="shared" si="0"/>
        <v>596650260</v>
      </c>
      <c r="BA8" s="126"/>
      <c r="BB8" s="126"/>
      <c r="BC8" s="126"/>
      <c r="BD8" s="126"/>
      <c r="BE8" s="127"/>
    </row>
    <row r="9" spans="1:57" ht="16.2">
      <c r="A9" s="7">
        <v>1</v>
      </c>
      <c r="B9" s="8" t="s">
        <v>289</v>
      </c>
      <c r="C9" s="8"/>
      <c r="D9" s="8"/>
      <c r="E9" s="10">
        <f>SUM(F9:K9)</f>
        <v>499982000</v>
      </c>
      <c r="F9" s="55">
        <v>214841000</v>
      </c>
      <c r="G9" s="55">
        <v>71304000</v>
      </c>
      <c r="H9" s="55">
        <v>130152000</v>
      </c>
      <c r="I9" s="55">
        <v>11471000</v>
      </c>
      <c r="J9" s="106">
        <v>65194000</v>
      </c>
      <c r="K9" s="107">
        <v>7020000</v>
      </c>
      <c r="M9" s="25"/>
      <c r="N9" s="26"/>
      <c r="O9" s="25"/>
      <c r="P9" s="25"/>
      <c r="Q9" s="25"/>
      <c r="S9" s="21">
        <f>S8+1</f>
        <v>3</v>
      </c>
      <c r="T9" s="23" t="s">
        <v>48</v>
      </c>
      <c r="U9" s="21" t="s">
        <v>77</v>
      </c>
      <c r="V9" s="45">
        <f>AM50</f>
        <v>284675925</v>
      </c>
      <c r="W9" s="45">
        <f t="shared" ref="W9:AG9" si="1">AN50</f>
        <v>232597855</v>
      </c>
      <c r="X9" s="45">
        <f t="shared" si="1"/>
        <v>228752581</v>
      </c>
      <c r="Y9" s="45">
        <f t="shared" si="1"/>
        <v>172322869</v>
      </c>
      <c r="Z9" s="45">
        <f t="shared" si="1"/>
        <v>166632549</v>
      </c>
      <c r="AA9" s="45">
        <f t="shared" si="1"/>
        <v>148170954</v>
      </c>
      <c r="AB9" s="45">
        <f t="shared" si="1"/>
        <v>153360033</v>
      </c>
      <c r="AC9" s="45">
        <f t="shared" si="1"/>
        <v>181322317</v>
      </c>
      <c r="AD9" s="45">
        <f t="shared" si="1"/>
        <v>146560541</v>
      </c>
      <c r="AE9" s="45">
        <f t="shared" si="1"/>
        <v>174054557</v>
      </c>
      <c r="AF9" s="45">
        <f t="shared" si="1"/>
        <v>212665464</v>
      </c>
      <c r="AG9" s="45">
        <f t="shared" si="1"/>
        <v>277362386</v>
      </c>
      <c r="AH9" s="35">
        <f>SUM(V9:AG9)</f>
        <v>2378478031</v>
      </c>
      <c r="AJ9" s="151"/>
      <c r="AK9" s="151" t="s">
        <v>86</v>
      </c>
      <c r="AL9" s="151"/>
      <c r="AM9" s="50">
        <v>124987510</v>
      </c>
      <c r="AN9" s="50">
        <v>121599193</v>
      </c>
      <c r="AO9" s="50">
        <v>116342928</v>
      </c>
      <c r="AP9" s="50">
        <v>108793173</v>
      </c>
      <c r="AQ9" s="50">
        <v>113179392</v>
      </c>
      <c r="AR9" s="50">
        <v>112320632</v>
      </c>
      <c r="AS9" s="50">
        <v>115086097</v>
      </c>
      <c r="AT9" s="50">
        <v>125217488</v>
      </c>
      <c r="AU9" s="50">
        <v>132529218</v>
      </c>
      <c r="AV9" s="50">
        <v>122102098</v>
      </c>
      <c r="AW9" s="50">
        <v>110516653</v>
      </c>
      <c r="AX9" s="50">
        <v>126020571</v>
      </c>
      <c r="AY9" s="50">
        <f t="shared" si="0"/>
        <v>1428694953</v>
      </c>
      <c r="BA9" s="133">
        <v>1</v>
      </c>
      <c r="BB9" s="126"/>
      <c r="BC9" s="134" t="s">
        <v>69</v>
      </c>
      <c r="BD9" s="126"/>
      <c r="BE9" s="135">
        <v>1</v>
      </c>
    </row>
    <row r="10" spans="1:57" ht="15.6">
      <c r="A10" s="7">
        <v>2</v>
      </c>
      <c r="B10" s="8" t="s">
        <v>143</v>
      </c>
      <c r="C10" s="8"/>
      <c r="D10" s="8"/>
      <c r="E10" s="10">
        <f>SUM(F10:K10)</f>
        <v>-8110000</v>
      </c>
      <c r="F10" s="55">
        <v>-3478000</v>
      </c>
      <c r="G10" s="55">
        <v>-1159000</v>
      </c>
      <c r="H10" s="55">
        <v>-2118000</v>
      </c>
      <c r="I10" s="55">
        <v>-187000</v>
      </c>
      <c r="J10" s="106">
        <v>-1056000</v>
      </c>
      <c r="K10" s="107">
        <v>-112000</v>
      </c>
      <c r="M10" s="25">
        <v>1</v>
      </c>
      <c r="N10" s="24" t="s">
        <v>67</v>
      </c>
      <c r="O10" s="25" t="s">
        <v>151</v>
      </c>
      <c r="P10" s="27">
        <f>F23</f>
        <v>151404606.01129001</v>
      </c>
      <c r="Q10" s="27">
        <f>SUM(G23:I23)</f>
        <v>155123079.99809</v>
      </c>
      <c r="S10" s="21">
        <f>S9+1</f>
        <v>4</v>
      </c>
      <c r="T10" s="20" t="s">
        <v>49</v>
      </c>
      <c r="U10" s="36" t="s">
        <v>53</v>
      </c>
      <c r="V10" s="37">
        <f>V9/$AH9</f>
        <v>0.11968827178122463</v>
      </c>
      <c r="W10" s="37">
        <f t="shared" ref="W10:AG10" si="2">W9/$AH9</f>
        <v>9.7792727941324431E-2</v>
      </c>
      <c r="X10" s="37">
        <f t="shared" si="2"/>
        <v>9.6176032748061149E-2</v>
      </c>
      <c r="Y10" s="37">
        <f t="shared" si="2"/>
        <v>7.2450897907831047E-2</v>
      </c>
      <c r="Z10" s="37">
        <f t="shared" si="2"/>
        <v>7.0058477239725234E-2</v>
      </c>
      <c r="AA10" s="37">
        <f t="shared" si="2"/>
        <v>6.2296540926091069E-2</v>
      </c>
      <c r="AB10" s="37">
        <f t="shared" si="2"/>
        <v>6.4478221367267274E-2</v>
      </c>
      <c r="AC10" s="37">
        <f t="shared" si="2"/>
        <v>7.6234598191249808E-2</v>
      </c>
      <c r="AD10" s="37">
        <f t="shared" si="2"/>
        <v>6.1619463829304548E-2</v>
      </c>
      <c r="AE10" s="37">
        <f t="shared" si="2"/>
        <v>7.3178963493230595E-2</v>
      </c>
      <c r="AF10" s="37">
        <f t="shared" si="2"/>
        <v>8.9412414673675833E-2</v>
      </c>
      <c r="AG10" s="37">
        <f t="shared" si="2"/>
        <v>0.1166133899010144</v>
      </c>
      <c r="AH10" s="37">
        <f>SUM(V10:AG10)</f>
        <v>1</v>
      </c>
      <c r="AJ10" s="151"/>
      <c r="AK10" s="151" t="s">
        <v>303</v>
      </c>
      <c r="AL10" s="151"/>
      <c r="AM10" s="50">
        <v>91489298</v>
      </c>
      <c r="AN10" s="50">
        <v>94615706</v>
      </c>
      <c r="AO10" s="50">
        <v>86450358</v>
      </c>
      <c r="AP10" s="50">
        <v>94974601</v>
      </c>
      <c r="AQ10" s="50">
        <v>91311649</v>
      </c>
      <c r="AR10" s="50">
        <v>91684982</v>
      </c>
      <c r="AS10" s="50">
        <v>87883840</v>
      </c>
      <c r="AT10" s="50">
        <v>94835244</v>
      </c>
      <c r="AU10" s="50">
        <v>98265527</v>
      </c>
      <c r="AV10" s="50">
        <v>90540039</v>
      </c>
      <c r="AW10" s="50">
        <v>89392627</v>
      </c>
      <c r="AX10" s="50">
        <v>90598623</v>
      </c>
      <c r="AY10" s="50">
        <f t="shared" si="0"/>
        <v>1102042494</v>
      </c>
      <c r="BA10" s="133"/>
      <c r="BB10" s="126"/>
      <c r="BC10" s="126"/>
      <c r="BD10" s="126"/>
      <c r="BE10" s="135"/>
    </row>
    <row r="11" spans="1:57" ht="15.6">
      <c r="A11" s="7">
        <v>3</v>
      </c>
      <c r="B11" s="8" t="s">
        <v>290</v>
      </c>
      <c r="C11" s="8"/>
      <c r="D11" s="8"/>
      <c r="E11" s="10">
        <f>SUM(F11:K11)</f>
        <v>491872000</v>
      </c>
      <c r="F11" s="10">
        <f t="shared" ref="F11:K11" si="3">F9+F10</f>
        <v>211363000</v>
      </c>
      <c r="G11" s="10">
        <f t="shared" si="3"/>
        <v>70145000</v>
      </c>
      <c r="H11" s="10">
        <f t="shared" si="3"/>
        <v>128034000</v>
      </c>
      <c r="I11" s="10">
        <f t="shared" si="3"/>
        <v>11284000</v>
      </c>
      <c r="J11" s="108">
        <f>J9+J10</f>
        <v>64138000</v>
      </c>
      <c r="K11" s="109">
        <f t="shared" si="3"/>
        <v>6908000</v>
      </c>
      <c r="M11" s="25"/>
      <c r="N11" s="24"/>
      <c r="O11" s="24"/>
      <c r="P11" s="24"/>
      <c r="Q11" s="24"/>
      <c r="S11" s="21"/>
      <c r="T11" s="20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J11" s="151"/>
      <c r="AK11" s="151" t="s">
        <v>304</v>
      </c>
      <c r="AL11" s="151"/>
      <c r="AM11" s="50">
        <v>4672648</v>
      </c>
      <c r="AN11" s="50">
        <v>4692329</v>
      </c>
      <c r="AO11" s="50">
        <v>4018427</v>
      </c>
      <c r="AP11" s="50">
        <v>5516677</v>
      </c>
      <c r="AQ11" s="50">
        <v>10758607</v>
      </c>
      <c r="AR11" s="50">
        <v>19067966</v>
      </c>
      <c r="AS11" s="50">
        <v>22113559</v>
      </c>
      <c r="AT11" s="50">
        <v>23803945</v>
      </c>
      <c r="AU11" s="50">
        <v>22699934</v>
      </c>
      <c r="AV11" s="50">
        <v>10534589</v>
      </c>
      <c r="AW11" s="50">
        <v>4961688</v>
      </c>
      <c r="AX11" s="50">
        <v>4285935</v>
      </c>
      <c r="AY11" s="50">
        <f t="shared" si="0"/>
        <v>137126304</v>
      </c>
      <c r="BA11" s="133"/>
      <c r="BB11" s="126"/>
      <c r="BC11" s="136" t="s">
        <v>162</v>
      </c>
      <c r="BD11" s="137"/>
      <c r="BE11" s="135"/>
    </row>
    <row r="12" spans="1:57" ht="15.6">
      <c r="A12" s="7"/>
      <c r="B12" s="8"/>
      <c r="C12" s="8"/>
      <c r="D12" s="8"/>
      <c r="E12" s="10"/>
      <c r="F12" s="10"/>
      <c r="G12" s="10"/>
      <c r="H12" s="10"/>
      <c r="I12" s="10"/>
      <c r="J12" s="108"/>
      <c r="K12" s="109"/>
      <c r="M12" s="25">
        <v>2</v>
      </c>
      <c r="N12" s="24" t="s">
        <v>79</v>
      </c>
      <c r="O12" s="25" t="s">
        <v>56</v>
      </c>
      <c r="P12" s="28">
        <f>F19/12</f>
        <v>205172.25</v>
      </c>
      <c r="Q12" s="28">
        <f>SUM(G19:I19)/12</f>
        <v>34823.166666666664</v>
      </c>
      <c r="S12" s="21">
        <v>5</v>
      </c>
      <c r="T12" s="34" t="s">
        <v>50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J12" s="151"/>
      <c r="AK12" s="151" t="s">
        <v>87</v>
      </c>
      <c r="AL12" s="151"/>
      <c r="AM12" s="50">
        <v>2098291</v>
      </c>
      <c r="AN12" s="50">
        <v>2097748</v>
      </c>
      <c r="AO12" s="50">
        <v>2097084</v>
      </c>
      <c r="AP12" s="50">
        <v>2092917</v>
      </c>
      <c r="AQ12" s="50">
        <v>2080667</v>
      </c>
      <c r="AR12" s="50">
        <v>2071670</v>
      </c>
      <c r="AS12" s="50">
        <v>2091912</v>
      </c>
      <c r="AT12" s="50">
        <v>2091315</v>
      </c>
      <c r="AU12" s="50">
        <v>2086444</v>
      </c>
      <c r="AV12" s="50">
        <v>2114106</v>
      </c>
      <c r="AW12" s="50">
        <v>2103410</v>
      </c>
      <c r="AX12" s="50">
        <v>2102201</v>
      </c>
      <c r="AY12" s="50">
        <f t="shared" si="0"/>
        <v>25127765</v>
      </c>
      <c r="BA12" s="133">
        <v>2</v>
      </c>
      <c r="BB12" s="126"/>
      <c r="BC12" s="137" t="s">
        <v>163</v>
      </c>
      <c r="BD12" s="137"/>
      <c r="BE12" s="137">
        <v>5.3530000000000001E-3</v>
      </c>
    </row>
    <row r="13" spans="1:57" ht="15.6">
      <c r="A13" s="7">
        <v>4</v>
      </c>
      <c r="B13" s="8" t="s">
        <v>291</v>
      </c>
      <c r="C13" s="8"/>
      <c r="D13" s="8"/>
      <c r="E13" s="11">
        <f>SUM(F13:K13)</f>
        <v>5653834483</v>
      </c>
      <c r="F13" s="12">
        <v>2378478031</v>
      </c>
      <c r="G13" s="12">
        <v>588401236</v>
      </c>
      <c r="H13" s="12">
        <v>1419228271</v>
      </c>
      <c r="I13" s="12">
        <v>137227044</v>
      </c>
      <c r="J13" s="110">
        <v>1105372136</v>
      </c>
      <c r="K13" s="111">
        <v>25127765</v>
      </c>
      <c r="M13" s="25"/>
      <c r="N13" s="24"/>
      <c r="O13" s="24"/>
      <c r="P13" s="28"/>
      <c r="Q13" s="28"/>
      <c r="S13" s="21">
        <v>6</v>
      </c>
      <c r="T13" s="23" t="s">
        <v>48</v>
      </c>
      <c r="U13" s="21" t="s">
        <v>77</v>
      </c>
      <c r="V13" s="45">
        <f>AM53</f>
        <v>174546983</v>
      </c>
      <c r="W13" s="45">
        <f t="shared" ref="W13:AG13" si="4">AN53</f>
        <v>177500854</v>
      </c>
      <c r="X13" s="45">
        <f t="shared" si="4"/>
        <v>166289029</v>
      </c>
      <c r="Y13" s="45">
        <f t="shared" si="4"/>
        <v>165417455</v>
      </c>
      <c r="Z13" s="45">
        <f t="shared" si="4"/>
        <v>178108889</v>
      </c>
      <c r="AA13" s="45">
        <f t="shared" si="4"/>
        <v>185503197</v>
      </c>
      <c r="AB13" s="45">
        <f t="shared" si="4"/>
        <v>200737081</v>
      </c>
      <c r="AC13" s="45">
        <f t="shared" si="4"/>
        <v>187588012</v>
      </c>
      <c r="AD13" s="45">
        <f t="shared" si="4"/>
        <v>179420897</v>
      </c>
      <c r="AE13" s="45">
        <f t="shared" si="4"/>
        <v>183203251</v>
      </c>
      <c r="AF13" s="45">
        <f t="shared" si="4"/>
        <v>168530619</v>
      </c>
      <c r="AG13" s="45">
        <f t="shared" si="4"/>
        <v>178010284</v>
      </c>
      <c r="AH13" s="35">
        <f>SUM(V13:AG13)</f>
        <v>2144856551</v>
      </c>
      <c r="AJ13" s="151" t="s">
        <v>88</v>
      </c>
      <c r="AK13" s="151"/>
      <c r="AL13" s="151"/>
      <c r="AM13" s="51">
        <f>SUM(AM7:AM12)</f>
        <v>573031742</v>
      </c>
      <c r="AN13" s="51">
        <f t="shared" ref="AN13:AY13" si="5">SUM(AN7:AN12)</f>
        <v>545716206</v>
      </c>
      <c r="AO13" s="51">
        <f t="shared" si="5"/>
        <v>506123067</v>
      </c>
      <c r="AP13" s="51">
        <f t="shared" si="5"/>
        <v>443610115</v>
      </c>
      <c r="AQ13" s="51">
        <f t="shared" si="5"/>
        <v>428312473</v>
      </c>
      <c r="AR13" s="51">
        <f t="shared" si="5"/>
        <v>409626433</v>
      </c>
      <c r="AS13" s="51">
        <f t="shared" si="5"/>
        <v>427456803</v>
      </c>
      <c r="AT13" s="51">
        <f t="shared" si="5"/>
        <v>486326967</v>
      </c>
      <c r="AU13" s="51">
        <f t="shared" si="5"/>
        <v>491736363</v>
      </c>
      <c r="AV13" s="51">
        <f t="shared" si="5"/>
        <v>445833784</v>
      </c>
      <c r="AW13" s="51">
        <f t="shared" si="5"/>
        <v>433929463</v>
      </c>
      <c r="AX13" s="51">
        <f t="shared" si="5"/>
        <v>541631542</v>
      </c>
      <c r="AY13" s="51">
        <f t="shared" si="5"/>
        <v>5733334958</v>
      </c>
      <c r="BA13" s="133"/>
      <c r="BB13" s="126"/>
      <c r="BC13" s="137"/>
      <c r="BD13" s="137"/>
      <c r="BE13" s="137"/>
    </row>
    <row r="14" spans="1:57" ht="15.6">
      <c r="A14" s="7">
        <v>5</v>
      </c>
      <c r="B14" s="8" t="s">
        <v>144</v>
      </c>
      <c r="C14" s="8"/>
      <c r="D14" s="13"/>
      <c r="E14" s="13">
        <f t="shared" ref="E14:K14" si="6">$E$27</f>
        <v>1.6410000000000001E-2</v>
      </c>
      <c r="F14" s="13">
        <f t="shared" si="6"/>
        <v>1.6410000000000001E-2</v>
      </c>
      <c r="G14" s="13">
        <f t="shared" si="6"/>
        <v>1.6410000000000001E-2</v>
      </c>
      <c r="H14" s="13">
        <f t="shared" si="6"/>
        <v>1.6410000000000001E-2</v>
      </c>
      <c r="I14" s="13">
        <f t="shared" si="6"/>
        <v>1.6410000000000001E-2</v>
      </c>
      <c r="J14" s="112">
        <f t="shared" si="6"/>
        <v>1.6410000000000001E-2</v>
      </c>
      <c r="K14" s="113">
        <f t="shared" si="6"/>
        <v>1.6410000000000001E-2</v>
      </c>
      <c r="M14" s="25">
        <v>3</v>
      </c>
      <c r="N14" s="24" t="s">
        <v>68</v>
      </c>
      <c r="O14" s="25" t="str">
        <f>"("&amp;M10&amp;") / ("&amp;M12&amp;")"</f>
        <v>(1) / (2)</v>
      </c>
      <c r="P14" s="29">
        <f>ROUND(P10/P12,2)</f>
        <v>737.94</v>
      </c>
      <c r="Q14" s="29">
        <f>ROUND(Q10/Q12,2)</f>
        <v>4454.59</v>
      </c>
      <c r="S14" s="21">
        <v>7</v>
      </c>
      <c r="T14" s="20" t="s">
        <v>49</v>
      </c>
      <c r="U14" s="36" t="s">
        <v>53</v>
      </c>
      <c r="V14" s="40">
        <f>V13/$AH13</f>
        <v>8.1379327171609991E-2</v>
      </c>
      <c r="W14" s="40">
        <f t="shared" ref="W14:AG14" si="7">W13/$AH13</f>
        <v>8.2756515309727122E-2</v>
      </c>
      <c r="X14" s="40">
        <f t="shared" si="7"/>
        <v>7.7529207686393195E-2</v>
      </c>
      <c r="Y14" s="40">
        <f t="shared" si="7"/>
        <v>7.7122852305846354E-2</v>
      </c>
      <c r="Z14" s="40">
        <f t="shared" si="7"/>
        <v>8.3040000468544151E-2</v>
      </c>
      <c r="AA14" s="40">
        <f t="shared" si="7"/>
        <v>8.6487460857702828E-2</v>
      </c>
      <c r="AB14" s="40">
        <f t="shared" si="7"/>
        <v>9.3589979668528431E-2</v>
      </c>
      <c r="AC14" s="40">
        <f t="shared" si="7"/>
        <v>8.7459467586557496E-2</v>
      </c>
      <c r="AD14" s="40">
        <f t="shared" si="7"/>
        <v>8.3651700117822941E-2</v>
      </c>
      <c r="AE14" s="40">
        <f t="shared" si="7"/>
        <v>8.5415153248633274E-2</v>
      </c>
      <c r="AF14" s="40">
        <f t="shared" si="7"/>
        <v>7.8574307881534411E-2</v>
      </c>
      <c r="AG14" s="40">
        <f t="shared" si="7"/>
        <v>8.299402769709982E-2</v>
      </c>
      <c r="AH14" s="40">
        <f>SUM(V14:AG14)</f>
        <v>1</v>
      </c>
      <c r="AJ14" s="151"/>
      <c r="AK14" s="151"/>
      <c r="AL14" s="151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BA14" s="133">
        <v>3</v>
      </c>
      <c r="BB14" s="126"/>
      <c r="BC14" s="137" t="s">
        <v>164</v>
      </c>
      <c r="BD14" s="137"/>
      <c r="BE14" s="137">
        <v>2E-3</v>
      </c>
    </row>
    <row r="15" spans="1:57" ht="15.6">
      <c r="A15" s="7">
        <v>6</v>
      </c>
      <c r="B15" s="8" t="s">
        <v>58</v>
      </c>
      <c r="C15" s="8"/>
      <c r="D15" s="13"/>
      <c r="E15" s="10">
        <f>SUM(F15:K15)</f>
        <v>92779423.866030008</v>
      </c>
      <c r="F15" s="10">
        <f t="shared" ref="F15:K15" si="8">F14*F13</f>
        <v>39030824.488710001</v>
      </c>
      <c r="G15" s="10">
        <f t="shared" si="8"/>
        <v>9655664.2827599999</v>
      </c>
      <c r="H15" s="10">
        <f t="shared" si="8"/>
        <v>23289535.927110001</v>
      </c>
      <c r="I15" s="10">
        <f t="shared" si="8"/>
        <v>2251895.7920400002</v>
      </c>
      <c r="J15" s="108">
        <f t="shared" si="8"/>
        <v>18139156.751760002</v>
      </c>
      <c r="K15" s="109">
        <f t="shared" si="8"/>
        <v>412346.62365000002</v>
      </c>
      <c r="M15" s="25"/>
      <c r="N15" s="24"/>
      <c r="O15" s="24"/>
      <c r="P15" s="30"/>
      <c r="Q15" s="30"/>
      <c r="S15" s="21"/>
      <c r="T15" s="20"/>
      <c r="U15" s="41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J15" s="151" t="s">
        <v>89</v>
      </c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BA15" s="133"/>
      <c r="BB15" s="126"/>
      <c r="BC15" s="137"/>
      <c r="BD15" s="137"/>
      <c r="BE15" s="137"/>
    </row>
    <row r="16" spans="1:57" ht="15.6">
      <c r="A16" s="7"/>
      <c r="B16" s="8"/>
      <c r="C16" s="8"/>
      <c r="D16" s="8"/>
      <c r="E16" s="10"/>
      <c r="F16" s="10"/>
      <c r="G16" s="10"/>
      <c r="H16" s="10"/>
      <c r="I16" s="10"/>
      <c r="J16" s="108"/>
      <c r="K16" s="109"/>
      <c r="M16" s="25"/>
      <c r="N16" s="31" t="s">
        <v>51</v>
      </c>
      <c r="O16" s="24"/>
      <c r="P16" s="24"/>
      <c r="Q16" s="24"/>
      <c r="S16" s="21"/>
      <c r="T16" s="34"/>
      <c r="U16" s="21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33"/>
      <c r="AJ16" s="151"/>
      <c r="AK16" s="151" t="s">
        <v>302</v>
      </c>
      <c r="AL16" s="151"/>
      <c r="AM16" s="50">
        <v>-8629013</v>
      </c>
      <c r="AN16" s="50">
        <v>-13249697</v>
      </c>
      <c r="AO16" s="50">
        <v>-15167724</v>
      </c>
      <c r="AP16" s="50">
        <v>-15020391</v>
      </c>
      <c r="AQ16" s="50">
        <v>-8320850</v>
      </c>
      <c r="AR16" s="50">
        <v>-6289455</v>
      </c>
      <c r="AS16" s="50">
        <v>32359748</v>
      </c>
      <c r="AT16" s="50">
        <v>7875571</v>
      </c>
      <c r="AU16" s="50">
        <v>-35572443</v>
      </c>
      <c r="AV16" s="50">
        <v>5552393</v>
      </c>
      <c r="AW16" s="50">
        <v>31259449</v>
      </c>
      <c r="AX16" s="50">
        <v>21876369</v>
      </c>
      <c r="AY16" s="50">
        <f t="shared" ref="AY16:AY21" si="9">SUM(AM16:AX16)</f>
        <v>-3326043</v>
      </c>
      <c r="BA16" s="133">
        <v>4</v>
      </c>
      <c r="BB16" s="126"/>
      <c r="BC16" s="137" t="s">
        <v>165</v>
      </c>
      <c r="BD16" s="137"/>
      <c r="BE16" s="137">
        <v>3.8526999999999999E-2</v>
      </c>
    </row>
    <row r="17" spans="1:57" ht="15.6">
      <c r="A17" s="7">
        <v>7</v>
      </c>
      <c r="B17" s="8" t="s">
        <v>61</v>
      </c>
      <c r="C17" s="8"/>
      <c r="D17" s="8"/>
      <c r="E17" s="10">
        <f>SUM(F17:K17)</f>
        <v>346598079.50938004</v>
      </c>
      <c r="F17" s="14">
        <f>F11-F15</f>
        <v>172332175.51129001</v>
      </c>
      <c r="G17" s="14">
        <f>G11-G15</f>
        <v>60489335.717239998</v>
      </c>
      <c r="H17" s="14">
        <f>H11-H15</f>
        <v>104744464.07289</v>
      </c>
      <c r="I17" s="14">
        <f>I11-I15</f>
        <v>9032104.2079600003</v>
      </c>
      <c r="J17" s="104"/>
      <c r="K17" s="105"/>
      <c r="M17" s="2"/>
      <c r="N17" s="2"/>
      <c r="O17" s="2"/>
      <c r="P17" s="2"/>
      <c r="Q17" s="2"/>
      <c r="S17" s="21"/>
      <c r="T17" s="23"/>
      <c r="U17" s="21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35"/>
      <c r="AJ17" s="151"/>
      <c r="AK17" s="151" t="s">
        <v>85</v>
      </c>
      <c r="AL17" s="151"/>
      <c r="AM17" s="50">
        <v>-3303565</v>
      </c>
      <c r="AN17" s="50">
        <v>-1535906</v>
      </c>
      <c r="AO17" s="50">
        <v>-2730463</v>
      </c>
      <c r="AP17" s="50">
        <v>-359642</v>
      </c>
      <c r="AQ17" s="50">
        <v>330134</v>
      </c>
      <c r="AR17" s="50">
        <v>-8117</v>
      </c>
      <c r="AS17" s="50">
        <v>8770260</v>
      </c>
      <c r="AT17" s="50">
        <v>-66022</v>
      </c>
      <c r="AU17" s="50">
        <v>-7064268</v>
      </c>
      <c r="AV17" s="50">
        <v>1915402</v>
      </c>
      <c r="AW17" s="50">
        <v>3710756</v>
      </c>
      <c r="AX17" s="50">
        <v>571774</v>
      </c>
      <c r="AY17" s="50">
        <f t="shared" si="9"/>
        <v>230343</v>
      </c>
      <c r="BA17" s="133"/>
      <c r="BB17" s="126"/>
      <c r="BC17" s="137"/>
      <c r="BD17" s="137"/>
      <c r="BE17" s="137"/>
    </row>
    <row r="18" spans="1:57" ht="15.6">
      <c r="A18" s="7"/>
      <c r="B18" s="8"/>
      <c r="C18" s="8"/>
      <c r="D18" s="8"/>
      <c r="E18" s="8"/>
      <c r="F18" s="8"/>
      <c r="G18" s="8"/>
      <c r="H18" s="8"/>
      <c r="I18" s="8"/>
      <c r="J18" s="104"/>
      <c r="K18" s="105"/>
      <c r="M18" s="2"/>
      <c r="N18" s="52" t="s">
        <v>69</v>
      </c>
      <c r="O18" s="2"/>
      <c r="P18" s="2"/>
      <c r="Q18" s="2"/>
      <c r="S18" s="21"/>
      <c r="T18" s="20"/>
      <c r="U18" s="36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J18" s="151"/>
      <c r="AK18" s="151" t="s">
        <v>86</v>
      </c>
      <c r="AL18" s="151"/>
      <c r="AM18" s="50">
        <v>-12112408</v>
      </c>
      <c r="AN18" s="50">
        <v>-1842619</v>
      </c>
      <c r="AO18" s="50">
        <v>-4416151</v>
      </c>
      <c r="AP18" s="50">
        <v>5108117</v>
      </c>
      <c r="AQ18" s="50">
        <v>5506971</v>
      </c>
      <c r="AR18" s="50">
        <v>6019940</v>
      </c>
      <c r="AS18" s="50">
        <v>19264215</v>
      </c>
      <c r="AT18" s="50">
        <v>-5195728</v>
      </c>
      <c r="AU18" s="50">
        <v>-16717293</v>
      </c>
      <c r="AV18" s="50">
        <v>5029228</v>
      </c>
      <c r="AW18" s="50">
        <v>7159702</v>
      </c>
      <c r="AX18" s="50">
        <v>-7595920</v>
      </c>
      <c r="AY18" s="50">
        <f t="shared" si="9"/>
        <v>208054</v>
      </c>
      <c r="BA18" s="133">
        <v>5</v>
      </c>
      <c r="BB18" s="126"/>
      <c r="BC18" s="137" t="s">
        <v>166</v>
      </c>
      <c r="BD18" s="137"/>
      <c r="BE18" s="138">
        <f>SUM(BE12:BE16)</f>
        <v>4.5879999999999997E-2</v>
      </c>
    </row>
    <row r="19" spans="1:57" ht="15.6">
      <c r="A19" s="7">
        <v>8</v>
      </c>
      <c r="B19" s="8" t="s">
        <v>292</v>
      </c>
      <c r="C19" s="8"/>
      <c r="D19" s="8"/>
      <c r="E19" s="11">
        <f>SUM(F19:K19)</f>
        <v>2879945</v>
      </c>
      <c r="F19" s="15">
        <v>2462067</v>
      </c>
      <c r="G19" s="15">
        <v>364552</v>
      </c>
      <c r="H19" s="15">
        <v>24110</v>
      </c>
      <c r="I19" s="15">
        <v>29216</v>
      </c>
      <c r="J19" s="104"/>
      <c r="K19" s="105"/>
      <c r="M19" s="2"/>
      <c r="N19" s="52" t="s">
        <v>70</v>
      </c>
      <c r="O19" s="2"/>
      <c r="P19" s="27">
        <f>P12*P14</f>
        <v>151404810.16500002</v>
      </c>
      <c r="Q19" s="27">
        <f>Q12*Q14</f>
        <v>155122930.00166667</v>
      </c>
      <c r="S19" s="21"/>
      <c r="T19" s="20"/>
      <c r="U19" s="21"/>
      <c r="V19" s="40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J19" s="151"/>
      <c r="AK19" s="151" t="s">
        <v>303</v>
      </c>
      <c r="AL19" s="151"/>
      <c r="AM19" s="50">
        <v>2241859</v>
      </c>
      <c r="AN19" s="50">
        <v>-8070452</v>
      </c>
      <c r="AO19" s="50">
        <v>8650454</v>
      </c>
      <c r="AP19" s="50">
        <v>-3806069</v>
      </c>
      <c r="AQ19" s="50">
        <v>364651</v>
      </c>
      <c r="AR19" s="50">
        <v>-3831904</v>
      </c>
      <c r="AS19" s="50">
        <v>7018703</v>
      </c>
      <c r="AT19" s="50">
        <v>3501763</v>
      </c>
      <c r="AU19" s="50">
        <v>-4414487</v>
      </c>
      <c r="AV19" s="50">
        <v>1351394</v>
      </c>
      <c r="AW19" s="50">
        <v>-1068952</v>
      </c>
      <c r="AX19" s="50">
        <v>1470945</v>
      </c>
      <c r="AY19" s="50">
        <f t="shared" si="9"/>
        <v>3407905</v>
      </c>
      <c r="BA19" s="133"/>
      <c r="BB19" s="126"/>
      <c r="BC19" s="137"/>
      <c r="BD19" s="137"/>
      <c r="BE19" s="139"/>
    </row>
    <row r="20" spans="1:57" ht="15.6">
      <c r="A20" s="7">
        <v>9</v>
      </c>
      <c r="B20" s="8" t="s">
        <v>145</v>
      </c>
      <c r="C20" s="8"/>
      <c r="D20" s="8"/>
      <c r="E20" s="10"/>
      <c r="F20" s="54">
        <v>8.5</v>
      </c>
      <c r="G20" s="54">
        <v>18</v>
      </c>
      <c r="H20" s="54">
        <v>500</v>
      </c>
      <c r="I20" s="54">
        <v>18</v>
      </c>
      <c r="J20" s="104"/>
      <c r="K20" s="105"/>
      <c r="M20" s="2"/>
      <c r="N20" s="52" t="s">
        <v>72</v>
      </c>
      <c r="O20" s="2"/>
      <c r="P20" s="27">
        <f>F32</f>
        <v>20927569.5</v>
      </c>
      <c r="Q20" s="27">
        <f>G32</f>
        <v>19142824</v>
      </c>
      <c r="S20" s="21">
        <v>8</v>
      </c>
      <c r="T20" s="32" t="s">
        <v>74</v>
      </c>
      <c r="U20" s="21"/>
      <c r="V20" s="40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J20" s="151"/>
      <c r="AK20" s="151" t="s">
        <v>304</v>
      </c>
      <c r="AL20" s="151"/>
      <c r="AM20" s="50">
        <v>-43021</v>
      </c>
      <c r="AN20" s="50">
        <v>-25142</v>
      </c>
      <c r="AO20" s="50">
        <v>-357896</v>
      </c>
      <c r="AP20" s="50">
        <v>812155</v>
      </c>
      <c r="AQ20" s="50">
        <v>2291358</v>
      </c>
      <c r="AR20" s="50">
        <v>4650004</v>
      </c>
      <c r="AS20" s="50">
        <v>4465624</v>
      </c>
      <c r="AT20" s="50">
        <v>-265677</v>
      </c>
      <c r="AU20" s="50">
        <v>-3821209</v>
      </c>
      <c r="AV20" s="50">
        <v>-4323417</v>
      </c>
      <c r="AW20" s="50">
        <v>-2327262</v>
      </c>
      <c r="AX20" s="50">
        <v>-954777</v>
      </c>
      <c r="AY20" s="50">
        <f t="shared" si="9"/>
        <v>100740</v>
      </c>
      <c r="BA20" s="133">
        <v>6</v>
      </c>
      <c r="BB20" s="126"/>
      <c r="BC20" s="137" t="s">
        <v>167</v>
      </c>
      <c r="BD20" s="137"/>
      <c r="BE20" s="139">
        <f>BE9-BE18</f>
        <v>0.95411999999999997</v>
      </c>
    </row>
    <row r="21" spans="1:57" ht="15.6">
      <c r="A21" s="7">
        <v>10</v>
      </c>
      <c r="B21" s="8" t="s">
        <v>59</v>
      </c>
      <c r="C21" s="8"/>
      <c r="D21" s="8"/>
      <c r="E21" s="10">
        <f>SUM(F21:K21)</f>
        <v>40070393.5</v>
      </c>
      <c r="F21" s="16">
        <f>F20*F19</f>
        <v>20927569.5</v>
      </c>
      <c r="G21" s="16">
        <f>G20*G19</f>
        <v>6561936</v>
      </c>
      <c r="H21" s="16">
        <f>H20*H19</f>
        <v>12055000</v>
      </c>
      <c r="I21" s="16">
        <f>I20*I19</f>
        <v>525888</v>
      </c>
      <c r="J21" s="104"/>
      <c r="K21" s="105"/>
      <c r="M21" s="2"/>
      <c r="N21" s="52" t="s">
        <v>71</v>
      </c>
      <c r="O21" s="2"/>
      <c r="P21" s="27">
        <f>F15</f>
        <v>39030824.488710001</v>
      </c>
      <c r="Q21" s="27">
        <f>SUM(G15:I15)</f>
        <v>35197096.001910001</v>
      </c>
      <c r="S21" s="21">
        <f>S20+1</f>
        <v>9</v>
      </c>
      <c r="T21" s="34" t="s">
        <v>19</v>
      </c>
      <c r="U21" s="21"/>
      <c r="V21" s="4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J21" s="151"/>
      <c r="AK21" s="151" t="s">
        <v>87</v>
      </c>
      <c r="AL21" s="151"/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f t="shared" si="9"/>
        <v>0</v>
      </c>
      <c r="BA21" s="126"/>
      <c r="BB21" s="126"/>
      <c r="BC21" s="137"/>
      <c r="BD21" s="137"/>
      <c r="BE21" s="139"/>
    </row>
    <row r="22" spans="1:57" ht="15.6">
      <c r="A22" s="7"/>
      <c r="B22" s="8"/>
      <c r="C22" s="8"/>
      <c r="D22" s="8"/>
      <c r="E22" s="10"/>
      <c r="F22" s="16"/>
      <c r="G22" s="16"/>
      <c r="H22" s="16"/>
      <c r="I22" s="16"/>
      <c r="J22" s="383" t="s">
        <v>78</v>
      </c>
      <c r="K22" s="384"/>
      <c r="M22" s="2"/>
      <c r="N22" s="52" t="s">
        <v>15</v>
      </c>
      <c r="O22" s="2"/>
      <c r="P22" s="53">
        <f>SUM(P19:P21)</f>
        <v>211363204.15371001</v>
      </c>
      <c r="Q22" s="53">
        <f>SUM(Q19:Q21)</f>
        <v>209462850.00357667</v>
      </c>
      <c r="S22" s="21">
        <f>S21+1</f>
        <v>10</v>
      </c>
      <c r="T22" s="20" t="s">
        <v>152</v>
      </c>
      <c r="U22" s="21" t="s">
        <v>153</v>
      </c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42">
        <f>P14</f>
        <v>737.94</v>
      </c>
      <c r="AJ22" s="151" t="s">
        <v>90</v>
      </c>
      <c r="AK22" s="151"/>
      <c r="AL22" s="151"/>
      <c r="AM22" s="51">
        <f>SUM(AM16:AM21)</f>
        <v>-21846148</v>
      </c>
      <c r="AN22" s="51">
        <f t="shared" ref="AN22:AY22" si="10">SUM(AN16:AN21)</f>
        <v>-24723816</v>
      </c>
      <c r="AO22" s="51">
        <f t="shared" si="10"/>
        <v>-14021780</v>
      </c>
      <c r="AP22" s="51">
        <f t="shared" si="10"/>
        <v>-13265830</v>
      </c>
      <c r="AQ22" s="51">
        <f t="shared" si="10"/>
        <v>172264</v>
      </c>
      <c r="AR22" s="51">
        <f t="shared" si="10"/>
        <v>540468</v>
      </c>
      <c r="AS22" s="51">
        <f t="shared" si="10"/>
        <v>71878550</v>
      </c>
      <c r="AT22" s="51">
        <f t="shared" si="10"/>
        <v>5849907</v>
      </c>
      <c r="AU22" s="51">
        <f t="shared" si="10"/>
        <v>-67589700</v>
      </c>
      <c r="AV22" s="51">
        <f t="shared" si="10"/>
        <v>9525000</v>
      </c>
      <c r="AW22" s="51">
        <f t="shared" si="10"/>
        <v>38733693</v>
      </c>
      <c r="AX22" s="51">
        <f t="shared" si="10"/>
        <v>15368391</v>
      </c>
      <c r="AY22" s="51">
        <f t="shared" si="10"/>
        <v>620999</v>
      </c>
      <c r="BA22" s="133">
        <v>7</v>
      </c>
      <c r="BB22" s="126"/>
      <c r="BC22" s="137" t="s">
        <v>168</v>
      </c>
      <c r="BD22" s="140"/>
      <c r="BE22" s="257">
        <f>ROUND(BE20*0.35,6)</f>
        <v>0.33394200000000002</v>
      </c>
    </row>
    <row r="23" spans="1:57" ht="15.6">
      <c r="A23" s="7">
        <v>11</v>
      </c>
      <c r="B23" s="8" t="s">
        <v>60</v>
      </c>
      <c r="C23" s="8"/>
      <c r="D23" s="8"/>
      <c r="E23" s="10">
        <f>SUM(F23:K23)</f>
        <v>306527686.00938004</v>
      </c>
      <c r="F23" s="14">
        <f>F17-F21</f>
        <v>151404606.01129001</v>
      </c>
      <c r="G23" s="14">
        <f>G17-G21</f>
        <v>53927399.717239998</v>
      </c>
      <c r="H23" s="14">
        <f>H17-H21</f>
        <v>92689464.072889999</v>
      </c>
      <c r="I23" s="14">
        <f>I17-I21</f>
        <v>8506216.2079600003</v>
      </c>
      <c r="J23" s="383"/>
      <c r="K23" s="384"/>
      <c r="M23" s="2"/>
      <c r="N23" s="2"/>
      <c r="O23" s="2"/>
      <c r="P23" s="2"/>
      <c r="Q23" s="2"/>
      <c r="S23" s="21">
        <f>S22+1</f>
        <v>11</v>
      </c>
      <c r="T23" s="20" t="s">
        <v>154</v>
      </c>
      <c r="U23" s="21" t="str">
        <f>"("&amp;S$10&amp;") x ("&amp;S22&amp;")"</f>
        <v>(4) x (10)</v>
      </c>
      <c r="V23" s="43">
        <f>$AH22*V$10</f>
        <v>88.322763278236906</v>
      </c>
      <c r="W23" s="43">
        <f t="shared" ref="W23:AG23" si="11">$AH22*W$10</f>
        <v>72.16516565702095</v>
      </c>
      <c r="X23" s="43">
        <f t="shared" si="11"/>
        <v>70.972141606104245</v>
      </c>
      <c r="Y23" s="43">
        <f t="shared" si="11"/>
        <v>53.464415602104843</v>
      </c>
      <c r="Z23" s="43">
        <f t="shared" si="11"/>
        <v>51.698952694282845</v>
      </c>
      <c r="AA23" s="43">
        <f t="shared" si="11"/>
        <v>45.971109410999645</v>
      </c>
      <c r="AB23" s="43">
        <f t="shared" si="11"/>
        <v>47.581058675761213</v>
      </c>
      <c r="AC23" s="43">
        <f t="shared" si="11"/>
        <v>56.256559389250889</v>
      </c>
      <c r="AD23" s="43">
        <f t="shared" si="11"/>
        <v>45.471467138196999</v>
      </c>
      <c r="AE23" s="43">
        <f t="shared" si="11"/>
        <v>54.001684320194592</v>
      </c>
      <c r="AF23" s="43">
        <f t="shared" si="11"/>
        <v>65.980997284292343</v>
      </c>
      <c r="AG23" s="43">
        <f t="shared" si="11"/>
        <v>86.053684943554572</v>
      </c>
      <c r="AH23" s="42">
        <f>SUM(V23:AG23)</f>
        <v>737.94</v>
      </c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BA23" s="126"/>
      <c r="BB23" s="126"/>
      <c r="BC23" s="137"/>
      <c r="BD23" s="137"/>
      <c r="BE23" s="139"/>
    </row>
    <row r="24" spans="1:57" ht="16.2" thickBot="1">
      <c r="A24" s="7"/>
      <c r="B24" s="8"/>
      <c r="C24" s="8"/>
      <c r="D24" s="8"/>
      <c r="E24" s="8"/>
      <c r="F24" s="11"/>
      <c r="G24" s="8"/>
      <c r="H24" s="8"/>
      <c r="I24" s="8"/>
      <c r="J24" s="8"/>
      <c r="K24" s="8"/>
      <c r="M24" s="250" t="s">
        <v>285</v>
      </c>
      <c r="S24" s="21"/>
      <c r="T24" s="20"/>
      <c r="U24" s="21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2"/>
      <c r="AJ24" s="151" t="s">
        <v>91</v>
      </c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BA24" s="133">
        <v>8</v>
      </c>
      <c r="BB24" s="126"/>
      <c r="BC24" s="136" t="s">
        <v>169</v>
      </c>
      <c r="BD24" s="137"/>
      <c r="BE24" s="142">
        <f>ROUND(BE20-BE22,5)</f>
        <v>0.62017999999999995</v>
      </c>
    </row>
    <row r="25" spans="1:57" ht="16.2" thickTop="1">
      <c r="A25" s="7">
        <v>12</v>
      </c>
      <c r="B25" s="8" t="s">
        <v>146</v>
      </c>
      <c r="C25" s="8"/>
      <c r="D25" s="8"/>
      <c r="E25" s="114">
        <v>1.566E-2</v>
      </c>
      <c r="F25" s="8"/>
      <c r="G25" s="8"/>
      <c r="H25" s="8"/>
      <c r="I25" s="8"/>
      <c r="J25" s="8"/>
      <c r="K25" s="8"/>
      <c r="S25" s="21">
        <f>S23+1</f>
        <v>12</v>
      </c>
      <c r="T25" s="34" t="s">
        <v>50</v>
      </c>
      <c r="U25" s="44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42"/>
      <c r="AJ25" s="151"/>
      <c r="AK25" s="151" t="s">
        <v>85</v>
      </c>
      <c r="AL25" s="151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>
        <v>0</v>
      </c>
      <c r="BA25" s="151"/>
      <c r="BB25" s="151"/>
      <c r="BC25" s="151"/>
      <c r="BD25" s="151"/>
      <c r="BE25" s="151"/>
    </row>
    <row r="26" spans="1:57" ht="15.6">
      <c r="A26" s="7">
        <v>13</v>
      </c>
      <c r="B26" s="8" t="s">
        <v>55</v>
      </c>
      <c r="C26" s="8"/>
      <c r="D26" s="8"/>
      <c r="E26" s="258">
        <f>1/BE20</f>
        <v>1.0480861946086446</v>
      </c>
      <c r="F26" s="19"/>
      <c r="G26" s="8"/>
      <c r="H26" s="19"/>
      <c r="I26" s="8"/>
      <c r="J26" s="8"/>
      <c r="K26" s="8"/>
      <c r="S26" s="21">
        <f>S25+1</f>
        <v>13</v>
      </c>
      <c r="T26" s="20" t="s">
        <v>152</v>
      </c>
      <c r="U26" s="21" t="s">
        <v>153</v>
      </c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42">
        <f>Q14</f>
        <v>4454.59</v>
      </c>
      <c r="AJ26" s="151"/>
      <c r="AK26" s="151" t="s">
        <v>86</v>
      </c>
      <c r="AL26" s="151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>
        <v>0</v>
      </c>
      <c r="BA26" s="151"/>
      <c r="BB26" s="151"/>
      <c r="BC26" s="151"/>
      <c r="BD26" s="151"/>
      <c r="BE26" s="151"/>
    </row>
    <row r="27" spans="1:57" ht="15.6">
      <c r="A27" s="7">
        <v>14</v>
      </c>
      <c r="B27" s="8" t="s">
        <v>147</v>
      </c>
      <c r="C27" s="8"/>
      <c r="D27" s="8"/>
      <c r="E27" s="17">
        <f>ROUND(E25*E26,5)</f>
        <v>1.6410000000000001E-2</v>
      </c>
      <c r="F27" s="19"/>
      <c r="G27" s="8"/>
      <c r="H27" s="19"/>
      <c r="I27" s="8"/>
      <c r="J27" s="8"/>
      <c r="K27" s="8"/>
      <c r="S27" s="21">
        <f>S26+1</f>
        <v>14</v>
      </c>
      <c r="T27" s="20" t="s">
        <v>154</v>
      </c>
      <c r="U27" s="21" t="str">
        <f>"("&amp;S$14&amp;") x ("&amp;S26&amp;")"</f>
        <v>(7) x (13)</v>
      </c>
      <c r="V27" s="43">
        <f>$AH26*V$14</f>
        <v>362.51153702538215</v>
      </c>
      <c r="W27" s="43">
        <f t="shared" ref="W27:AG27" si="12">$AH26*W$14</f>
        <v>368.64634553355734</v>
      </c>
      <c r="X27" s="43">
        <f t="shared" si="12"/>
        <v>345.3608332677303</v>
      </c>
      <c r="Y27" s="43">
        <f t="shared" si="12"/>
        <v>343.55068665310012</v>
      </c>
      <c r="Z27" s="43">
        <f t="shared" si="12"/>
        <v>369.90915568717207</v>
      </c>
      <c r="AA27" s="43">
        <f t="shared" si="12"/>
        <v>385.26617826211447</v>
      </c>
      <c r="AB27" s="43">
        <f t="shared" si="12"/>
        <v>416.90498753163007</v>
      </c>
      <c r="AC27" s="43">
        <f t="shared" si="12"/>
        <v>389.59606971640318</v>
      </c>
      <c r="AD27" s="43">
        <f t="shared" si="12"/>
        <v>372.63402682785289</v>
      </c>
      <c r="AE27" s="43">
        <f t="shared" si="12"/>
        <v>380.4894875098293</v>
      </c>
      <c r="AF27" s="43">
        <f t="shared" si="12"/>
        <v>350.01632614600436</v>
      </c>
      <c r="AG27" s="43">
        <f t="shared" si="12"/>
        <v>369.7043658392239</v>
      </c>
      <c r="AH27" s="42">
        <f>SUM(V27:AG27)</f>
        <v>4454.59</v>
      </c>
      <c r="AJ27" s="151" t="s">
        <v>91</v>
      </c>
      <c r="AK27" s="151"/>
      <c r="AL27" s="151"/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BA27" s="250" t="s">
        <v>252</v>
      </c>
      <c r="BB27" s="151"/>
      <c r="BC27" s="151"/>
      <c r="BD27" s="151"/>
      <c r="BE27" s="151"/>
    </row>
    <row r="28" spans="1:57" ht="15.6">
      <c r="A28" s="3"/>
      <c r="B28" s="2"/>
      <c r="C28" s="2"/>
      <c r="D28" s="2"/>
      <c r="E28" s="2"/>
      <c r="F28" s="4"/>
      <c r="G28" s="2"/>
      <c r="H28" s="2"/>
      <c r="I28" s="2"/>
      <c r="J28" s="2"/>
      <c r="K28" s="2"/>
      <c r="S28" s="21"/>
      <c r="T28" s="20"/>
      <c r="U28" s="21"/>
      <c r="V28" s="43"/>
      <c r="W28" s="43"/>
      <c r="X28" s="43"/>
      <c r="Y28" s="43"/>
      <c r="Z28" s="1"/>
      <c r="AA28" s="43"/>
      <c r="AB28" s="43"/>
      <c r="AC28" s="43"/>
      <c r="AD28" s="43"/>
      <c r="AE28" s="43"/>
      <c r="AF28" s="43"/>
      <c r="AG28" s="43"/>
      <c r="AH28" s="42"/>
      <c r="AJ28" s="151"/>
      <c r="AK28" s="151"/>
      <c r="AL28" s="151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BA28" s="126"/>
      <c r="BB28" s="126"/>
      <c r="BC28" s="126"/>
      <c r="BD28" s="126"/>
      <c r="BE28" s="127"/>
    </row>
    <row r="29" spans="1:57" ht="15.6">
      <c r="A29" s="3"/>
      <c r="B29" s="2"/>
      <c r="C29" s="2"/>
      <c r="D29" s="2"/>
      <c r="E29" s="2"/>
      <c r="F29" s="6" t="s">
        <v>19</v>
      </c>
      <c r="G29" s="2" t="s">
        <v>57</v>
      </c>
      <c r="H29" s="6"/>
      <c r="I29" s="2"/>
      <c r="J29" s="2"/>
      <c r="K29" s="2"/>
      <c r="S29" s="21"/>
      <c r="T29" s="34"/>
      <c r="U29" s="44"/>
      <c r="V29" s="20"/>
      <c r="W29" s="20"/>
      <c r="X29" s="20"/>
      <c r="Y29" s="20"/>
      <c r="Z29" s="20"/>
      <c r="AA29" s="43"/>
      <c r="AB29" s="20"/>
      <c r="AC29" s="43"/>
      <c r="AD29" s="20"/>
      <c r="AE29" s="20"/>
      <c r="AF29" s="20"/>
      <c r="AG29" s="20"/>
      <c r="AH29" s="42"/>
      <c r="AJ29" s="151" t="s">
        <v>92</v>
      </c>
      <c r="AK29" s="151"/>
      <c r="AL29" s="151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</row>
    <row r="30" spans="1:57" ht="15.6">
      <c r="A30" s="3">
        <v>15</v>
      </c>
      <c r="B30" s="2" t="s">
        <v>65</v>
      </c>
      <c r="C30" s="2"/>
      <c r="D30" s="2"/>
      <c r="E30" s="2"/>
      <c r="F30" s="47">
        <f>ROUND(F19/12,0)</f>
        <v>205172</v>
      </c>
      <c r="G30" s="47">
        <f>ROUND((G19+H19+I19)/12,0)</f>
        <v>34823</v>
      </c>
      <c r="H30" s="2"/>
      <c r="I30" s="2"/>
      <c r="J30" s="2"/>
      <c r="K30" s="2"/>
      <c r="S30" s="21"/>
      <c r="T30" s="20"/>
      <c r="U30" s="21"/>
      <c r="V30" s="20"/>
      <c r="W30" s="20"/>
      <c r="X30" s="20"/>
      <c r="Y30" s="20"/>
      <c r="Z30" s="20"/>
      <c r="AA30" s="43"/>
      <c r="AB30" s="20"/>
      <c r="AC30" s="43"/>
      <c r="AD30" s="20"/>
      <c r="AE30" s="20"/>
      <c r="AF30" s="20"/>
      <c r="AG30" s="20"/>
      <c r="AH30" s="42"/>
      <c r="AJ30" s="151"/>
      <c r="AK30" s="151" t="s">
        <v>303</v>
      </c>
      <c r="AL30" s="151"/>
      <c r="AM30" s="50">
        <v>884548</v>
      </c>
      <c r="AN30" s="50">
        <v>-94896</v>
      </c>
      <c r="AO30" s="50">
        <v>-126211</v>
      </c>
      <c r="AP30" s="50">
        <v>143117</v>
      </c>
      <c r="AQ30" s="50">
        <v>8682</v>
      </c>
      <c r="AR30" s="50">
        <v>30762</v>
      </c>
      <c r="AS30" s="50">
        <v>-67299</v>
      </c>
      <c r="AT30" s="50">
        <v>-71480</v>
      </c>
      <c r="AU30" s="50">
        <v>27399</v>
      </c>
      <c r="AV30" s="50">
        <v>-49742</v>
      </c>
      <c r="AW30" s="50">
        <v>-182874</v>
      </c>
      <c r="AX30" s="50">
        <v>-580269</v>
      </c>
      <c r="AY30" s="50">
        <f>SUM(AM30:AX30)</f>
        <v>-78263</v>
      </c>
    </row>
    <row r="31" spans="1:57" ht="15.6">
      <c r="A31" s="3">
        <v>16</v>
      </c>
      <c r="B31" s="2" t="s">
        <v>64</v>
      </c>
      <c r="C31" s="2"/>
      <c r="D31" s="2"/>
      <c r="E31" s="2"/>
      <c r="F31" s="48">
        <f>F13</f>
        <v>2378478031</v>
      </c>
      <c r="G31" s="48">
        <f>G13+H13+I13</f>
        <v>2144856551</v>
      </c>
      <c r="H31" s="2"/>
      <c r="I31" s="2"/>
      <c r="J31" s="2"/>
      <c r="K31" s="2"/>
      <c r="S31" s="21"/>
      <c r="T31" s="20"/>
      <c r="U31" s="21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2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</row>
    <row r="32" spans="1:57" ht="15.6">
      <c r="A32" s="3">
        <v>17</v>
      </c>
      <c r="B32" s="2" t="s">
        <v>62</v>
      </c>
      <c r="C32" s="2"/>
      <c r="D32" s="2"/>
      <c r="E32" s="2"/>
      <c r="F32" s="48">
        <f>F21</f>
        <v>20927569.5</v>
      </c>
      <c r="G32" s="48">
        <f>G21+H21+I21</f>
        <v>19142824</v>
      </c>
      <c r="H32" s="2"/>
      <c r="I32" s="2"/>
      <c r="J32" s="2"/>
      <c r="K32" s="2"/>
      <c r="S32" s="21"/>
      <c r="T32" s="20"/>
      <c r="U32" s="44"/>
      <c r="V32" s="21"/>
      <c r="W32" s="21"/>
      <c r="X32" s="21"/>
      <c r="Y32" s="21"/>
      <c r="Z32" s="20"/>
      <c r="AA32" s="43"/>
      <c r="AB32" s="20"/>
      <c r="AC32" s="43"/>
      <c r="AD32" s="20"/>
      <c r="AE32" s="20"/>
      <c r="AF32" s="20"/>
      <c r="AG32" s="20"/>
      <c r="AH32" s="42"/>
      <c r="AJ32" s="151" t="s">
        <v>93</v>
      </c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</row>
    <row r="33" spans="1:58" ht="15.6">
      <c r="A33" s="3">
        <v>18</v>
      </c>
      <c r="B33" s="2" t="s">
        <v>34</v>
      </c>
      <c r="C33" s="2"/>
      <c r="D33" s="2"/>
      <c r="E33" s="2"/>
      <c r="F33" s="5">
        <f>F19</f>
        <v>2462067</v>
      </c>
      <c r="G33" s="5">
        <f>G19+H19+I19</f>
        <v>417878</v>
      </c>
      <c r="H33" s="2"/>
      <c r="I33" s="2"/>
      <c r="J33" s="2"/>
      <c r="K33" s="2"/>
      <c r="S33" s="21"/>
      <c r="T33" s="23" t="s">
        <v>54</v>
      </c>
      <c r="U33" s="21"/>
      <c r="V33" s="21"/>
      <c r="W33" s="21"/>
      <c r="X33" s="21"/>
      <c r="Y33" s="21"/>
      <c r="Z33" s="20"/>
      <c r="AA33" s="43"/>
      <c r="AB33" s="20"/>
      <c r="AC33" s="43"/>
      <c r="AD33" s="20"/>
      <c r="AE33" s="20"/>
      <c r="AF33" s="20"/>
      <c r="AG33" s="20"/>
      <c r="AH33" s="20"/>
      <c r="AJ33" s="151"/>
      <c r="AK33" s="151" t="s">
        <v>302</v>
      </c>
      <c r="AL33" s="151"/>
      <c r="AM33" s="50">
        <v>3418458</v>
      </c>
      <c r="AN33" s="50">
        <v>-19673731</v>
      </c>
      <c r="AO33" s="50">
        <v>122066</v>
      </c>
      <c r="AP33" s="50">
        <v>625889</v>
      </c>
      <c r="AQ33" s="50">
        <v>8320450</v>
      </c>
      <c r="AR33" s="50">
        <v>10531416</v>
      </c>
      <c r="AS33" s="50">
        <v>-35298252</v>
      </c>
      <c r="AT33" s="50">
        <v>-16715738</v>
      </c>
      <c r="AU33" s="50">
        <v>-1630970</v>
      </c>
      <c r="AV33" s="50">
        <v>-4013526</v>
      </c>
      <c r="AW33" s="50">
        <v>-983199</v>
      </c>
      <c r="AX33" s="50">
        <v>-6591971</v>
      </c>
      <c r="AY33" s="50">
        <f t="shared" ref="AY33:AY38" si="13">SUM(AM33:AX33)</f>
        <v>-61889108</v>
      </c>
    </row>
    <row r="34" spans="1:58" ht="15.6">
      <c r="A34" s="3">
        <v>19</v>
      </c>
      <c r="B34" s="2" t="s">
        <v>63</v>
      </c>
      <c r="C34" s="2"/>
      <c r="D34" s="2"/>
      <c r="E34" s="2"/>
      <c r="F34" s="49">
        <f>F32/F33</f>
        <v>8.5</v>
      </c>
      <c r="G34" s="49">
        <f>G32/G33</f>
        <v>45.809599931080363</v>
      </c>
      <c r="H34" s="2"/>
      <c r="I34" s="2"/>
      <c r="J34" s="2"/>
      <c r="K34" s="2"/>
      <c r="AJ34" s="151"/>
      <c r="AK34" s="151" t="s">
        <v>85</v>
      </c>
      <c r="AL34" s="151"/>
      <c r="AM34" s="50">
        <v>296016</v>
      </c>
      <c r="AN34" s="50">
        <v>-1701682</v>
      </c>
      <c r="AO34" s="50">
        <v>10735</v>
      </c>
      <c r="AP34" s="50">
        <v>28318</v>
      </c>
      <c r="AQ34" s="50">
        <v>785394</v>
      </c>
      <c r="AR34" s="50">
        <v>1336350</v>
      </c>
      <c r="AS34" s="50">
        <v>-5560783</v>
      </c>
      <c r="AT34" s="50">
        <v>-2629971</v>
      </c>
      <c r="AU34" s="50">
        <v>-255968</v>
      </c>
      <c r="AV34" s="50">
        <v>-166876</v>
      </c>
      <c r="AW34" s="50">
        <v>-51342</v>
      </c>
      <c r="AX34" s="50">
        <v>-569558</v>
      </c>
      <c r="AY34" s="50">
        <f t="shared" si="13"/>
        <v>-8479367</v>
      </c>
    </row>
    <row r="35" spans="1:58" ht="15.6">
      <c r="A35" s="3"/>
      <c r="B35" s="2"/>
      <c r="C35" s="2"/>
      <c r="D35" s="2"/>
      <c r="E35" s="2"/>
      <c r="F35" s="2"/>
      <c r="G35" s="46"/>
      <c r="H35" s="4"/>
      <c r="I35" s="2"/>
      <c r="J35" s="2"/>
      <c r="K35" s="2"/>
      <c r="T35" s="250" t="s">
        <v>170</v>
      </c>
      <c r="AJ35" s="151"/>
      <c r="AK35" s="151" t="s">
        <v>86</v>
      </c>
      <c r="AL35" s="151"/>
      <c r="AM35" s="50">
        <v>152288</v>
      </c>
      <c r="AN35" s="50">
        <v>-875266</v>
      </c>
      <c r="AO35" s="50">
        <v>5418</v>
      </c>
      <c r="AP35" s="50">
        <v>3281</v>
      </c>
      <c r="AQ35" s="50">
        <v>907824</v>
      </c>
      <c r="AR35" s="50">
        <v>1564232</v>
      </c>
      <c r="AS35" s="50">
        <v>-7384749</v>
      </c>
      <c r="AT35" s="50">
        <v>-3492514</v>
      </c>
      <c r="AU35" s="50">
        <v>-340803</v>
      </c>
      <c r="AV35" s="50">
        <v>84965</v>
      </c>
      <c r="AW35" s="50">
        <v>-5447</v>
      </c>
      <c r="AX35" s="50">
        <v>-293965</v>
      </c>
      <c r="AY35" s="50">
        <f t="shared" si="13"/>
        <v>-9674736</v>
      </c>
    </row>
    <row r="36" spans="1:58" s="151" customFormat="1" ht="15.6">
      <c r="A36" s="246" t="s">
        <v>151</v>
      </c>
      <c r="B36" s="2"/>
      <c r="C36" s="2"/>
      <c r="D36" s="2"/>
      <c r="E36" s="2"/>
      <c r="F36" s="2"/>
      <c r="G36" s="46"/>
      <c r="H36" s="4"/>
      <c r="I36" s="2"/>
      <c r="J36" s="2"/>
      <c r="K36" s="2"/>
      <c r="L36" s="247"/>
      <c r="R36" s="247"/>
      <c r="AI36" s="247"/>
      <c r="AK36" s="151" t="s">
        <v>303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f t="shared" si="13"/>
        <v>0</v>
      </c>
      <c r="AZ36" s="247"/>
      <c r="BA36"/>
      <c r="BB36"/>
      <c r="BC36"/>
      <c r="BD36"/>
      <c r="BE36"/>
      <c r="BF36"/>
    </row>
    <row r="37" spans="1:58" s="151" customFormat="1" ht="15.6">
      <c r="A37" s="3"/>
      <c r="B37" s="2"/>
      <c r="C37" s="2"/>
      <c r="D37" s="2"/>
      <c r="E37" s="2"/>
      <c r="F37" s="2"/>
      <c r="G37" s="46"/>
      <c r="H37" s="4"/>
      <c r="I37" s="2"/>
      <c r="J37" s="2"/>
      <c r="K37" s="2"/>
      <c r="L37" s="247"/>
      <c r="R37" s="247"/>
      <c r="AI37" s="247"/>
      <c r="AK37" s="151" t="s">
        <v>304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f t="shared" si="13"/>
        <v>0</v>
      </c>
      <c r="AZ37" s="247"/>
      <c r="BA37"/>
      <c r="BB37"/>
      <c r="BC37"/>
      <c r="BD37"/>
      <c r="BE37"/>
      <c r="BF37"/>
    </row>
    <row r="38" spans="1:58" s="151" customFormat="1" ht="15.6">
      <c r="A38" s="3"/>
      <c r="B38" s="2"/>
      <c r="C38" s="2"/>
      <c r="D38" s="2"/>
      <c r="E38" s="2"/>
      <c r="F38" s="2"/>
      <c r="G38" s="46"/>
      <c r="H38" s="4"/>
      <c r="I38" s="2"/>
      <c r="J38" s="2"/>
      <c r="K38" s="2"/>
      <c r="L38" s="247"/>
      <c r="R38" s="247"/>
      <c r="AI38" s="247"/>
      <c r="AK38" s="151" t="s">
        <v>87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f t="shared" si="13"/>
        <v>0</v>
      </c>
      <c r="AZ38" s="247"/>
      <c r="BA38"/>
      <c r="BB38"/>
      <c r="BC38"/>
      <c r="BD38"/>
      <c r="BE38"/>
      <c r="BF38"/>
    </row>
    <row r="39" spans="1:58" ht="15.6">
      <c r="A39" s="3"/>
      <c r="B39" s="2"/>
      <c r="C39" s="2"/>
      <c r="D39" s="2" t="s">
        <v>148</v>
      </c>
      <c r="E39" s="2"/>
      <c r="F39" s="2"/>
      <c r="G39" s="2"/>
      <c r="H39" s="2"/>
      <c r="I39" s="2"/>
      <c r="J39" s="2"/>
      <c r="K39" s="2"/>
      <c r="AJ39" s="151" t="s">
        <v>94</v>
      </c>
      <c r="AK39" s="151"/>
      <c r="AL39" s="151"/>
      <c r="AM39" s="51">
        <f>SUM(AM33:AM38)</f>
        <v>3866762</v>
      </c>
      <c r="AN39" s="51">
        <f t="shared" ref="AN39:AY39" si="14">SUM(AN33:AN38)</f>
        <v>-22250679</v>
      </c>
      <c r="AO39" s="51">
        <f t="shared" si="14"/>
        <v>138219</v>
      </c>
      <c r="AP39" s="51">
        <f t="shared" si="14"/>
        <v>657488</v>
      </c>
      <c r="AQ39" s="51">
        <f t="shared" si="14"/>
        <v>10013668</v>
      </c>
      <c r="AR39" s="51">
        <f t="shared" si="14"/>
        <v>13431998</v>
      </c>
      <c r="AS39" s="51">
        <f t="shared" si="14"/>
        <v>-48243784</v>
      </c>
      <c r="AT39" s="51">
        <f t="shared" si="14"/>
        <v>-22838223</v>
      </c>
      <c r="AU39" s="51">
        <f t="shared" si="14"/>
        <v>-2227741</v>
      </c>
      <c r="AV39" s="51">
        <f t="shared" si="14"/>
        <v>-4095437</v>
      </c>
      <c r="AW39" s="51">
        <f t="shared" si="14"/>
        <v>-1039988</v>
      </c>
      <c r="AX39" s="51">
        <f t="shared" si="14"/>
        <v>-7455494</v>
      </c>
      <c r="AY39" s="51">
        <f t="shared" si="14"/>
        <v>-80043211</v>
      </c>
    </row>
    <row r="40" spans="1:58" ht="15.6">
      <c r="A40" s="3"/>
      <c r="B40" s="2"/>
      <c r="C40" s="2"/>
      <c r="D40" s="2" t="s">
        <v>149</v>
      </c>
      <c r="E40" s="2"/>
      <c r="F40" s="115">
        <f>F23/F13</f>
        <v>6.3656087648467335E-2</v>
      </c>
      <c r="G40" s="115">
        <f>G23/G13</f>
        <v>9.1650724739878009E-2</v>
      </c>
      <c r="H40" s="115">
        <f>H23/H13</f>
        <v>6.5309764445137655E-2</v>
      </c>
      <c r="I40" s="115">
        <f>I23/I13</f>
        <v>6.1986442030770555E-2</v>
      </c>
      <c r="J40" s="2"/>
      <c r="K40" s="2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</row>
    <row r="41" spans="1:58" ht="15.6">
      <c r="A41" s="3"/>
      <c r="B41" s="2"/>
      <c r="C41" s="2"/>
      <c r="D41" s="2" t="s">
        <v>150</v>
      </c>
      <c r="E41" s="2"/>
      <c r="F41" s="116">
        <f>F40+F14</f>
        <v>8.0066087648467343E-2</v>
      </c>
      <c r="G41" s="116">
        <f>G40+G14</f>
        <v>0.10806072473987802</v>
      </c>
      <c r="H41" s="116">
        <f>H40+H14</f>
        <v>8.1719764445137649E-2</v>
      </c>
      <c r="I41" s="116">
        <f>I40+I14</f>
        <v>7.8396442030770563E-2</v>
      </c>
      <c r="J41" s="2"/>
      <c r="K41" s="2"/>
      <c r="AJ41" s="151" t="s">
        <v>95</v>
      </c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</row>
    <row r="42" spans="1:58" ht="15.6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AJ42" s="151"/>
      <c r="AK42" s="151" t="s">
        <v>302</v>
      </c>
      <c r="AL42" s="151"/>
      <c r="AM42" s="50">
        <f t="shared" ref="AM42:AX42" si="15">AM7+AM16+AM33</f>
        <v>284675925</v>
      </c>
      <c r="AN42" s="50">
        <f t="shared" si="15"/>
        <v>232597855</v>
      </c>
      <c r="AO42" s="50">
        <f t="shared" si="15"/>
        <v>228752581</v>
      </c>
      <c r="AP42" s="50">
        <f t="shared" si="15"/>
        <v>172322869</v>
      </c>
      <c r="AQ42" s="50">
        <f t="shared" si="15"/>
        <v>166632549</v>
      </c>
      <c r="AR42" s="50">
        <f t="shared" si="15"/>
        <v>148170954</v>
      </c>
      <c r="AS42" s="50">
        <f t="shared" si="15"/>
        <v>153360033</v>
      </c>
      <c r="AT42" s="50">
        <f t="shared" si="15"/>
        <v>181322317</v>
      </c>
      <c r="AU42" s="50">
        <f t="shared" si="15"/>
        <v>146560541</v>
      </c>
      <c r="AV42" s="50">
        <f t="shared" si="15"/>
        <v>174054557</v>
      </c>
      <c r="AW42" s="50">
        <f t="shared" si="15"/>
        <v>212665464</v>
      </c>
      <c r="AX42" s="50">
        <f t="shared" si="15"/>
        <v>277362386</v>
      </c>
      <c r="AY42" s="50">
        <f t="shared" ref="AY42:AY47" si="16">SUM(AM42:AX42)</f>
        <v>2378478031</v>
      </c>
    </row>
    <row r="43" spans="1:58">
      <c r="AJ43" s="151"/>
      <c r="AK43" s="151" t="s">
        <v>85</v>
      </c>
      <c r="AL43" s="151"/>
      <c r="AM43" s="50">
        <f>AM8+AM17+AM34+AM25</f>
        <v>56889966</v>
      </c>
      <c r="AN43" s="50">
        <f t="shared" ref="AN43:AX44" si="17">AN8+AN17+AN34+AN25</f>
        <v>53952359</v>
      </c>
      <c r="AO43" s="50">
        <f t="shared" si="17"/>
        <v>50696303</v>
      </c>
      <c r="AP43" s="50">
        <f t="shared" si="17"/>
        <v>45184052</v>
      </c>
      <c r="AQ43" s="50">
        <f t="shared" si="17"/>
        <v>45464737</v>
      </c>
      <c r="AR43" s="50">
        <f t="shared" si="17"/>
        <v>41880423</v>
      </c>
      <c r="AS43" s="50">
        <f t="shared" si="17"/>
        <v>47192335</v>
      </c>
      <c r="AT43" s="50">
        <f t="shared" si="17"/>
        <v>47520498</v>
      </c>
      <c r="AU43" s="50">
        <f t="shared" si="17"/>
        <v>45071050</v>
      </c>
      <c r="AV43" s="50">
        <f t="shared" si="17"/>
        <v>49775788</v>
      </c>
      <c r="AW43" s="50">
        <f t="shared" si="17"/>
        <v>48225285</v>
      </c>
      <c r="AX43" s="50">
        <f t="shared" si="17"/>
        <v>56548440</v>
      </c>
      <c r="AY43" s="50">
        <f t="shared" si="16"/>
        <v>588401236</v>
      </c>
    </row>
    <row r="44" spans="1:58">
      <c r="AJ44" s="151"/>
      <c r="AK44" s="151" t="s">
        <v>86</v>
      </c>
      <c r="AL44" s="151"/>
      <c r="AM44" s="50">
        <f>AM9+AM18+AM35+AM26</f>
        <v>113027390</v>
      </c>
      <c r="AN44" s="50">
        <f t="shared" si="17"/>
        <v>118881308</v>
      </c>
      <c r="AO44" s="50">
        <f t="shared" si="17"/>
        <v>111932195</v>
      </c>
      <c r="AP44" s="50">
        <f t="shared" si="17"/>
        <v>113904571</v>
      </c>
      <c r="AQ44" s="50">
        <f t="shared" si="17"/>
        <v>119594187</v>
      </c>
      <c r="AR44" s="50">
        <f t="shared" si="17"/>
        <v>119904804</v>
      </c>
      <c r="AS44" s="50">
        <f t="shared" si="17"/>
        <v>126965563</v>
      </c>
      <c r="AT44" s="50">
        <f t="shared" si="17"/>
        <v>116529246</v>
      </c>
      <c r="AU44" s="50">
        <f t="shared" si="17"/>
        <v>115471122</v>
      </c>
      <c r="AV44" s="50">
        <f t="shared" si="17"/>
        <v>127216291</v>
      </c>
      <c r="AW44" s="50">
        <f t="shared" si="17"/>
        <v>117670908</v>
      </c>
      <c r="AX44" s="50">
        <f t="shared" si="17"/>
        <v>118130686</v>
      </c>
      <c r="AY44" s="50">
        <f t="shared" si="16"/>
        <v>1419228271</v>
      </c>
    </row>
    <row r="45" spans="1:58">
      <c r="AJ45" s="151"/>
      <c r="AK45" s="151" t="s">
        <v>303</v>
      </c>
      <c r="AL45" s="151"/>
      <c r="AM45" s="50">
        <f>AM10+AM19+AM30+AM36</f>
        <v>94615705</v>
      </c>
      <c r="AN45" s="50">
        <f t="shared" ref="AN45:AX45" si="18">AN10+AN19+AN30+AN36</f>
        <v>86450358</v>
      </c>
      <c r="AO45" s="50">
        <f t="shared" si="18"/>
        <v>94974601</v>
      </c>
      <c r="AP45" s="50">
        <f t="shared" si="18"/>
        <v>91311649</v>
      </c>
      <c r="AQ45" s="50">
        <f t="shared" si="18"/>
        <v>91684982</v>
      </c>
      <c r="AR45" s="50">
        <f t="shared" si="18"/>
        <v>87883840</v>
      </c>
      <c r="AS45" s="50">
        <f t="shared" si="18"/>
        <v>94835244</v>
      </c>
      <c r="AT45" s="50">
        <f t="shared" si="18"/>
        <v>98265527</v>
      </c>
      <c r="AU45" s="50">
        <f t="shared" si="18"/>
        <v>93878439</v>
      </c>
      <c r="AV45" s="50">
        <f t="shared" si="18"/>
        <v>91841691</v>
      </c>
      <c r="AW45" s="50">
        <f t="shared" si="18"/>
        <v>88140801</v>
      </c>
      <c r="AX45" s="50">
        <f t="shared" si="18"/>
        <v>91489299</v>
      </c>
      <c r="AY45" s="50">
        <f t="shared" si="16"/>
        <v>1105372136</v>
      </c>
    </row>
    <row r="46" spans="1:58">
      <c r="AJ46" s="151"/>
      <c r="AK46" s="151" t="s">
        <v>304</v>
      </c>
      <c r="AL46" s="151"/>
      <c r="AM46" s="50">
        <f t="shared" ref="AM46:AX47" si="19">AM11+AM20+AM37</f>
        <v>4629627</v>
      </c>
      <c r="AN46" s="50">
        <f t="shared" si="19"/>
        <v>4667187</v>
      </c>
      <c r="AO46" s="50">
        <f t="shared" si="19"/>
        <v>3660531</v>
      </c>
      <c r="AP46" s="50">
        <f t="shared" si="19"/>
        <v>6328832</v>
      </c>
      <c r="AQ46" s="50">
        <f t="shared" si="19"/>
        <v>13049965</v>
      </c>
      <c r="AR46" s="50">
        <f t="shared" si="19"/>
        <v>23717970</v>
      </c>
      <c r="AS46" s="50">
        <f t="shared" si="19"/>
        <v>26579183</v>
      </c>
      <c r="AT46" s="50">
        <f t="shared" si="19"/>
        <v>23538268</v>
      </c>
      <c r="AU46" s="50">
        <f t="shared" si="19"/>
        <v>18878725</v>
      </c>
      <c r="AV46" s="50">
        <f t="shared" si="19"/>
        <v>6211172</v>
      </c>
      <c r="AW46" s="50">
        <f t="shared" si="19"/>
        <v>2634426</v>
      </c>
      <c r="AX46" s="50">
        <f t="shared" si="19"/>
        <v>3331158</v>
      </c>
      <c r="AY46" s="50">
        <f t="shared" si="16"/>
        <v>137227044</v>
      </c>
    </row>
    <row r="47" spans="1:58">
      <c r="AJ47" s="151"/>
      <c r="AK47" s="151" t="s">
        <v>87</v>
      </c>
      <c r="AL47" s="151"/>
      <c r="AM47" s="50">
        <f t="shared" si="19"/>
        <v>2098291</v>
      </c>
      <c r="AN47" s="50">
        <f t="shared" si="19"/>
        <v>2097748</v>
      </c>
      <c r="AO47" s="50">
        <f t="shared" si="19"/>
        <v>2097084</v>
      </c>
      <c r="AP47" s="50">
        <f t="shared" si="19"/>
        <v>2092917</v>
      </c>
      <c r="AQ47" s="50">
        <f t="shared" si="19"/>
        <v>2080667</v>
      </c>
      <c r="AR47" s="50">
        <f t="shared" si="19"/>
        <v>2071670</v>
      </c>
      <c r="AS47" s="50">
        <f t="shared" si="19"/>
        <v>2091912</v>
      </c>
      <c r="AT47" s="50">
        <f t="shared" si="19"/>
        <v>2091315</v>
      </c>
      <c r="AU47" s="50">
        <f t="shared" si="19"/>
        <v>2086444</v>
      </c>
      <c r="AV47" s="50">
        <f t="shared" si="19"/>
        <v>2114106</v>
      </c>
      <c r="AW47" s="50">
        <f t="shared" si="19"/>
        <v>2103410</v>
      </c>
      <c r="AX47" s="50">
        <f t="shared" si="19"/>
        <v>2102201</v>
      </c>
      <c r="AY47" s="50">
        <f t="shared" si="16"/>
        <v>25127765</v>
      </c>
    </row>
    <row r="48" spans="1:58">
      <c r="AJ48" s="151" t="s">
        <v>96</v>
      </c>
      <c r="AK48" s="151"/>
      <c r="AL48" s="151"/>
      <c r="AM48" s="51">
        <f>SUM(AM42:AM47)</f>
        <v>555936904</v>
      </c>
      <c r="AN48" s="51">
        <f t="shared" ref="AN48:AY48" si="20">SUM(AN42:AN47)</f>
        <v>498646815</v>
      </c>
      <c r="AO48" s="51">
        <f t="shared" si="20"/>
        <v>492113295</v>
      </c>
      <c r="AP48" s="51">
        <f t="shared" si="20"/>
        <v>431144890</v>
      </c>
      <c r="AQ48" s="51">
        <f t="shared" si="20"/>
        <v>438507087</v>
      </c>
      <c r="AR48" s="51">
        <f t="shared" si="20"/>
        <v>423629661</v>
      </c>
      <c r="AS48" s="51">
        <f t="shared" si="20"/>
        <v>451024270</v>
      </c>
      <c r="AT48" s="51">
        <f t="shared" si="20"/>
        <v>469267171</v>
      </c>
      <c r="AU48" s="51">
        <f t="shared" si="20"/>
        <v>421946321</v>
      </c>
      <c r="AV48" s="51">
        <f t="shared" si="20"/>
        <v>451213605</v>
      </c>
      <c r="AW48" s="51">
        <f t="shared" si="20"/>
        <v>471440294</v>
      </c>
      <c r="AX48" s="51">
        <f t="shared" si="20"/>
        <v>548964170</v>
      </c>
      <c r="AY48" s="51">
        <f t="shared" si="20"/>
        <v>5653834483</v>
      </c>
    </row>
    <row r="49" spans="36:51"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</row>
    <row r="50" spans="36:51">
      <c r="AJ50" s="151"/>
      <c r="AK50" s="151" t="s">
        <v>97</v>
      </c>
      <c r="AL50" s="151"/>
      <c r="AM50" s="50">
        <f>AM42</f>
        <v>284675925</v>
      </c>
      <c r="AN50" s="50">
        <f t="shared" ref="AN50:AX50" si="21">AN42</f>
        <v>232597855</v>
      </c>
      <c r="AO50" s="50">
        <f t="shared" si="21"/>
        <v>228752581</v>
      </c>
      <c r="AP50" s="50">
        <f t="shared" si="21"/>
        <v>172322869</v>
      </c>
      <c r="AQ50" s="50">
        <f t="shared" si="21"/>
        <v>166632549</v>
      </c>
      <c r="AR50" s="50">
        <f t="shared" si="21"/>
        <v>148170954</v>
      </c>
      <c r="AS50" s="50">
        <f t="shared" si="21"/>
        <v>153360033</v>
      </c>
      <c r="AT50" s="50">
        <f t="shared" si="21"/>
        <v>181322317</v>
      </c>
      <c r="AU50" s="50">
        <f t="shared" si="21"/>
        <v>146560541</v>
      </c>
      <c r="AV50" s="50">
        <f t="shared" si="21"/>
        <v>174054557</v>
      </c>
      <c r="AW50" s="50">
        <f t="shared" si="21"/>
        <v>212665464</v>
      </c>
      <c r="AX50" s="50">
        <f t="shared" si="21"/>
        <v>277362386</v>
      </c>
      <c r="AY50" s="50">
        <f>SUM(AM50:AX50)</f>
        <v>2378478031</v>
      </c>
    </row>
    <row r="51" spans="36:51">
      <c r="AJ51" s="151"/>
      <c r="AK51" s="151" t="s">
        <v>98</v>
      </c>
      <c r="AL51" s="151"/>
      <c r="AM51" s="50">
        <v>204564</v>
      </c>
      <c r="AN51" s="50">
        <v>205005</v>
      </c>
      <c r="AO51" s="50">
        <v>205512</v>
      </c>
      <c r="AP51" s="50">
        <v>205536</v>
      </c>
      <c r="AQ51" s="50">
        <v>205720</v>
      </c>
      <c r="AR51" s="50">
        <v>205499</v>
      </c>
      <c r="AS51" s="50">
        <v>205076</v>
      </c>
      <c r="AT51" s="50">
        <v>205201</v>
      </c>
      <c r="AU51" s="50">
        <v>204431</v>
      </c>
      <c r="AV51" s="50">
        <v>204966</v>
      </c>
      <c r="AW51" s="50">
        <v>204911</v>
      </c>
      <c r="AX51" s="50">
        <v>205646</v>
      </c>
      <c r="AY51" s="50">
        <f>SUM(AM51:AX51)</f>
        <v>2462067</v>
      </c>
    </row>
    <row r="52" spans="36:51">
      <c r="AJ52" s="151"/>
      <c r="AK52" s="151" t="s">
        <v>99</v>
      </c>
      <c r="AL52" s="151"/>
      <c r="AM52" s="56">
        <f>AM50/AM51</f>
        <v>1391.6227928667802</v>
      </c>
      <c r="AN52" s="56">
        <f t="shared" ref="AN52:AY52" si="22">AN50/AN51</f>
        <v>1134.5960098534183</v>
      </c>
      <c r="AO52" s="56">
        <f t="shared" si="22"/>
        <v>1113.0862480049827</v>
      </c>
      <c r="AP52" s="56">
        <f t="shared" si="22"/>
        <v>838.40723279620113</v>
      </c>
      <c r="AQ52" s="56">
        <f t="shared" si="22"/>
        <v>809.99683550456928</v>
      </c>
      <c r="AR52" s="56">
        <f t="shared" si="22"/>
        <v>721.03004880802337</v>
      </c>
      <c r="AS52" s="56">
        <f t="shared" si="22"/>
        <v>747.82048118746218</v>
      </c>
      <c r="AT52" s="56">
        <f t="shared" si="22"/>
        <v>883.63271621483329</v>
      </c>
      <c r="AU52" s="56">
        <f t="shared" si="22"/>
        <v>716.91935665334518</v>
      </c>
      <c r="AV52" s="56">
        <f t="shared" si="22"/>
        <v>849.18746035927904</v>
      </c>
      <c r="AW52" s="56">
        <f t="shared" si="22"/>
        <v>1037.8430830946118</v>
      </c>
      <c r="AX52" s="56">
        <f t="shared" si="22"/>
        <v>1348.7370821703316</v>
      </c>
      <c r="AY52" s="56">
        <f t="shared" si="22"/>
        <v>966.04927120179912</v>
      </c>
    </row>
    <row r="53" spans="36:51">
      <c r="AJ53" s="151"/>
      <c r="AK53" s="151" t="s">
        <v>100</v>
      </c>
      <c r="AL53" s="151"/>
      <c r="AM53" s="50">
        <f>AM43+AM44+AM46</f>
        <v>174546983</v>
      </c>
      <c r="AN53" s="50">
        <f t="shared" ref="AN53:AX53" si="23">AN43+AN44+AN46</f>
        <v>177500854</v>
      </c>
      <c r="AO53" s="50">
        <f t="shared" si="23"/>
        <v>166289029</v>
      </c>
      <c r="AP53" s="50">
        <f t="shared" si="23"/>
        <v>165417455</v>
      </c>
      <c r="AQ53" s="50">
        <f t="shared" si="23"/>
        <v>178108889</v>
      </c>
      <c r="AR53" s="50">
        <f t="shared" si="23"/>
        <v>185503197</v>
      </c>
      <c r="AS53" s="50">
        <f t="shared" si="23"/>
        <v>200737081</v>
      </c>
      <c r="AT53" s="50">
        <f t="shared" si="23"/>
        <v>187588012</v>
      </c>
      <c r="AU53" s="50">
        <f t="shared" si="23"/>
        <v>179420897</v>
      </c>
      <c r="AV53" s="50">
        <f t="shared" si="23"/>
        <v>183203251</v>
      </c>
      <c r="AW53" s="50">
        <f t="shared" si="23"/>
        <v>168530619</v>
      </c>
      <c r="AX53" s="50">
        <f t="shared" si="23"/>
        <v>178010284</v>
      </c>
      <c r="AY53" s="50">
        <f>SUM(AM53:AX53)</f>
        <v>2144856551</v>
      </c>
    </row>
    <row r="54" spans="36:51">
      <c r="AJ54" s="151"/>
      <c r="AK54" s="151" t="s">
        <v>101</v>
      </c>
      <c r="AL54" s="151"/>
      <c r="AM54" s="50">
        <v>34308</v>
      </c>
      <c r="AN54" s="50">
        <v>34460</v>
      </c>
      <c r="AO54" s="50">
        <v>34515</v>
      </c>
      <c r="AP54" s="50">
        <v>34554</v>
      </c>
      <c r="AQ54" s="50">
        <v>34555</v>
      </c>
      <c r="AR54" s="50">
        <v>35013</v>
      </c>
      <c r="AS54" s="50">
        <v>34957</v>
      </c>
      <c r="AT54" s="50">
        <v>35067</v>
      </c>
      <c r="AU54" s="50">
        <v>35085</v>
      </c>
      <c r="AV54" s="50">
        <v>35115</v>
      </c>
      <c r="AW54" s="50">
        <v>35091</v>
      </c>
      <c r="AX54" s="50">
        <v>35158</v>
      </c>
      <c r="AY54" s="50">
        <f>SUM(AM54:AX54)</f>
        <v>417878</v>
      </c>
    </row>
    <row r="55" spans="36:51">
      <c r="AJ55" s="151"/>
      <c r="AK55" s="151" t="s">
        <v>102</v>
      </c>
      <c r="AL55" s="151"/>
      <c r="AM55" s="50">
        <f>AM53/AM54</f>
        <v>5087.6467004780225</v>
      </c>
      <c r="AN55" s="50">
        <f t="shared" ref="AN55:AY55" si="24">AN53/AN54</f>
        <v>5150.9243760882182</v>
      </c>
      <c r="AO55" s="50">
        <f t="shared" si="24"/>
        <v>4817.8771258872957</v>
      </c>
      <c r="AP55" s="50">
        <f t="shared" si="24"/>
        <v>4787.2158071424437</v>
      </c>
      <c r="AQ55" s="50">
        <f t="shared" si="24"/>
        <v>5154.3593980610622</v>
      </c>
      <c r="AR55" s="50">
        <f t="shared" si="24"/>
        <v>5298.1234684260135</v>
      </c>
      <c r="AS55" s="50">
        <f t="shared" si="24"/>
        <v>5742.4001201476103</v>
      </c>
      <c r="AT55" s="50">
        <f t="shared" si="24"/>
        <v>5349.4171728405627</v>
      </c>
      <c r="AU55" s="50">
        <f t="shared" si="24"/>
        <v>5113.8918911215624</v>
      </c>
      <c r="AV55" s="50">
        <f t="shared" si="24"/>
        <v>5217.2362523138263</v>
      </c>
      <c r="AW55" s="50">
        <f t="shared" si="24"/>
        <v>4802.673591519193</v>
      </c>
      <c r="AX55" s="50">
        <f t="shared" si="24"/>
        <v>5063.1516013425107</v>
      </c>
      <c r="AY55" s="50">
        <f t="shared" si="24"/>
        <v>5132.7338385844669</v>
      </c>
    </row>
    <row r="56" spans="36:51"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</row>
    <row r="57" spans="36:51">
      <c r="AJ57" s="151"/>
      <c r="AK57" s="151" t="s">
        <v>103</v>
      </c>
      <c r="AL57" s="151"/>
      <c r="AM57" s="57">
        <f>AM48/$AY48</f>
        <v>9.8329179191855728E-2</v>
      </c>
      <c r="AN57" s="57">
        <f t="shared" ref="AN57:AX57" si="25">AN48/$AY48</f>
        <v>8.8196217363514212E-2</v>
      </c>
      <c r="AO57" s="57">
        <f t="shared" si="25"/>
        <v>8.7040626406678631E-2</v>
      </c>
      <c r="AP57" s="57">
        <f t="shared" si="25"/>
        <v>7.6257076731971962E-2</v>
      </c>
      <c r="AQ57" s="57">
        <f t="shared" si="25"/>
        <v>7.755923671244834E-2</v>
      </c>
      <c r="AR57" s="57">
        <f t="shared" si="25"/>
        <v>7.4927849811269404E-2</v>
      </c>
      <c r="AS57" s="57">
        <f t="shared" si="25"/>
        <v>7.977316480631752E-2</v>
      </c>
      <c r="AT57" s="57">
        <f t="shared" si="25"/>
        <v>8.2999807017873753E-2</v>
      </c>
      <c r="AU57" s="57">
        <f t="shared" si="25"/>
        <v>7.4630115591234933E-2</v>
      </c>
      <c r="AV57" s="57">
        <f t="shared" si="25"/>
        <v>7.9806652698573524E-2</v>
      </c>
      <c r="AW57" s="57">
        <f t="shared" si="25"/>
        <v>8.3384169702443695E-2</v>
      </c>
      <c r="AX57" s="57">
        <f t="shared" si="25"/>
        <v>9.7095903965818312E-2</v>
      </c>
      <c r="AY57" s="57">
        <f>SUM(AM57:AX57)</f>
        <v>1</v>
      </c>
    </row>
    <row r="59" spans="36:51">
      <c r="AJ59" s="250" t="s">
        <v>307</v>
      </c>
    </row>
  </sheetData>
  <mergeCells count="17">
    <mergeCell ref="BA4:BE4"/>
    <mergeCell ref="S1:AH1"/>
    <mergeCell ref="S2:AH2"/>
    <mergeCell ref="S3:AH3"/>
    <mergeCell ref="S4:AH4"/>
    <mergeCell ref="A1:K1"/>
    <mergeCell ref="A2:K2"/>
    <mergeCell ref="A3:K3"/>
    <mergeCell ref="BA2:BE2"/>
    <mergeCell ref="BA3:BE3"/>
    <mergeCell ref="J22:K23"/>
    <mergeCell ref="M2:Q2"/>
    <mergeCell ref="M3:Q3"/>
    <mergeCell ref="M4:Q4"/>
    <mergeCell ref="M6:M7"/>
    <mergeCell ref="P6:P7"/>
    <mergeCell ref="Q6:Q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E89"/>
  <sheetViews>
    <sheetView topLeftCell="A53" zoomScaleNormal="100" workbookViewId="0">
      <selection activeCell="J84" sqref="J84"/>
    </sheetView>
  </sheetViews>
  <sheetFormatPr defaultColWidth="9.109375" defaultRowHeight="13.8"/>
  <cols>
    <col min="1" max="1" width="14.6640625" style="1" customWidth="1"/>
    <col min="2" max="2" width="8.6640625" style="1" customWidth="1"/>
    <col min="3" max="3" width="16.33203125" style="1" customWidth="1"/>
    <col min="4" max="4" width="18.6640625" style="1" customWidth="1"/>
    <col min="5" max="5" width="16.6640625" style="1" customWidth="1"/>
    <col min="6" max="6" width="16.33203125" style="1" customWidth="1"/>
    <col min="7" max="7" width="15.5546875" style="1" customWidth="1"/>
    <col min="8" max="8" width="13.6640625" style="1" bestFit="1" customWidth="1"/>
    <col min="9" max="9" width="17.5546875" style="1" customWidth="1"/>
    <col min="10" max="10" width="13.6640625" style="1" bestFit="1" customWidth="1"/>
    <col min="11" max="11" width="14.88671875" style="1" customWidth="1"/>
    <col min="12" max="12" width="13.44140625" style="1" bestFit="1" customWidth="1"/>
    <col min="13" max="13" width="15.6640625" style="1" customWidth="1"/>
    <col min="14" max="14" width="6.44140625" style="1" customWidth="1"/>
    <col min="15" max="15" width="13.88671875" style="1" customWidth="1"/>
    <col min="16" max="16" width="13.33203125" style="1" customWidth="1"/>
    <col min="17" max="17" width="16" style="1" customWidth="1"/>
    <col min="18" max="18" width="10" style="1" customWidth="1"/>
    <col min="19" max="19" width="17.6640625" style="1" customWidth="1"/>
    <col min="20" max="20" width="14.6640625" style="1" customWidth="1"/>
    <col min="21" max="21" width="10.5546875" style="1" customWidth="1"/>
    <col min="22" max="22" width="14.6640625" style="1" customWidth="1"/>
    <col min="23" max="23" width="2.88671875" style="1" customWidth="1"/>
    <col min="24" max="24" width="16.88671875" style="1" customWidth="1"/>
    <col min="25" max="25" width="1.6640625" style="1" customWidth="1"/>
    <col min="26" max="26" width="14.6640625" style="1" customWidth="1"/>
    <col min="27" max="27" width="13.6640625" style="1" customWidth="1"/>
    <col min="28" max="28" width="13.5546875" style="1" customWidth="1"/>
    <col min="29" max="29" width="13.109375" style="1" customWidth="1"/>
    <col min="30" max="30" width="18" style="1" customWidth="1"/>
    <col min="31" max="16384" width="9.109375" style="1"/>
  </cols>
  <sheetData>
    <row r="1" spans="1:20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J1" s="400" t="s">
        <v>377</v>
      </c>
      <c r="K1" s="400"/>
    </row>
    <row r="2" spans="1:20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J2" s="344" t="s">
        <v>378</v>
      </c>
      <c r="K2" s="344" t="s">
        <v>379</v>
      </c>
    </row>
    <row r="3" spans="1:20">
      <c r="A3" s="180" t="s">
        <v>131</v>
      </c>
      <c r="B3" s="152"/>
      <c r="C3" s="158">
        <v>216760</v>
      </c>
      <c r="D3" s="282"/>
      <c r="E3" s="182">
        <v>245231487.134</v>
      </c>
      <c r="F3" s="182">
        <v>-114430432</v>
      </c>
      <c r="G3" s="182">
        <v>127093842</v>
      </c>
      <c r="H3" s="189">
        <f>SUM(F3:G3)</f>
        <v>12663410</v>
      </c>
      <c r="I3" s="159">
        <f>E3+H3</f>
        <v>257894897.134</v>
      </c>
      <c r="J3" s="370">
        <f t="shared" ref="J3:J8" si="0">I3/C3</f>
        <v>1189.7716236113674</v>
      </c>
      <c r="K3" s="341">
        <f t="shared" ref="K3:K8" si="1">D24/E3</f>
        <v>9.0853357659677905E-2</v>
      </c>
    </row>
    <row r="4" spans="1:20">
      <c r="A4" s="180" t="s">
        <v>178</v>
      </c>
      <c r="B4" s="152"/>
      <c r="C4" s="158">
        <v>366</v>
      </c>
      <c r="D4" s="282"/>
      <c r="E4" s="182">
        <v>520127.90899999999</v>
      </c>
      <c r="F4" s="182">
        <v>-239561</v>
      </c>
      <c r="G4" s="182">
        <v>269574</v>
      </c>
      <c r="H4" s="189">
        <f t="shared" ref="H4:H16" si="2">SUM(F4:G4)</f>
        <v>30013</v>
      </c>
      <c r="I4" s="159">
        <f t="shared" ref="I4:I16" si="3">E4+H4</f>
        <v>550140.90899999999</v>
      </c>
      <c r="J4" s="370">
        <f t="shared" si="0"/>
        <v>1503.1172377049179</v>
      </c>
      <c r="K4" s="341">
        <f t="shared" si="1"/>
        <v>9.101847676472212E-2</v>
      </c>
    </row>
    <row r="5" spans="1:20">
      <c r="A5" s="180" t="s">
        <v>132</v>
      </c>
      <c r="B5" s="152"/>
      <c r="C5" s="158">
        <v>22730</v>
      </c>
      <c r="D5" s="282"/>
      <c r="E5" s="182">
        <v>50926222.597000003</v>
      </c>
      <c r="F5" s="182">
        <v>-27208344</v>
      </c>
      <c r="G5" s="182">
        <v>26276394</v>
      </c>
      <c r="H5" s="189">
        <f t="shared" si="2"/>
        <v>-931950</v>
      </c>
      <c r="I5" s="159">
        <f t="shared" si="3"/>
        <v>49994272.597000003</v>
      </c>
      <c r="J5" s="370">
        <f t="shared" si="0"/>
        <v>2199.4840561812584</v>
      </c>
      <c r="K5" s="341">
        <f t="shared" si="1"/>
        <v>0.11692923009669261</v>
      </c>
    </row>
    <row r="6" spans="1:20">
      <c r="A6" s="180" t="s">
        <v>133</v>
      </c>
      <c r="B6" s="152"/>
      <c r="C6" s="158">
        <v>9600</v>
      </c>
      <c r="D6" s="282"/>
      <c r="E6" s="182">
        <v>6108206.1849999996</v>
      </c>
      <c r="F6" s="182">
        <v>-2882688</v>
      </c>
      <c r="G6" s="182">
        <v>3165785</v>
      </c>
      <c r="H6" s="189">
        <f t="shared" si="2"/>
        <v>283097</v>
      </c>
      <c r="I6" s="159">
        <f t="shared" si="3"/>
        <v>6391303.1849999996</v>
      </c>
      <c r="J6" s="370">
        <f t="shared" si="0"/>
        <v>665.76074843749996</v>
      </c>
      <c r="K6" s="341">
        <f t="shared" si="1"/>
        <v>0.14260867161608431</v>
      </c>
    </row>
    <row r="7" spans="1:20">
      <c r="A7" s="180" t="s">
        <v>134</v>
      </c>
      <c r="B7" s="152"/>
      <c r="C7" s="158">
        <v>1857</v>
      </c>
      <c r="D7" s="282"/>
      <c r="E7" s="182">
        <v>116049949.939</v>
      </c>
      <c r="F7" s="182">
        <v>-67185053</v>
      </c>
      <c r="G7" s="182">
        <v>59753857</v>
      </c>
      <c r="H7" s="189">
        <f t="shared" si="2"/>
        <v>-7431196</v>
      </c>
      <c r="I7" s="159">
        <f t="shared" si="3"/>
        <v>108618753.939</v>
      </c>
      <c r="J7" s="370">
        <f t="shared" si="0"/>
        <v>58491.520699515342</v>
      </c>
      <c r="K7" s="341">
        <f t="shared" si="1"/>
        <v>9.0866532777850048E-2</v>
      </c>
    </row>
    <row r="8" spans="1:20">
      <c r="A8" s="180" t="s">
        <v>135</v>
      </c>
      <c r="B8" s="152"/>
      <c r="C8" s="158">
        <v>44</v>
      </c>
      <c r="D8" s="282"/>
      <c r="E8" s="182">
        <v>3066998.32</v>
      </c>
      <c r="F8" s="182">
        <v>-1521210</v>
      </c>
      <c r="G8" s="182">
        <v>1589576</v>
      </c>
      <c r="H8" s="189">
        <f t="shared" si="2"/>
        <v>68366</v>
      </c>
      <c r="I8" s="159">
        <f t="shared" si="3"/>
        <v>3135364.32</v>
      </c>
      <c r="J8" s="370">
        <f t="shared" si="0"/>
        <v>71258.28</v>
      </c>
      <c r="K8" s="341">
        <f t="shared" si="1"/>
        <v>8.7866249630029147E-2</v>
      </c>
    </row>
    <row r="9" spans="1:20">
      <c r="A9" s="180" t="s">
        <v>136</v>
      </c>
      <c r="B9" s="152"/>
      <c r="C9" s="158">
        <v>23</v>
      </c>
      <c r="D9" s="194"/>
      <c r="E9" s="182">
        <f>88922599.9-E10</f>
        <v>55368875.900000006</v>
      </c>
      <c r="F9" s="182">
        <v>-52801605</v>
      </c>
      <c r="G9" s="182">
        <f>92515285-G10</f>
        <v>57515285</v>
      </c>
      <c r="H9" s="189">
        <f t="shared" si="2"/>
        <v>4713680</v>
      </c>
      <c r="I9" s="159">
        <f t="shared" si="3"/>
        <v>60082555.900000006</v>
      </c>
      <c r="J9" s="370">
        <f>(I9+I10)/C9</f>
        <v>4071142.6043478264</v>
      </c>
      <c r="K9" s="341">
        <f>I30/(I9+I10)</f>
        <v>5.9349055408169843E-2</v>
      </c>
    </row>
    <row r="10" spans="1:20">
      <c r="A10" s="180" t="s">
        <v>179</v>
      </c>
      <c r="B10" s="152"/>
      <c r="C10" s="158"/>
      <c r="D10" s="194"/>
      <c r="E10" s="182">
        <v>33553724</v>
      </c>
      <c r="F10" s="182">
        <v>-35000000</v>
      </c>
      <c r="G10" s="182">
        <v>35000000</v>
      </c>
      <c r="H10" s="189">
        <f t="shared" si="2"/>
        <v>0</v>
      </c>
      <c r="I10" s="159">
        <f t="shared" si="3"/>
        <v>33553724</v>
      </c>
      <c r="J10" s="370"/>
    </row>
    <row r="11" spans="1:20">
      <c r="A11" s="180" t="s">
        <v>180</v>
      </c>
      <c r="B11" s="152"/>
      <c r="C11" s="158">
        <v>46</v>
      </c>
      <c r="D11" s="282"/>
      <c r="E11" s="182">
        <v>5945.2030000000004</v>
      </c>
      <c r="F11" s="182">
        <v>0</v>
      </c>
      <c r="G11" s="182">
        <v>0</v>
      </c>
      <c r="H11" s="189">
        <f t="shared" si="2"/>
        <v>0</v>
      </c>
      <c r="I11" s="159">
        <f t="shared" si="3"/>
        <v>5945.2030000000004</v>
      </c>
      <c r="J11" s="370">
        <f>I11/C11</f>
        <v>129.24354347826088</v>
      </c>
      <c r="K11" s="341">
        <f>I31/I11</f>
        <v>0.22409495521010803</v>
      </c>
    </row>
    <row r="12" spans="1:20">
      <c r="A12" s="180" t="s">
        <v>137</v>
      </c>
      <c r="B12" s="152"/>
      <c r="C12" s="158">
        <v>1180</v>
      </c>
      <c r="D12" s="282"/>
      <c r="E12" s="182">
        <v>3736712.6630000002</v>
      </c>
      <c r="F12" s="182">
        <v>-3070656</v>
      </c>
      <c r="G12" s="182">
        <v>1728595</v>
      </c>
      <c r="H12" s="189">
        <f t="shared" si="2"/>
        <v>-1342061</v>
      </c>
      <c r="I12" s="159">
        <f t="shared" si="3"/>
        <v>2394651.6630000002</v>
      </c>
      <c r="J12" s="370">
        <f>I12/C12</f>
        <v>2029.3658161016951</v>
      </c>
      <c r="K12" s="341">
        <f>I32/I12</f>
        <v>0.11134258621814425</v>
      </c>
    </row>
    <row r="13" spans="1:20">
      <c r="A13" s="180" t="s">
        <v>138</v>
      </c>
      <c r="B13" s="152"/>
      <c r="C13" s="158">
        <v>1194</v>
      </c>
      <c r="D13" s="282"/>
      <c r="E13" s="182">
        <v>255625.07699999999</v>
      </c>
      <c r="F13" s="182">
        <v>-139136</v>
      </c>
      <c r="G13" s="182">
        <v>122329</v>
      </c>
      <c r="H13" s="189">
        <f t="shared" si="2"/>
        <v>-16807</v>
      </c>
      <c r="I13" s="159">
        <f t="shared" si="3"/>
        <v>238818.07699999999</v>
      </c>
      <c r="J13" s="370">
        <f>I13/C13</f>
        <v>200.01513986599664</v>
      </c>
      <c r="K13" s="341">
        <f>I33/I13</f>
        <v>0.18161931720101743</v>
      </c>
      <c r="S13" s="283"/>
    </row>
    <row r="14" spans="1:20">
      <c r="A14" s="180" t="s">
        <v>181</v>
      </c>
      <c r="B14" s="152"/>
      <c r="C14" s="158">
        <v>432</v>
      </c>
      <c r="D14" s="194"/>
      <c r="E14" s="182">
        <v>935788.15405000001</v>
      </c>
      <c r="F14" s="182"/>
      <c r="G14" s="182"/>
      <c r="H14" s="189"/>
      <c r="I14" s="159">
        <f t="shared" si="3"/>
        <v>935788.15405000001</v>
      </c>
      <c r="J14" s="370">
        <f>I14/C14</f>
        <v>2166.1762825231481</v>
      </c>
      <c r="K14" s="341">
        <f>I34/I14</f>
        <v>0.59653844471531214</v>
      </c>
      <c r="S14" s="189"/>
      <c r="T14" s="189"/>
    </row>
    <row r="15" spans="1:20">
      <c r="A15" s="180" t="s">
        <v>182</v>
      </c>
      <c r="B15" s="152"/>
      <c r="C15" s="158"/>
      <c r="D15" s="194"/>
      <c r="E15" s="182">
        <v>427092.69400000002</v>
      </c>
      <c r="F15" s="182"/>
      <c r="G15" s="182"/>
      <c r="H15" s="189">
        <f t="shared" si="2"/>
        <v>0</v>
      </c>
      <c r="I15" s="159">
        <f t="shared" si="3"/>
        <v>427092.69400000002</v>
      </c>
      <c r="J15" s="282"/>
      <c r="S15" s="189"/>
      <c r="T15" s="189"/>
    </row>
    <row r="16" spans="1:20">
      <c r="A16" s="180" t="s">
        <v>183</v>
      </c>
      <c r="B16" s="152"/>
      <c r="C16" s="158"/>
      <c r="D16" s="195"/>
      <c r="E16" s="182">
        <v>224516.93900000001</v>
      </c>
      <c r="F16" s="182"/>
      <c r="G16" s="182"/>
      <c r="H16" s="189">
        <f t="shared" si="2"/>
        <v>0</v>
      </c>
      <c r="I16" s="159">
        <f t="shared" si="3"/>
        <v>224516.93900000001</v>
      </c>
      <c r="J16" s="282"/>
      <c r="T16" s="283"/>
    </row>
    <row r="17" spans="1:31">
      <c r="A17" s="152"/>
      <c r="B17" s="152"/>
      <c r="C17" s="160">
        <f>SUM(C3:C16)</f>
        <v>254232</v>
      </c>
      <c r="E17" s="160">
        <f>SUM(E3:E16)</f>
        <v>516411272.71404999</v>
      </c>
      <c r="F17" s="160">
        <f>SUM(F3:F16)</f>
        <v>-304478685</v>
      </c>
      <c r="G17" s="160">
        <f>SUM(G3:G16)</f>
        <v>312515237</v>
      </c>
      <c r="H17" s="160">
        <f>SUM(H3:H16)</f>
        <v>8036552</v>
      </c>
      <c r="I17" s="160">
        <f>SUM(I3:I16)</f>
        <v>524447824.71404999</v>
      </c>
    </row>
    <row r="18" spans="1:31" ht="14.4" thickBot="1">
      <c r="A18" s="152"/>
      <c r="B18" s="152"/>
      <c r="C18" s="152"/>
      <c r="E18" s="152"/>
      <c r="F18" s="152"/>
      <c r="G18" s="152"/>
      <c r="I18" s="152"/>
    </row>
    <row r="19" spans="1:31">
      <c r="A19" s="152" t="s">
        <v>19</v>
      </c>
      <c r="B19" s="152"/>
      <c r="C19" s="161">
        <f>C3+C4</f>
        <v>217126</v>
      </c>
      <c r="E19" s="162">
        <f>E3+E4</f>
        <v>245751615.04300001</v>
      </c>
      <c r="F19" s="162">
        <f>F3+F4</f>
        <v>-114669993</v>
      </c>
      <c r="G19" s="162">
        <f>G3+G4</f>
        <v>127363416</v>
      </c>
      <c r="H19" s="162">
        <f>H3+H4</f>
        <v>12693423</v>
      </c>
      <c r="I19" s="161">
        <f>I3+I4</f>
        <v>258445038.04300001</v>
      </c>
    </row>
    <row r="20" spans="1:31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31" ht="14.4" thickBot="1">
      <c r="A21" s="152" t="s">
        <v>184</v>
      </c>
      <c r="B21" s="152"/>
      <c r="C21" s="177">
        <f>SUM(C5:C8,C11:C13)</f>
        <v>36651</v>
      </c>
      <c r="E21" s="178">
        <f>SUM(E5:E8,E11:E13)</f>
        <v>180149659.984</v>
      </c>
      <c r="F21" s="178">
        <f>SUM(F5:F8,F11:F13)</f>
        <v>-102007087</v>
      </c>
      <c r="G21" s="178">
        <f>SUM(G5:G8,G11:G13)</f>
        <v>92636536</v>
      </c>
      <c r="H21" s="178">
        <f>SUM(H5:H8,H11:H13)</f>
        <v>-9370551</v>
      </c>
      <c r="I21" s="177">
        <f>SUM(I5:I8,I11:I13)</f>
        <v>170779108.984</v>
      </c>
      <c r="Z21" s="1" t="s">
        <v>380</v>
      </c>
    </row>
    <row r="22" spans="1:31">
      <c r="A22" s="152"/>
      <c r="B22" s="152"/>
      <c r="C22" s="152"/>
      <c r="D22" s="152"/>
      <c r="E22" s="152"/>
      <c r="M22" s="1" t="s">
        <v>389</v>
      </c>
      <c r="Z22" s="1" t="s">
        <v>235</v>
      </c>
      <c r="AA22" s="343" t="s">
        <v>301</v>
      </c>
      <c r="AC22" s="1" t="s">
        <v>237</v>
      </c>
      <c r="AD22" s="343" t="s">
        <v>300</v>
      </c>
    </row>
    <row r="23" spans="1:31" ht="53.4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  <c r="O23" s="344" t="str">
        <f>AA22&amp;" Billed Schedule 75 Revenue"</f>
        <v>December Billed Schedule 75 Revenue</v>
      </c>
      <c r="P23" s="344" t="str">
        <f>AA22&amp;" Billed kWhs"</f>
        <v>December Billed kWhs</v>
      </c>
      <c r="Q23" s="344" t="str">
        <f>AA22&amp;" Unbilled kWhs"</f>
        <v>December Unbilled kWhs</v>
      </c>
      <c r="R23" s="344" t="s">
        <v>387</v>
      </c>
      <c r="S23" s="344" t="s">
        <v>239</v>
      </c>
      <c r="T23" s="344" t="str">
        <f>AD22&amp;" Unbilled kWhs reversal"</f>
        <v>November Unbilled kWhs reversal</v>
      </c>
      <c r="U23" s="344" t="s">
        <v>387</v>
      </c>
      <c r="V23" s="344" t="str">
        <f>AD22&amp;" Schedule 75 Unbilled Reversal"</f>
        <v>November Schedule 75 Unbilled Reversal</v>
      </c>
      <c r="X23" s="344" t="str">
        <f>"Total "&amp;AA22&amp;" Schedule 75 Revenue"</f>
        <v>Total December Schedule 75 Revenue</v>
      </c>
      <c r="Z23" s="344" t="str">
        <f>"Calendar "&amp;AA22&amp;" Usage"</f>
        <v>Calendar December Usage</v>
      </c>
      <c r="AA23" s="344" t="str">
        <f>R23</f>
        <v>11/1/2018 rate</v>
      </c>
      <c r="AB23" s="344" t="s">
        <v>240</v>
      </c>
      <c r="AC23" s="344" t="s">
        <v>241</v>
      </c>
      <c r="AD23" s="344" t="str">
        <f>"implied "&amp;AD22&amp;" unbilled/Cancel-Rebill True-up kWhs"</f>
        <v>implied November unbilled/Cancel-Rebill True-up kWhs</v>
      </c>
    </row>
    <row r="24" spans="1:31">
      <c r="A24" s="180" t="s">
        <v>131</v>
      </c>
      <c r="B24" s="152"/>
      <c r="C24" s="181">
        <v>1989883</v>
      </c>
      <c r="D24" s="181">
        <v>22280104.010000002</v>
      </c>
      <c r="E24" s="183">
        <v>-10201854</v>
      </c>
      <c r="F24" s="183">
        <v>11567915</v>
      </c>
      <c r="G24" s="174">
        <f>SUM(D24:F24)</f>
        <v>23646165.010000002</v>
      </c>
      <c r="H24" s="174">
        <f>-J62</f>
        <v>-22160.967499999992</v>
      </c>
      <c r="I24" s="174">
        <f>SUM(G24:H24)</f>
        <v>23624004.0425</v>
      </c>
      <c r="M24" s="1" t="s">
        <v>242</v>
      </c>
      <c r="O24" s="368">
        <v>-278783.18</v>
      </c>
      <c r="P24" s="345">
        <f t="shared" ref="P24:P29" si="4">E3</f>
        <v>245231487.134</v>
      </c>
      <c r="Q24" s="345">
        <f t="shared" ref="Q24:Q29" si="5">G3</f>
        <v>127093842</v>
      </c>
      <c r="R24" s="346">
        <v>-1.16E-3</v>
      </c>
      <c r="S24" s="347">
        <f>Q24*R24</f>
        <v>-147428.85672000001</v>
      </c>
      <c r="T24" s="345">
        <f t="shared" ref="T24:T29" si="6">F3</f>
        <v>-114430432</v>
      </c>
      <c r="U24" s="346">
        <f>R24</f>
        <v>-1.16E-3</v>
      </c>
      <c r="V24" s="348">
        <f>T24*U24</f>
        <v>132739.30111999999</v>
      </c>
      <c r="X24" s="349">
        <f>O24+S24+V24</f>
        <v>-293472.73560000001</v>
      </c>
      <c r="Z24" s="350">
        <f>P24+Q24+T24</f>
        <v>257894897.134</v>
      </c>
      <c r="AA24" s="194">
        <f>R24</f>
        <v>-1.16E-3</v>
      </c>
      <c r="AB24" s="283">
        <f>Z24*AA24</f>
        <v>-299158.08067544003</v>
      </c>
      <c r="AC24" s="349">
        <f>X24-AB24</f>
        <v>5685.345075440011</v>
      </c>
      <c r="AD24" s="350">
        <f>AC24/U24</f>
        <v>-4901159.5477931127</v>
      </c>
      <c r="AE24" s="351">
        <f>AC24/X24</f>
        <v>-1.9372651649620602E-2</v>
      </c>
    </row>
    <row r="25" spans="1:31">
      <c r="A25" s="180" t="s">
        <v>178</v>
      </c>
      <c r="B25" s="152"/>
      <c r="C25" s="181">
        <v>3331.5</v>
      </c>
      <c r="D25" s="181">
        <v>47341.25</v>
      </c>
      <c r="E25" s="183">
        <v>-13419</v>
      </c>
      <c r="F25" s="183">
        <v>15602</v>
      </c>
      <c r="G25" s="174">
        <f t="shared" ref="G25:G33" si="7">SUM(D25:F25)</f>
        <v>49524.25</v>
      </c>
      <c r="H25" s="174">
        <f t="shared" ref="H25:H30" si="8">-J63</f>
        <v>893.78714000000025</v>
      </c>
      <c r="I25" s="174">
        <f t="shared" ref="I25:I34" si="9">SUM(G25:H25)</f>
        <v>50418.03714</v>
      </c>
      <c r="M25" s="1" t="s">
        <v>243</v>
      </c>
      <c r="O25" s="368">
        <v>-615.77</v>
      </c>
      <c r="P25" s="345">
        <f t="shared" si="4"/>
        <v>520127.90899999999</v>
      </c>
      <c r="Q25" s="345">
        <f t="shared" si="5"/>
        <v>269574</v>
      </c>
      <c r="R25" s="346">
        <v>-1.16E-3</v>
      </c>
      <c r="S25" s="347">
        <f>Q25*R25</f>
        <v>-312.70584000000002</v>
      </c>
      <c r="T25" s="345">
        <f t="shared" si="6"/>
        <v>-239561</v>
      </c>
      <c r="U25" s="346">
        <f t="shared" ref="U25:U32" si="10">R25</f>
        <v>-1.16E-3</v>
      </c>
      <c r="V25" s="348">
        <f t="shared" ref="V25:V32" si="11">T25*U25</f>
        <v>277.89076</v>
      </c>
      <c r="X25" s="349">
        <f t="shared" ref="X25:X32" si="12">O25+S25+V25</f>
        <v>-650.58508000000006</v>
      </c>
      <c r="Z25" s="350">
        <f t="shared" ref="Z25:Z32" si="13">P25+Q25+T25</f>
        <v>550140.90899999999</v>
      </c>
      <c r="AA25" s="194">
        <f t="shared" ref="AA25:AA32" si="14">R25</f>
        <v>-1.16E-3</v>
      </c>
      <c r="AB25" s="283">
        <f t="shared" ref="AB25:AB32" si="15">Z25*AA25</f>
        <v>-638.16345444000001</v>
      </c>
      <c r="AC25" s="349">
        <f t="shared" ref="AC25:AC32" si="16">X25-AB25</f>
        <v>-12.421625560000052</v>
      </c>
      <c r="AD25" s="350">
        <f t="shared" ref="AD25:AD32" si="17">AC25/U25</f>
        <v>10708.297896551769</v>
      </c>
      <c r="AE25" s="351">
        <f t="shared" ref="AE25:AE33" si="18">AC25/X25</f>
        <v>1.9093007112920651E-2</v>
      </c>
    </row>
    <row r="26" spans="1:31">
      <c r="A26" s="180" t="s">
        <v>132</v>
      </c>
      <c r="B26" s="152"/>
      <c r="C26" s="181">
        <v>461146.07</v>
      </c>
      <c r="D26" s="181">
        <v>5954764</v>
      </c>
      <c r="E26" s="183">
        <v>-3239079</v>
      </c>
      <c r="F26" s="183">
        <v>3085339</v>
      </c>
      <c r="G26" s="174">
        <f t="shared" si="7"/>
        <v>5801024</v>
      </c>
      <c r="H26" s="174">
        <f t="shared" si="8"/>
        <v>5535.7829999999994</v>
      </c>
      <c r="I26" s="174">
        <f t="shared" si="9"/>
        <v>5806559.7829999998</v>
      </c>
      <c r="M26" s="1" t="s">
        <v>244</v>
      </c>
      <c r="O26" s="368">
        <v>27362.01</v>
      </c>
      <c r="P26" s="345">
        <f t="shared" si="4"/>
        <v>50926222.597000003</v>
      </c>
      <c r="Q26" s="345">
        <f t="shared" si="5"/>
        <v>26276394</v>
      </c>
      <c r="R26" s="352">
        <v>5.4000000000000001E-4</v>
      </c>
      <c r="S26" s="347">
        <f>Q26*R26</f>
        <v>14189.252759999999</v>
      </c>
      <c r="T26" s="345">
        <f t="shared" si="6"/>
        <v>-27208344</v>
      </c>
      <c r="U26" s="346">
        <f t="shared" si="10"/>
        <v>5.4000000000000001E-4</v>
      </c>
      <c r="V26" s="348">
        <f t="shared" si="11"/>
        <v>-14692.50576</v>
      </c>
      <c r="X26" s="349">
        <f t="shared" si="12"/>
        <v>26858.756999999998</v>
      </c>
      <c r="Z26" s="350">
        <f t="shared" si="13"/>
        <v>49994272.597000003</v>
      </c>
      <c r="AA26" s="353">
        <f t="shared" si="14"/>
        <v>5.4000000000000001E-4</v>
      </c>
      <c r="AB26" s="283">
        <f t="shared" si="15"/>
        <v>26996.907202380004</v>
      </c>
      <c r="AC26" s="349">
        <f t="shared" si="16"/>
        <v>-138.15020238000579</v>
      </c>
      <c r="AD26" s="350">
        <f t="shared" si="17"/>
        <v>-255833.70811112184</v>
      </c>
      <c r="AE26" s="351">
        <f t="shared" si="18"/>
        <v>-5.1435813794363534E-3</v>
      </c>
    </row>
    <row r="27" spans="1:31">
      <c r="A27" s="180" t="s">
        <v>133</v>
      </c>
      <c r="B27" s="152"/>
      <c r="C27" s="181">
        <v>193671.83</v>
      </c>
      <c r="D27" s="181">
        <v>871083.17</v>
      </c>
      <c r="E27" s="183">
        <v>-436496</v>
      </c>
      <c r="F27" s="183">
        <v>458774</v>
      </c>
      <c r="G27" s="174">
        <f t="shared" si="7"/>
        <v>893361.17</v>
      </c>
      <c r="H27" s="174">
        <f t="shared" si="8"/>
        <v>-1452.2876100000001</v>
      </c>
      <c r="I27" s="174">
        <f t="shared" si="9"/>
        <v>891908.88239000004</v>
      </c>
      <c r="M27" s="1" t="s">
        <v>245</v>
      </c>
      <c r="O27" s="368">
        <v>3291.99</v>
      </c>
      <c r="P27" s="345">
        <f t="shared" si="4"/>
        <v>6108206.1849999996</v>
      </c>
      <c r="Q27" s="345">
        <f t="shared" si="5"/>
        <v>3165785</v>
      </c>
      <c r="R27" s="352">
        <v>5.4000000000000001E-4</v>
      </c>
      <c r="S27" s="347">
        <f t="shared" ref="S27:S32" si="19">Q27*R27</f>
        <v>1709.5238999999999</v>
      </c>
      <c r="T27" s="345">
        <f t="shared" si="6"/>
        <v>-2882688</v>
      </c>
      <c r="U27" s="346">
        <f t="shared" si="10"/>
        <v>5.4000000000000001E-4</v>
      </c>
      <c r="V27" s="348">
        <f t="shared" si="11"/>
        <v>-1556.6515200000001</v>
      </c>
      <c r="X27" s="349">
        <f t="shared" si="12"/>
        <v>3444.8623799999996</v>
      </c>
      <c r="Z27" s="350">
        <f t="shared" si="13"/>
        <v>6391303.1849999987</v>
      </c>
      <c r="AA27" s="353">
        <f t="shared" si="14"/>
        <v>5.4000000000000001E-4</v>
      </c>
      <c r="AB27" s="283">
        <f t="shared" si="15"/>
        <v>3451.3037198999991</v>
      </c>
      <c r="AC27" s="349">
        <f t="shared" si="16"/>
        <v>-6.4413398999995479</v>
      </c>
      <c r="AD27" s="350">
        <f t="shared" si="17"/>
        <v>-11928.407222221385</v>
      </c>
      <c r="AE27" s="351">
        <f t="shared" si="18"/>
        <v>-1.8698395434883959E-3</v>
      </c>
    </row>
    <row r="28" spans="1:31">
      <c r="A28" s="180" t="s">
        <v>134</v>
      </c>
      <c r="B28" s="152"/>
      <c r="C28" s="181">
        <v>930356.66</v>
      </c>
      <c r="D28" s="181">
        <v>10545056.58</v>
      </c>
      <c r="E28" s="183">
        <v>-5524843</v>
      </c>
      <c r="F28" s="183">
        <v>4923816</v>
      </c>
      <c r="G28" s="174">
        <f t="shared" si="7"/>
        <v>9944029.5800000001</v>
      </c>
      <c r="H28" s="174">
        <f t="shared" si="8"/>
        <v>33811.941800000001</v>
      </c>
      <c r="I28" s="174">
        <f t="shared" si="9"/>
        <v>9977841.5218000002</v>
      </c>
      <c r="M28" s="1" t="s">
        <v>246</v>
      </c>
      <c r="O28" s="368">
        <v>62321.37</v>
      </c>
      <c r="P28" s="345">
        <f t="shared" si="4"/>
        <v>116049949.939</v>
      </c>
      <c r="Q28" s="345">
        <f t="shared" si="5"/>
        <v>59753857</v>
      </c>
      <c r="R28" s="352">
        <v>5.4000000000000001E-4</v>
      </c>
      <c r="S28" s="347">
        <f t="shared" si="19"/>
        <v>32267.082780000001</v>
      </c>
      <c r="T28" s="345">
        <f t="shared" si="6"/>
        <v>-67185053</v>
      </c>
      <c r="U28" s="346">
        <f t="shared" si="10"/>
        <v>5.4000000000000001E-4</v>
      </c>
      <c r="V28" s="348">
        <f t="shared" si="11"/>
        <v>-36279.928619999999</v>
      </c>
      <c r="X28" s="349">
        <f t="shared" si="12"/>
        <v>58308.524160000008</v>
      </c>
      <c r="Z28" s="350">
        <f t="shared" si="13"/>
        <v>108618753.93900001</v>
      </c>
      <c r="AA28" s="353">
        <f t="shared" si="14"/>
        <v>5.4000000000000001E-4</v>
      </c>
      <c r="AB28" s="283">
        <f t="shared" si="15"/>
        <v>58654.127127060005</v>
      </c>
      <c r="AC28" s="349">
        <f t="shared" si="16"/>
        <v>-345.60296705999644</v>
      </c>
      <c r="AD28" s="350">
        <f t="shared" si="17"/>
        <v>-640005.494555549</v>
      </c>
      <c r="AE28" s="351">
        <f t="shared" si="18"/>
        <v>-5.9271431070979175E-3</v>
      </c>
    </row>
    <row r="29" spans="1:31">
      <c r="A29" s="180" t="s">
        <v>135</v>
      </c>
      <c r="B29" s="152"/>
      <c r="C29" s="181">
        <v>22300.01</v>
      </c>
      <c r="D29" s="181">
        <v>269485.64</v>
      </c>
      <c r="E29" s="183">
        <v>-126415</v>
      </c>
      <c r="F29" s="183">
        <v>129951</v>
      </c>
      <c r="G29" s="174">
        <f t="shared" si="7"/>
        <v>273021.64</v>
      </c>
      <c r="H29" s="174">
        <f t="shared" si="8"/>
        <v>-255.68883999999997</v>
      </c>
      <c r="I29" s="174">
        <f t="shared" si="9"/>
        <v>272765.95116</v>
      </c>
      <c r="M29" s="1" t="s">
        <v>247</v>
      </c>
      <c r="O29" s="368">
        <v>1632.96</v>
      </c>
      <c r="P29" s="345">
        <f t="shared" si="4"/>
        <v>3066998.32</v>
      </c>
      <c r="Q29" s="345">
        <f t="shared" si="5"/>
        <v>1589576</v>
      </c>
      <c r="R29" s="352">
        <v>5.4000000000000001E-4</v>
      </c>
      <c r="S29" s="347">
        <f t="shared" si="19"/>
        <v>858.37103999999999</v>
      </c>
      <c r="T29" s="345">
        <f t="shared" si="6"/>
        <v>-1521210</v>
      </c>
      <c r="U29" s="346">
        <f t="shared" si="10"/>
        <v>5.4000000000000001E-4</v>
      </c>
      <c r="V29" s="348">
        <f t="shared" si="11"/>
        <v>-821.45339999999999</v>
      </c>
      <c r="X29" s="349">
        <f t="shared" si="12"/>
        <v>1669.8776400000002</v>
      </c>
      <c r="Z29" s="350">
        <f t="shared" si="13"/>
        <v>3135364.3200000003</v>
      </c>
      <c r="AA29" s="353">
        <f t="shared" si="14"/>
        <v>5.4000000000000001E-4</v>
      </c>
      <c r="AB29" s="283">
        <f t="shared" si="15"/>
        <v>1693.0967328000002</v>
      </c>
      <c r="AC29" s="349">
        <f t="shared" si="16"/>
        <v>-23.219092799999999</v>
      </c>
      <c r="AD29" s="350">
        <f t="shared" si="17"/>
        <v>-42998.32</v>
      </c>
      <c r="AE29" s="351">
        <f t="shared" si="18"/>
        <v>-1.3904667170703594E-2</v>
      </c>
    </row>
    <row r="30" spans="1:31">
      <c r="A30" s="180" t="s">
        <v>136</v>
      </c>
      <c r="B30" s="152"/>
      <c r="C30" s="181">
        <v>552000</v>
      </c>
      <c r="D30" s="181">
        <f>5415141.82-83682.54</f>
        <v>5331459.28</v>
      </c>
      <c r="E30" s="183">
        <v>-5557424</v>
      </c>
      <c r="F30" s="183">
        <v>5794738</v>
      </c>
      <c r="G30" s="174">
        <f t="shared" si="7"/>
        <v>5568773.2800000003</v>
      </c>
      <c r="H30" s="174">
        <f t="shared" si="8"/>
        <v>-11548.516</v>
      </c>
      <c r="I30" s="174">
        <f t="shared" si="9"/>
        <v>5557224.7640000004</v>
      </c>
      <c r="J30" s="283"/>
      <c r="M30" s="1" t="s">
        <v>248</v>
      </c>
      <c r="O30" s="368">
        <v>3.16</v>
      </c>
      <c r="P30" s="345">
        <f>E11</f>
        <v>5945.2030000000004</v>
      </c>
      <c r="Q30" s="345">
        <f>G11</f>
        <v>0</v>
      </c>
      <c r="R30" s="352">
        <v>5.4000000000000001E-4</v>
      </c>
      <c r="S30" s="347">
        <f t="shared" si="19"/>
        <v>0</v>
      </c>
      <c r="T30" s="345">
        <f>F11</f>
        <v>0</v>
      </c>
      <c r="U30" s="346">
        <f t="shared" si="10"/>
        <v>5.4000000000000001E-4</v>
      </c>
      <c r="V30" s="348">
        <f t="shared" si="11"/>
        <v>0</v>
      </c>
      <c r="X30" s="349">
        <f t="shared" si="12"/>
        <v>3.16</v>
      </c>
      <c r="Z30" s="350">
        <f t="shared" si="13"/>
        <v>5945.2030000000004</v>
      </c>
      <c r="AA30" s="353">
        <f t="shared" si="14"/>
        <v>5.4000000000000001E-4</v>
      </c>
      <c r="AB30" s="283">
        <f t="shared" si="15"/>
        <v>3.2104096200000001</v>
      </c>
      <c r="AC30" s="349">
        <f t="shared" si="16"/>
        <v>-5.0409619999999933E-2</v>
      </c>
      <c r="AD30" s="350">
        <f t="shared" si="17"/>
        <v>-93.351148148148027</v>
      </c>
      <c r="AE30" s="351">
        <f t="shared" si="18"/>
        <v>-1.5952411392405042E-2</v>
      </c>
    </row>
    <row r="31" spans="1:31">
      <c r="A31" s="180" t="s">
        <v>180</v>
      </c>
      <c r="B31" s="152"/>
      <c r="C31" s="181">
        <v>920</v>
      </c>
      <c r="D31" s="181">
        <v>1332.29</v>
      </c>
      <c r="E31" s="183">
        <v>0</v>
      </c>
      <c r="F31" s="183">
        <v>0</v>
      </c>
      <c r="G31" s="174">
        <f t="shared" si="7"/>
        <v>1332.29</v>
      </c>
      <c r="H31" s="174">
        <f>-J70</f>
        <v>0</v>
      </c>
      <c r="I31" s="174">
        <f t="shared" si="9"/>
        <v>1332.29</v>
      </c>
      <c r="M31" s="1" t="s">
        <v>249</v>
      </c>
      <c r="O31" s="368">
        <v>1982.87</v>
      </c>
      <c r="P31" s="345">
        <f>E12</f>
        <v>3736712.6630000002</v>
      </c>
      <c r="Q31" s="345">
        <f>G12</f>
        <v>1728595</v>
      </c>
      <c r="R31" s="352">
        <v>5.4000000000000001E-4</v>
      </c>
      <c r="S31" s="347">
        <f t="shared" si="19"/>
        <v>933.44129999999996</v>
      </c>
      <c r="T31" s="345">
        <f>F12</f>
        <v>-3070656</v>
      </c>
      <c r="U31" s="346">
        <f t="shared" si="10"/>
        <v>5.4000000000000001E-4</v>
      </c>
      <c r="V31" s="348">
        <f t="shared" si="11"/>
        <v>-1658.1542400000001</v>
      </c>
      <c r="X31" s="349">
        <f>O31+S31+V31</f>
        <v>1258.1570599999998</v>
      </c>
      <c r="Z31" s="350">
        <f t="shared" si="13"/>
        <v>2394651.6630000006</v>
      </c>
      <c r="AA31" s="353">
        <f t="shared" si="14"/>
        <v>5.4000000000000001E-4</v>
      </c>
      <c r="AB31" s="283">
        <f t="shared" si="15"/>
        <v>1293.1118980200004</v>
      </c>
      <c r="AC31" s="349">
        <f t="shared" si="16"/>
        <v>-34.954838020000579</v>
      </c>
      <c r="AD31" s="350">
        <f t="shared" si="17"/>
        <v>-64731.181518519588</v>
      </c>
      <c r="AE31" s="351">
        <f t="shared" si="18"/>
        <v>-2.7782571136230467E-2</v>
      </c>
    </row>
    <row r="32" spans="1:31">
      <c r="A32" s="180" t="s">
        <v>137</v>
      </c>
      <c r="B32" s="152"/>
      <c r="C32" s="181">
        <v>24872.51</v>
      </c>
      <c r="D32" s="181">
        <v>337943.95</v>
      </c>
      <c r="E32" s="183">
        <v>-189294</v>
      </c>
      <c r="F32" s="183">
        <v>112273</v>
      </c>
      <c r="G32" s="174">
        <f t="shared" si="7"/>
        <v>260922.95</v>
      </c>
      <c r="H32" s="174">
        <f>-J71</f>
        <v>5703.7592499999992</v>
      </c>
      <c r="I32" s="174">
        <f t="shared" si="9"/>
        <v>266626.70925000001</v>
      </c>
      <c r="M32" s="1" t="s">
        <v>250</v>
      </c>
      <c r="O32" s="368">
        <v>138.09</v>
      </c>
      <c r="P32" s="345">
        <f>E13</f>
        <v>255625.07699999999</v>
      </c>
      <c r="Q32" s="345">
        <f>G13</f>
        <v>122329</v>
      </c>
      <c r="R32" s="352">
        <v>5.4000000000000001E-4</v>
      </c>
      <c r="S32" s="347">
        <f t="shared" si="19"/>
        <v>66.057659999999998</v>
      </c>
      <c r="T32" s="345">
        <f>F13</f>
        <v>-139136</v>
      </c>
      <c r="U32" s="346">
        <f t="shared" si="10"/>
        <v>5.4000000000000001E-4</v>
      </c>
      <c r="V32" s="348">
        <f t="shared" si="11"/>
        <v>-75.133440000000007</v>
      </c>
      <c r="X32" s="349">
        <f t="shared" si="12"/>
        <v>129.01421999999999</v>
      </c>
      <c r="Z32" s="350">
        <f t="shared" si="13"/>
        <v>238818.07699999999</v>
      </c>
      <c r="AA32" s="353">
        <f t="shared" si="14"/>
        <v>5.4000000000000001E-4</v>
      </c>
      <c r="AB32" s="283">
        <f t="shared" si="15"/>
        <v>128.96176158</v>
      </c>
      <c r="AC32" s="349">
        <f t="shared" si="16"/>
        <v>5.2458419999993566E-2</v>
      </c>
      <c r="AD32" s="350">
        <f t="shared" si="17"/>
        <v>97.145222222210307</v>
      </c>
      <c r="AE32" s="351">
        <f t="shared" si="18"/>
        <v>4.0660959698856117E-4</v>
      </c>
    </row>
    <row r="33" spans="1:31">
      <c r="A33" s="180" t="s">
        <v>138</v>
      </c>
      <c r="B33" s="152"/>
      <c r="C33" s="181">
        <v>23837.43</v>
      </c>
      <c r="D33" s="181">
        <v>46182.16</v>
      </c>
      <c r="E33" s="183">
        <v>-24735</v>
      </c>
      <c r="F33" s="183">
        <v>21869</v>
      </c>
      <c r="G33" s="174">
        <f t="shared" si="7"/>
        <v>43316.160000000003</v>
      </c>
      <c r="H33" s="174">
        <f>-J72</f>
        <v>57.816080000000007</v>
      </c>
      <c r="I33" s="174">
        <f t="shared" si="9"/>
        <v>43373.97608</v>
      </c>
      <c r="O33" s="193">
        <f>SUM(O24:O32)</f>
        <v>-182666.50000000003</v>
      </c>
      <c r="P33" s="354">
        <f>SUM(P24:P32)</f>
        <v>425901275.02700001</v>
      </c>
      <c r="Q33" s="354">
        <f>SUM(Q24:Q32)</f>
        <v>219999952</v>
      </c>
      <c r="S33" s="193">
        <f>SUM(S24:S32)</f>
        <v>-97717.83312000001</v>
      </c>
      <c r="T33" s="354">
        <f>SUM(T24:T32)</f>
        <v>-216677080</v>
      </c>
      <c r="V33" s="193">
        <f>SUM(V24:V32)</f>
        <v>77933.364899999986</v>
      </c>
      <c r="X33" s="193">
        <f>SUM(X24:X32)</f>
        <v>-202450.96822000001</v>
      </c>
      <c r="Z33" s="354">
        <f>SUM(Z24:Z32)</f>
        <v>429224147.02700001</v>
      </c>
      <c r="AB33" s="354">
        <f>SUM(AB24:AB32)</f>
        <v>-207575.52527852001</v>
      </c>
      <c r="AC33" s="193">
        <f>SUM(AC24:AC32)</f>
        <v>5124.5570585200085</v>
      </c>
      <c r="AD33" s="354">
        <f>SUM(AD24:AD32)</f>
        <v>-5905944.5672298986</v>
      </c>
      <c r="AE33" s="351">
        <f t="shared" si="18"/>
        <v>-2.5312583602718264E-2</v>
      </c>
    </row>
    <row r="34" spans="1:31">
      <c r="A34" s="180" t="s">
        <v>192</v>
      </c>
      <c r="B34" s="152"/>
      <c r="C34" s="174"/>
      <c r="D34" s="181">
        <v>558233.61</v>
      </c>
      <c r="E34" s="181"/>
      <c r="F34" s="181"/>
      <c r="G34" s="174">
        <f>SUM(D34:F34)</f>
        <v>558233.61</v>
      </c>
      <c r="H34" s="174"/>
      <c r="I34" s="174">
        <f t="shared" si="9"/>
        <v>558233.61</v>
      </c>
      <c r="U34" s="355"/>
    </row>
    <row r="35" spans="1:31">
      <c r="A35" s="180" t="s">
        <v>193</v>
      </c>
      <c r="B35" s="152"/>
      <c r="C35" s="194"/>
      <c r="D35" s="181">
        <v>1531659.32</v>
      </c>
      <c r="E35" s="181"/>
      <c r="F35" s="181"/>
      <c r="G35" s="174"/>
      <c r="H35" s="174"/>
      <c r="I35" s="174"/>
      <c r="U35" s="355" t="s">
        <v>388</v>
      </c>
      <c r="V35" s="1" t="s">
        <v>252</v>
      </c>
      <c r="X35" s="194">
        <v>0.95444899999999999</v>
      </c>
      <c r="AA35" s="1" t="s">
        <v>253</v>
      </c>
      <c r="AB35" s="1" t="s">
        <v>254</v>
      </c>
      <c r="AD35" s="1" t="s">
        <v>255</v>
      </c>
    </row>
    <row r="36" spans="1:31">
      <c r="A36" s="180" t="s">
        <v>194</v>
      </c>
      <c r="B36" s="152"/>
      <c r="C36" s="194"/>
      <c r="D36" s="181">
        <v>1756931.19</v>
      </c>
      <c r="E36" s="181"/>
      <c r="F36" s="181"/>
      <c r="G36" s="174"/>
      <c r="H36" s="174"/>
      <c r="I36" s="174"/>
      <c r="T36" s="1" t="s">
        <v>142</v>
      </c>
      <c r="U36" s="1" t="s">
        <v>256</v>
      </c>
      <c r="X36" s="356">
        <f>(X24+X25)*X35</f>
        <v>-280725.70929970534</v>
      </c>
      <c r="Z36" s="1" t="s">
        <v>19</v>
      </c>
      <c r="AA36" s="189">
        <f>P24+P25+Q24+Q25+T24+T25</f>
        <v>258445038.04299998</v>
      </c>
      <c r="AB36" s="194">
        <v>-1.1100000000000001E-3</v>
      </c>
      <c r="AC36" s="349">
        <f>AA36*AB36</f>
        <v>-286873.99222772999</v>
      </c>
      <c r="AD36" s="349">
        <f>X36-AC36</f>
        <v>6148.2829280246515</v>
      </c>
      <c r="AE36" s="351">
        <f>AD36/X36</f>
        <v>-2.1901388880135264E-2</v>
      </c>
    </row>
    <row r="37" spans="1:31">
      <c r="A37" s="152"/>
      <c r="B37" s="152"/>
      <c r="C37" s="166">
        <f t="shared" ref="C37:I37" si="20">SUM(C24:C36)</f>
        <v>4202319.01</v>
      </c>
      <c r="D37" s="166">
        <f t="shared" si="20"/>
        <v>49531576.450000003</v>
      </c>
      <c r="E37" s="166">
        <f t="shared" si="20"/>
        <v>-25313559</v>
      </c>
      <c r="F37" s="166">
        <f t="shared" si="20"/>
        <v>26110277</v>
      </c>
      <c r="G37" s="166">
        <f t="shared" si="20"/>
        <v>47039703.940000005</v>
      </c>
      <c r="H37" s="166">
        <f t="shared" si="20"/>
        <v>10585.627320000009</v>
      </c>
      <c r="I37" s="166">
        <f t="shared" si="20"/>
        <v>47050289.567319997</v>
      </c>
      <c r="T37" s="1" t="s">
        <v>142</v>
      </c>
      <c r="U37" s="1" t="s">
        <v>257</v>
      </c>
      <c r="X37" s="356">
        <f>SUM(X26:X32)*X35</f>
        <v>87496.585133094544</v>
      </c>
      <c r="Z37" s="1" t="s">
        <v>184</v>
      </c>
      <c r="AA37" s="189">
        <f>SUM(P26:Q32,T26:T32)</f>
        <v>170779108.98400003</v>
      </c>
      <c r="AB37" s="194">
        <v>5.1999999999999995E-4</v>
      </c>
      <c r="AC37" s="349">
        <f>AA37*AB37</f>
        <v>88805.136671680011</v>
      </c>
      <c r="AD37" s="349">
        <f>X37-AC37</f>
        <v>-1308.5515385854669</v>
      </c>
      <c r="AE37" s="351">
        <f>AD37/X37</f>
        <v>-1.4955458394118775E-2</v>
      </c>
    </row>
    <row r="38" spans="1:31" ht="14.4" thickBot="1">
      <c r="A38" s="152"/>
      <c r="B38" s="152"/>
      <c r="D38" s="167"/>
      <c r="E38" s="152"/>
      <c r="F38" s="152"/>
      <c r="Z38" s="1" t="s">
        <v>236</v>
      </c>
    </row>
    <row r="39" spans="1:31">
      <c r="A39" s="152" t="s">
        <v>19</v>
      </c>
      <c r="B39" s="152"/>
      <c r="C39" s="169">
        <f t="shared" ref="C39:I39" si="21">C24+C25</f>
        <v>1993214.5</v>
      </c>
      <c r="D39" s="168">
        <f t="shared" si="21"/>
        <v>22327445.260000002</v>
      </c>
      <c r="E39" s="168">
        <f t="shared" si="21"/>
        <v>-10215273</v>
      </c>
      <c r="F39" s="168">
        <f t="shared" si="21"/>
        <v>11583517</v>
      </c>
      <c r="G39" s="168">
        <f t="shared" si="21"/>
        <v>23695689.260000002</v>
      </c>
      <c r="H39" s="168">
        <f t="shared" si="21"/>
        <v>-21267.180359999991</v>
      </c>
      <c r="I39" s="169">
        <f t="shared" si="21"/>
        <v>23674422.079640001</v>
      </c>
    </row>
    <row r="40" spans="1:31" ht="6" customHeight="1">
      <c r="A40" s="152"/>
      <c r="B40" s="152"/>
      <c r="C40" s="173"/>
      <c r="D40" s="168"/>
      <c r="E40" s="152"/>
      <c r="F40" s="152"/>
      <c r="I40" s="190"/>
    </row>
    <row r="41" spans="1:31" ht="14.4" thickBot="1">
      <c r="A41" s="152" t="s">
        <v>184</v>
      </c>
      <c r="B41" s="152"/>
      <c r="C41" s="175">
        <f>SUM(C26:C29,C31:C33)</f>
        <v>1657104.51</v>
      </c>
      <c r="D41" s="176">
        <f t="shared" ref="D41:I41" si="22">SUM(D26:D29,D31:D33)</f>
        <v>18025847.789999999</v>
      </c>
      <c r="E41" s="176">
        <f t="shared" si="22"/>
        <v>-9540862</v>
      </c>
      <c r="F41" s="176">
        <f t="shared" si="22"/>
        <v>8732022</v>
      </c>
      <c r="G41" s="176">
        <f t="shared" si="22"/>
        <v>17217007.789999999</v>
      </c>
      <c r="H41" s="176">
        <f t="shared" si="22"/>
        <v>43401.323679999994</v>
      </c>
      <c r="I41" s="175">
        <f t="shared" si="22"/>
        <v>17260409.113679998</v>
      </c>
    </row>
    <row r="42" spans="1:3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31">
      <c r="C43" s="192">
        <v>43040</v>
      </c>
      <c r="D43" s="192">
        <v>43252</v>
      </c>
      <c r="E43" s="381">
        <v>43405</v>
      </c>
      <c r="F43" s="192">
        <v>42278</v>
      </c>
      <c r="G43" s="192">
        <v>43344</v>
      </c>
      <c r="H43" s="192">
        <v>43374</v>
      </c>
      <c r="I43" s="192">
        <v>43282</v>
      </c>
      <c r="J43" s="375"/>
      <c r="K43" s="196"/>
      <c r="L43" s="1" t="s">
        <v>377</v>
      </c>
    </row>
    <row r="44" spans="1:31" ht="40.950000000000003" customHeight="1">
      <c r="A44" s="179" t="s">
        <v>195</v>
      </c>
      <c r="B44" s="154"/>
      <c r="C44" s="165" t="s">
        <v>196</v>
      </c>
      <c r="D44" s="165" t="s">
        <v>312</v>
      </c>
      <c r="E44" s="165" t="s">
        <v>213</v>
      </c>
      <c r="F44" s="165" t="s">
        <v>197</v>
      </c>
      <c r="G44" s="165" t="s">
        <v>198</v>
      </c>
      <c r="H44" s="165" t="s">
        <v>199</v>
      </c>
      <c r="I44" s="165" t="s">
        <v>201</v>
      </c>
      <c r="J44" s="378"/>
      <c r="L44" s="211" t="s">
        <v>385</v>
      </c>
      <c r="M44" s="357" t="s">
        <v>386</v>
      </c>
      <c r="N44" s="344" t="s">
        <v>382</v>
      </c>
      <c r="O44" s="344" t="s">
        <v>383</v>
      </c>
      <c r="P44" s="344" t="s">
        <v>384</v>
      </c>
    </row>
    <row r="45" spans="1:31">
      <c r="A45" s="180" t="s">
        <v>131</v>
      </c>
      <c r="B45" s="152"/>
      <c r="C45" s="171">
        <v>-8.0999999999999996E-4</v>
      </c>
      <c r="D45" s="171">
        <v>-1.42E-3</v>
      </c>
      <c r="E45" s="171">
        <v>-1.16E-3</v>
      </c>
      <c r="F45" s="171"/>
      <c r="G45" s="171">
        <v>4.3299999999999996E-3</v>
      </c>
      <c r="H45" s="171">
        <v>1.15E-3</v>
      </c>
      <c r="I45" s="171">
        <v>-3.4000000000000002E-4</v>
      </c>
      <c r="J45" s="171"/>
      <c r="L45" s="171">
        <f>SUM(C45:I45)</f>
        <v>1.7499999999999994E-3</v>
      </c>
      <c r="M45" s="376">
        <f t="shared" ref="M45:M57" si="23">SUM(C45:D45,E45:I45)</f>
        <v>1.7499999999999994E-3</v>
      </c>
      <c r="N45" s="348">
        <f>-F3*L45</f>
        <v>200253.25599999994</v>
      </c>
      <c r="O45" s="348">
        <f>G3*M45</f>
        <v>222414.22349999993</v>
      </c>
      <c r="P45" s="349">
        <f>O45-N45</f>
        <v>22160.967499999999</v>
      </c>
    </row>
    <row r="46" spans="1:31">
      <c r="A46" s="180" t="s">
        <v>178</v>
      </c>
      <c r="B46" s="152"/>
      <c r="C46" s="171">
        <v>-8.0999999999999996E-4</v>
      </c>
      <c r="D46" s="171">
        <v>-1.42E-3</v>
      </c>
      <c r="E46" s="171">
        <v>-1.16E-3</v>
      </c>
      <c r="F46" s="171">
        <v>-3.1530000000000002E-2</v>
      </c>
      <c r="G46" s="171">
        <v>4.3299999999999996E-3</v>
      </c>
      <c r="H46" s="171">
        <v>1.15E-3</v>
      </c>
      <c r="I46" s="171">
        <v>-3.4000000000000002E-4</v>
      </c>
      <c r="J46" s="171"/>
      <c r="L46" s="171">
        <f t="shared" ref="L46:L57" si="24">SUM(C46:I46)</f>
        <v>-2.9780000000000001E-2</v>
      </c>
      <c r="M46" s="376">
        <f t="shared" si="23"/>
        <v>-2.9780000000000001E-2</v>
      </c>
      <c r="N46" s="348">
        <f t="shared" ref="N46:N57" si="25">-F4*L46</f>
        <v>-7134.1265800000001</v>
      </c>
      <c r="O46" s="348">
        <f t="shared" ref="O46:O57" si="26">G4*M46</f>
        <v>-8027.9137200000005</v>
      </c>
      <c r="P46" s="349">
        <f t="shared" ref="P46:P57" si="27">O46-N46</f>
        <v>-893.78714000000036</v>
      </c>
    </row>
    <row r="47" spans="1:31">
      <c r="A47" s="180" t="s">
        <v>132</v>
      </c>
      <c r="B47" s="152"/>
      <c r="C47" s="171">
        <v>0</v>
      </c>
      <c r="D47" s="171">
        <v>-1.8799999999999999E-3</v>
      </c>
      <c r="E47" s="171">
        <v>5.4000000000000001E-4</v>
      </c>
      <c r="F47" s="171"/>
      <c r="G47" s="171">
        <v>5.9699999999999996E-3</v>
      </c>
      <c r="H47" s="171">
        <v>1.67E-3</v>
      </c>
      <c r="I47" s="171">
        <v>-3.6000000000000002E-4</v>
      </c>
      <c r="J47" s="171"/>
      <c r="L47" s="171">
        <f t="shared" si="24"/>
        <v>5.94E-3</v>
      </c>
      <c r="M47" s="376">
        <f t="shared" si="23"/>
        <v>5.94E-3</v>
      </c>
      <c r="N47" s="348">
        <f t="shared" si="25"/>
        <v>161617.56336</v>
      </c>
      <c r="O47" s="348">
        <f t="shared" si="26"/>
        <v>156081.78036</v>
      </c>
      <c r="P47" s="349">
        <f t="shared" si="27"/>
        <v>-5535.7829999999958</v>
      </c>
    </row>
    <row r="48" spans="1:31">
      <c r="A48" s="180" t="s">
        <v>133</v>
      </c>
      <c r="B48" s="152"/>
      <c r="C48" s="171">
        <v>-8.0999999999999996E-4</v>
      </c>
      <c r="D48" s="171">
        <v>-1.8799999999999999E-3</v>
      </c>
      <c r="E48" s="171">
        <v>5.4000000000000001E-4</v>
      </c>
      <c r="F48" s="171"/>
      <c r="G48" s="171">
        <v>5.9699999999999996E-3</v>
      </c>
      <c r="H48" s="171">
        <v>1.67E-3</v>
      </c>
      <c r="I48" s="171">
        <v>-3.6000000000000002E-4</v>
      </c>
      <c r="J48" s="171"/>
      <c r="L48" s="171">
        <f t="shared" si="24"/>
        <v>5.13E-3</v>
      </c>
      <c r="M48" s="376">
        <f t="shared" si="23"/>
        <v>5.13E-3</v>
      </c>
      <c r="N48" s="348">
        <f t="shared" si="25"/>
        <v>14788.18944</v>
      </c>
      <c r="O48" s="348">
        <f t="shared" si="26"/>
        <v>16240.47705</v>
      </c>
      <c r="P48" s="349">
        <f t="shared" si="27"/>
        <v>1452.2876099999994</v>
      </c>
    </row>
    <row r="49" spans="1:16" ht="14.4" customHeight="1">
      <c r="A49" s="180" t="s">
        <v>134</v>
      </c>
      <c r="B49" s="152"/>
      <c r="C49" s="171">
        <v>0</v>
      </c>
      <c r="D49" s="171">
        <v>-1.4400000000000001E-3</v>
      </c>
      <c r="E49" s="171">
        <v>5.4000000000000001E-4</v>
      </c>
      <c r="F49" s="171"/>
      <c r="G49" s="171">
        <v>4.5999999999999999E-3</v>
      </c>
      <c r="H49" s="171">
        <v>1.2099999999999999E-3</v>
      </c>
      <c r="I49" s="171">
        <v>-3.6000000000000002E-4</v>
      </c>
      <c r="J49" s="171"/>
      <c r="L49" s="171">
        <f t="shared" si="24"/>
        <v>4.5499999999999994E-3</v>
      </c>
      <c r="M49" s="376">
        <f t="shared" si="23"/>
        <v>4.5499999999999994E-3</v>
      </c>
      <c r="N49" s="348">
        <f t="shared" si="25"/>
        <v>305691.99114999996</v>
      </c>
      <c r="O49" s="348">
        <f t="shared" si="26"/>
        <v>271880.04934999999</v>
      </c>
      <c r="P49" s="349">
        <f t="shared" si="27"/>
        <v>-33811.941799999971</v>
      </c>
    </row>
    <row r="50" spans="1:16">
      <c r="A50" s="180" t="s">
        <v>135</v>
      </c>
      <c r="B50" s="152"/>
      <c r="C50" s="171">
        <v>-8.0999999999999996E-4</v>
      </c>
      <c r="D50" s="171">
        <v>-1.4400000000000001E-3</v>
      </c>
      <c r="E50" s="171">
        <v>5.4000000000000001E-4</v>
      </c>
      <c r="F50" s="171"/>
      <c r="G50" s="171">
        <v>4.5999999999999999E-3</v>
      </c>
      <c r="H50" s="171">
        <v>1.2099999999999999E-3</v>
      </c>
      <c r="I50" s="171">
        <v>-3.6000000000000002E-4</v>
      </c>
      <c r="J50" s="171"/>
      <c r="L50" s="171">
        <f t="shared" si="24"/>
        <v>3.7399999999999994E-3</v>
      </c>
      <c r="M50" s="376">
        <f t="shared" si="23"/>
        <v>3.7399999999999994E-3</v>
      </c>
      <c r="N50" s="348">
        <f t="shared" si="25"/>
        <v>5689.3253999999988</v>
      </c>
      <c r="O50" s="348">
        <f t="shared" si="26"/>
        <v>5945.0142399999986</v>
      </c>
      <c r="P50" s="349">
        <f t="shared" si="27"/>
        <v>255.6888399999998</v>
      </c>
    </row>
    <row r="51" spans="1:16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/>
      <c r="G51" s="171">
        <v>2.97E-3</v>
      </c>
      <c r="H51" s="171">
        <v>7.6000000000000004E-4</v>
      </c>
      <c r="I51" s="171">
        <v>-3.5E-4</v>
      </c>
      <c r="J51" s="171"/>
      <c r="L51" s="171">
        <f t="shared" si="24"/>
        <v>2.4500000000000004E-3</v>
      </c>
      <c r="M51" s="376">
        <f t="shared" si="23"/>
        <v>2.4500000000000004E-3</v>
      </c>
      <c r="N51" s="348">
        <f t="shared" si="25"/>
        <v>129363.93225000001</v>
      </c>
      <c r="O51" s="348">
        <f t="shared" si="26"/>
        <v>140912.44825000002</v>
      </c>
      <c r="P51" s="349">
        <f t="shared" si="27"/>
        <v>11548.516000000003</v>
      </c>
    </row>
    <row r="52" spans="1:16">
      <c r="A52" s="180" t="s">
        <v>179</v>
      </c>
      <c r="B52" s="152"/>
      <c r="C52" s="171">
        <v>0</v>
      </c>
      <c r="D52" s="171">
        <v>-9.3000000000000005E-4</v>
      </c>
      <c r="E52" s="171">
        <v>0</v>
      </c>
      <c r="F52" s="171"/>
      <c r="G52" s="171">
        <v>2.97E-3</v>
      </c>
      <c r="H52" s="171">
        <v>0</v>
      </c>
      <c r="I52" s="171">
        <v>-3.5E-4</v>
      </c>
      <c r="J52" s="171"/>
      <c r="L52" s="171">
        <f t="shared" si="24"/>
        <v>1.6900000000000001E-3</v>
      </c>
      <c r="M52" s="376">
        <f t="shared" si="23"/>
        <v>1.6900000000000001E-3</v>
      </c>
      <c r="N52" s="348">
        <f t="shared" si="25"/>
        <v>59150</v>
      </c>
      <c r="O52" s="348">
        <f t="shared" si="26"/>
        <v>59150</v>
      </c>
      <c r="P52" s="349">
        <f t="shared" si="27"/>
        <v>0</v>
      </c>
    </row>
    <row r="53" spans="1:16">
      <c r="A53" s="180" t="s">
        <v>180</v>
      </c>
      <c r="B53" s="152"/>
      <c r="C53" s="171">
        <v>0</v>
      </c>
      <c r="D53" s="171">
        <v>-1.2999999999999999E-3</v>
      </c>
      <c r="E53" s="171">
        <v>5.4000000000000001E-4</v>
      </c>
      <c r="F53" s="171"/>
      <c r="G53" s="171">
        <v>4.3299999999999996E-3</v>
      </c>
      <c r="H53" s="171">
        <v>1.0499999999999999E-3</v>
      </c>
      <c r="I53" s="171">
        <v>-3.6999999999999999E-4</v>
      </c>
      <c r="J53" s="171"/>
      <c r="L53" s="171">
        <f t="shared" si="24"/>
        <v>4.2500000000000003E-3</v>
      </c>
      <c r="M53" s="376">
        <f t="shared" si="23"/>
        <v>4.2500000000000003E-3</v>
      </c>
      <c r="N53" s="348">
        <f t="shared" si="25"/>
        <v>0</v>
      </c>
      <c r="O53" s="348">
        <f t="shared" si="26"/>
        <v>0</v>
      </c>
      <c r="P53" s="349">
        <f t="shared" si="27"/>
        <v>0</v>
      </c>
    </row>
    <row r="54" spans="1:16">
      <c r="A54" s="180" t="s">
        <v>137</v>
      </c>
      <c r="B54" s="152"/>
      <c r="C54" s="171">
        <v>0</v>
      </c>
      <c r="D54" s="171">
        <v>-1.2999999999999999E-3</v>
      </c>
      <c r="E54" s="171">
        <v>5.4000000000000001E-4</v>
      </c>
      <c r="F54" s="171"/>
      <c r="G54" s="171">
        <v>4.3299999999999996E-3</v>
      </c>
      <c r="H54" s="171">
        <v>1.0499999999999999E-3</v>
      </c>
      <c r="I54" s="171">
        <v>-3.6999999999999999E-4</v>
      </c>
      <c r="J54" s="171"/>
      <c r="L54" s="171">
        <f t="shared" si="24"/>
        <v>4.2500000000000003E-3</v>
      </c>
      <c r="M54" s="376">
        <f t="shared" si="23"/>
        <v>4.2500000000000003E-3</v>
      </c>
      <c r="N54" s="348">
        <f t="shared" si="25"/>
        <v>13050.288</v>
      </c>
      <c r="O54" s="348">
        <f t="shared" si="26"/>
        <v>7346.5287500000004</v>
      </c>
      <c r="P54" s="349">
        <f t="shared" si="27"/>
        <v>-5703.7592500000001</v>
      </c>
    </row>
    <row r="55" spans="1:16">
      <c r="A55" s="180" t="s">
        <v>138</v>
      </c>
      <c r="B55" s="152"/>
      <c r="C55" s="171">
        <v>-8.0999999999999996E-4</v>
      </c>
      <c r="D55" s="171">
        <v>-1.2999999999999999E-3</v>
      </c>
      <c r="E55" s="171">
        <v>5.4000000000000001E-4</v>
      </c>
      <c r="F55" s="171"/>
      <c r="G55" s="171">
        <v>4.3299999999999996E-3</v>
      </c>
      <c r="H55" s="171">
        <v>1.0499999999999999E-3</v>
      </c>
      <c r="I55" s="171">
        <v>-3.6999999999999999E-4</v>
      </c>
      <c r="J55" s="171"/>
      <c r="L55" s="171">
        <f t="shared" si="24"/>
        <v>3.4399999999999999E-3</v>
      </c>
      <c r="M55" s="376">
        <f t="shared" si="23"/>
        <v>3.4399999999999999E-3</v>
      </c>
      <c r="N55" s="348">
        <f t="shared" si="25"/>
        <v>478.62783999999999</v>
      </c>
      <c r="O55" s="348">
        <f t="shared" si="26"/>
        <v>420.81175999999999</v>
      </c>
      <c r="P55" s="349">
        <f t="shared" si="27"/>
        <v>-57.816079999999999</v>
      </c>
    </row>
    <row r="56" spans="1:16" ht="15" customHeight="1">
      <c r="A56" s="180" t="s">
        <v>192</v>
      </c>
      <c r="B56" s="152"/>
      <c r="C56" s="171">
        <v>0</v>
      </c>
      <c r="D56" s="171">
        <v>0</v>
      </c>
      <c r="E56" s="171">
        <v>0</v>
      </c>
      <c r="F56" s="171"/>
      <c r="G56" s="186">
        <v>1.013E-2</v>
      </c>
      <c r="H56" s="401" t="s">
        <v>375</v>
      </c>
      <c r="I56" s="186">
        <v>-4.8000000000000001E-4</v>
      </c>
      <c r="J56" s="186"/>
      <c r="L56" s="171">
        <f t="shared" si="24"/>
        <v>9.6500000000000006E-3</v>
      </c>
      <c r="M56" s="376">
        <f t="shared" si="23"/>
        <v>9.6500000000000006E-3</v>
      </c>
      <c r="N56" s="348">
        <f t="shared" si="25"/>
        <v>0</v>
      </c>
      <c r="O56" s="348">
        <f t="shared" si="26"/>
        <v>0</v>
      </c>
      <c r="P56" s="349">
        <f t="shared" si="27"/>
        <v>0</v>
      </c>
    </row>
    <row r="57" spans="1:16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/>
      <c r="G57" s="186">
        <v>1.013E-2</v>
      </c>
      <c r="H57" s="401"/>
      <c r="I57" s="186">
        <v>-4.8000000000000001E-4</v>
      </c>
      <c r="J57" s="186"/>
      <c r="L57" s="171">
        <f t="shared" si="24"/>
        <v>8.8400000000000006E-3</v>
      </c>
      <c r="M57" s="376">
        <f t="shared" si="23"/>
        <v>8.8400000000000006E-3</v>
      </c>
      <c r="N57" s="348">
        <f t="shared" si="25"/>
        <v>0</v>
      </c>
      <c r="O57" s="348">
        <f t="shared" si="26"/>
        <v>0</v>
      </c>
      <c r="P57" s="349">
        <f t="shared" si="27"/>
        <v>0</v>
      </c>
    </row>
    <row r="58" spans="1:16" ht="9" customHeight="1">
      <c r="A58" s="180"/>
      <c r="B58" s="152"/>
      <c r="C58" s="171"/>
      <c r="D58" s="171"/>
      <c r="E58" s="171"/>
      <c r="F58" s="171"/>
      <c r="G58" s="186"/>
      <c r="H58" s="379"/>
      <c r="I58" s="171"/>
      <c r="J58" s="186"/>
      <c r="K58" s="171"/>
      <c r="L58" s="212"/>
      <c r="M58" s="369"/>
      <c r="N58" s="193">
        <f>SUM(N45:N57)</f>
        <v>882949.04685999989</v>
      </c>
      <c r="O58" s="193">
        <f>SUM(O45:O57)</f>
        <v>872363.41953999992</v>
      </c>
      <c r="P58" s="193">
        <f>SUM(P45:P57)</f>
        <v>-10585.627319999967</v>
      </c>
    </row>
    <row r="59" spans="1:16" hidden="1">
      <c r="A59" s="180"/>
      <c r="B59" s="152"/>
      <c r="C59" s="171"/>
      <c r="D59" s="171"/>
      <c r="E59" s="171"/>
      <c r="F59" s="171"/>
      <c r="G59" s="186"/>
      <c r="H59" s="379"/>
      <c r="I59" s="171"/>
      <c r="J59" s="186"/>
      <c r="K59" s="171"/>
      <c r="L59" s="212"/>
      <c r="M59" s="335"/>
      <c r="N59" s="194"/>
    </row>
    <row r="60" spans="1:16" hidden="1">
      <c r="F60" s="152"/>
      <c r="M60" s="335"/>
      <c r="N60" s="335"/>
    </row>
    <row r="61" spans="1:16" ht="41.4" customHeight="1">
      <c r="A61" s="179" t="s">
        <v>202</v>
      </c>
      <c r="B61" s="154"/>
      <c r="C61" s="172" t="s">
        <v>368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207</v>
      </c>
      <c r="J61" s="172" t="s">
        <v>208</v>
      </c>
      <c r="M61" s="168"/>
    </row>
    <row r="62" spans="1:16">
      <c r="A62" s="180" t="s">
        <v>131</v>
      </c>
      <c r="C62" s="168">
        <f t="shared" ref="C62:E72" si="28">C45*$H3</f>
        <v>-10257.3621</v>
      </c>
      <c r="D62" s="168">
        <f t="shared" si="28"/>
        <v>-17982.0422</v>
      </c>
      <c r="E62" s="168">
        <f>E45*$H3</f>
        <v>-14689.5556</v>
      </c>
      <c r="F62" s="168">
        <f t="shared" ref="F62:F72" si="29">$H3*F45</f>
        <v>0</v>
      </c>
      <c r="G62" s="168">
        <f t="shared" ref="G62:G72" si="30">(H3*G45)</f>
        <v>54832.565299999995</v>
      </c>
      <c r="H62" s="168">
        <f t="shared" ref="H62:H72" si="31">(H45*H3)</f>
        <v>14562.9215</v>
      </c>
      <c r="I62" s="168">
        <f t="shared" ref="I62:I72" si="32">I45*H3</f>
        <v>-4305.5594000000001</v>
      </c>
      <c r="J62" s="168">
        <f t="shared" ref="J62:J68" si="33">SUM(C62:I62)</f>
        <v>22160.967499999992</v>
      </c>
      <c r="M62" s="168"/>
    </row>
    <row r="63" spans="1:16">
      <c r="A63" s="180" t="s">
        <v>178</v>
      </c>
      <c r="C63" s="168">
        <f t="shared" si="28"/>
        <v>-24.31053</v>
      </c>
      <c r="D63" s="168">
        <f t="shared" si="28"/>
        <v>-42.618459999999999</v>
      </c>
      <c r="E63" s="168">
        <f t="shared" si="28"/>
        <v>-34.815080000000002</v>
      </c>
      <c r="F63" s="168">
        <f t="shared" si="29"/>
        <v>-946.30989000000011</v>
      </c>
      <c r="G63" s="168">
        <f t="shared" si="30"/>
        <v>129.95629</v>
      </c>
      <c r="H63" s="168">
        <f t="shared" si="31"/>
        <v>34.514949999999999</v>
      </c>
      <c r="I63" s="168">
        <f t="shared" si="32"/>
        <v>-10.204420000000001</v>
      </c>
      <c r="J63" s="168">
        <f t="shared" si="33"/>
        <v>-893.78714000000025</v>
      </c>
      <c r="M63" s="168"/>
    </row>
    <row r="64" spans="1:16">
      <c r="A64" s="180" t="s">
        <v>132</v>
      </c>
      <c r="C64" s="168">
        <f t="shared" si="28"/>
        <v>0</v>
      </c>
      <c r="D64" s="168">
        <f t="shared" si="28"/>
        <v>1752.066</v>
      </c>
      <c r="E64" s="168">
        <f t="shared" si="28"/>
        <v>-503.25299999999999</v>
      </c>
      <c r="F64" s="168">
        <f t="shared" si="29"/>
        <v>0</v>
      </c>
      <c r="G64" s="168">
        <f t="shared" si="30"/>
        <v>-5563.7415000000001</v>
      </c>
      <c r="H64" s="168">
        <f t="shared" si="31"/>
        <v>-1556.3565000000001</v>
      </c>
      <c r="I64" s="168">
        <f t="shared" si="32"/>
        <v>335.50200000000001</v>
      </c>
      <c r="J64" s="168">
        <f t="shared" si="33"/>
        <v>-5535.7829999999994</v>
      </c>
      <c r="M64" s="168"/>
    </row>
    <row r="65" spans="1:13">
      <c r="A65" s="180" t="s">
        <v>133</v>
      </c>
      <c r="C65" s="168">
        <f t="shared" si="28"/>
        <v>-229.30856999999997</v>
      </c>
      <c r="D65" s="168">
        <f t="shared" si="28"/>
        <v>-532.22235999999998</v>
      </c>
      <c r="E65" s="168">
        <f t="shared" si="28"/>
        <v>152.87237999999999</v>
      </c>
      <c r="F65" s="168">
        <f t="shared" si="29"/>
        <v>0</v>
      </c>
      <c r="G65" s="168">
        <f t="shared" si="30"/>
        <v>1690.0890899999999</v>
      </c>
      <c r="H65" s="168">
        <f t="shared" si="31"/>
        <v>472.77199000000002</v>
      </c>
      <c r="I65" s="168">
        <f t="shared" si="32"/>
        <v>-101.91492000000001</v>
      </c>
      <c r="J65" s="168">
        <f t="shared" si="33"/>
        <v>1452.2876100000001</v>
      </c>
      <c r="M65" s="168"/>
    </row>
    <row r="66" spans="1:13">
      <c r="A66" s="180" t="s">
        <v>134</v>
      </c>
      <c r="C66" s="168">
        <f t="shared" si="28"/>
        <v>0</v>
      </c>
      <c r="D66" s="168">
        <f t="shared" si="28"/>
        <v>10700.92224</v>
      </c>
      <c r="E66" s="168">
        <f t="shared" si="28"/>
        <v>-4012.84584</v>
      </c>
      <c r="F66" s="168">
        <f t="shared" si="29"/>
        <v>0</v>
      </c>
      <c r="G66" s="168">
        <f t="shared" si="30"/>
        <v>-34183.501599999996</v>
      </c>
      <c r="H66" s="168">
        <f t="shared" si="31"/>
        <v>-8991.747159999999</v>
      </c>
      <c r="I66" s="168">
        <f t="shared" si="32"/>
        <v>2675.23056</v>
      </c>
      <c r="J66" s="168">
        <f t="shared" si="33"/>
        <v>-33811.941800000001</v>
      </c>
      <c r="M66" s="168"/>
    </row>
    <row r="67" spans="1:13">
      <c r="A67" s="180" t="s">
        <v>135</v>
      </c>
      <c r="C67" s="168">
        <f t="shared" si="28"/>
        <v>-55.376459999999994</v>
      </c>
      <c r="D67" s="168">
        <f t="shared" si="28"/>
        <v>-98.447040000000001</v>
      </c>
      <c r="E67" s="168">
        <f t="shared" si="28"/>
        <v>36.917639999999999</v>
      </c>
      <c r="F67" s="168">
        <f t="shared" si="29"/>
        <v>0</v>
      </c>
      <c r="G67" s="168">
        <f t="shared" si="30"/>
        <v>314.48359999999997</v>
      </c>
      <c r="H67" s="168">
        <f t="shared" si="31"/>
        <v>82.722859999999997</v>
      </c>
      <c r="I67" s="168">
        <f t="shared" si="32"/>
        <v>-24.61176</v>
      </c>
      <c r="J67" s="168">
        <f t="shared" si="33"/>
        <v>255.68883999999997</v>
      </c>
      <c r="M67" s="168"/>
    </row>
    <row r="68" spans="1:13">
      <c r="A68" s="180" t="s">
        <v>136</v>
      </c>
      <c r="C68" s="168">
        <f t="shared" si="28"/>
        <v>0</v>
      </c>
      <c r="D68" s="168">
        <f t="shared" si="28"/>
        <v>-4383.7224000000006</v>
      </c>
      <c r="E68" s="168">
        <f t="shared" si="28"/>
        <v>0</v>
      </c>
      <c r="F68" s="168">
        <f t="shared" si="29"/>
        <v>0</v>
      </c>
      <c r="G68" s="168">
        <f t="shared" si="30"/>
        <v>13999.6296</v>
      </c>
      <c r="H68" s="168">
        <f t="shared" si="31"/>
        <v>3582.3968</v>
      </c>
      <c r="I68" s="168">
        <f t="shared" si="32"/>
        <v>-1649.788</v>
      </c>
      <c r="J68" s="168">
        <f t="shared" si="33"/>
        <v>11548.516</v>
      </c>
      <c r="M68" s="168"/>
    </row>
    <row r="69" spans="1:13">
      <c r="A69" s="180" t="s">
        <v>179</v>
      </c>
      <c r="C69" s="168">
        <f t="shared" si="28"/>
        <v>0</v>
      </c>
      <c r="D69" s="168">
        <f t="shared" si="28"/>
        <v>0</v>
      </c>
      <c r="E69" s="168">
        <f t="shared" si="28"/>
        <v>0</v>
      </c>
      <c r="F69" s="168">
        <f t="shared" si="29"/>
        <v>0</v>
      </c>
      <c r="G69" s="168">
        <f t="shared" si="30"/>
        <v>0</v>
      </c>
      <c r="H69" s="168">
        <f t="shared" si="31"/>
        <v>0</v>
      </c>
      <c r="I69" s="168">
        <f t="shared" si="32"/>
        <v>0</v>
      </c>
      <c r="J69" s="168">
        <f t="shared" ref="J69:J70" si="34">SUM(C69:I69)</f>
        <v>0</v>
      </c>
      <c r="M69" s="168"/>
    </row>
    <row r="70" spans="1:13">
      <c r="A70" s="180" t="s">
        <v>180</v>
      </c>
      <c r="C70" s="168">
        <f t="shared" si="28"/>
        <v>0</v>
      </c>
      <c r="D70" s="168">
        <f t="shared" si="28"/>
        <v>0</v>
      </c>
      <c r="E70" s="168">
        <f t="shared" si="28"/>
        <v>0</v>
      </c>
      <c r="F70" s="168">
        <f t="shared" si="29"/>
        <v>0</v>
      </c>
      <c r="G70" s="168">
        <f t="shared" si="30"/>
        <v>0</v>
      </c>
      <c r="H70" s="168">
        <f t="shared" si="31"/>
        <v>0</v>
      </c>
      <c r="I70" s="168">
        <f t="shared" si="32"/>
        <v>0</v>
      </c>
      <c r="J70" s="168">
        <f t="shared" si="34"/>
        <v>0</v>
      </c>
      <c r="M70" s="168"/>
    </row>
    <row r="71" spans="1:13">
      <c r="A71" s="180" t="s">
        <v>137</v>
      </c>
      <c r="C71" s="168">
        <f t="shared" si="28"/>
        <v>0</v>
      </c>
      <c r="D71" s="168">
        <f t="shared" si="28"/>
        <v>1744.6793</v>
      </c>
      <c r="E71" s="168">
        <f t="shared" si="28"/>
        <v>-724.71294</v>
      </c>
      <c r="F71" s="168">
        <f t="shared" si="29"/>
        <v>0</v>
      </c>
      <c r="G71" s="168">
        <f t="shared" si="30"/>
        <v>-5811.1241299999992</v>
      </c>
      <c r="H71" s="168">
        <f t="shared" si="31"/>
        <v>-1409.1640499999999</v>
      </c>
      <c r="I71" s="168">
        <f t="shared" si="32"/>
        <v>496.56256999999999</v>
      </c>
      <c r="J71" s="168">
        <f>SUM(C71:I71)</f>
        <v>-5703.7592499999992</v>
      </c>
      <c r="M71" s="168"/>
    </row>
    <row r="72" spans="1:13">
      <c r="A72" s="180" t="s">
        <v>138</v>
      </c>
      <c r="C72" s="168">
        <f t="shared" si="28"/>
        <v>13.613669999999999</v>
      </c>
      <c r="D72" s="168">
        <f t="shared" si="28"/>
        <v>21.8491</v>
      </c>
      <c r="E72" s="168">
        <f t="shared" si="28"/>
        <v>-9.07578</v>
      </c>
      <c r="F72" s="168">
        <f t="shared" si="29"/>
        <v>0</v>
      </c>
      <c r="G72" s="168">
        <f t="shared" si="30"/>
        <v>-72.77431</v>
      </c>
      <c r="H72" s="168">
        <f t="shared" si="31"/>
        <v>-17.647349999999999</v>
      </c>
      <c r="I72" s="168">
        <f t="shared" si="32"/>
        <v>6.2185899999999998</v>
      </c>
      <c r="J72" s="168">
        <f>SUM(C72:I72)</f>
        <v>-57.816080000000007</v>
      </c>
      <c r="M72" s="168"/>
    </row>
    <row r="73" spans="1:13">
      <c r="A73" s="180" t="s">
        <v>192</v>
      </c>
      <c r="C73" s="168">
        <f>($H14+$H15)*C56+$H16*C57</f>
        <v>0</v>
      </c>
      <c r="D73" s="168">
        <f>($H14+$H15)*D56+$H16*D57</f>
        <v>0</v>
      </c>
      <c r="E73" s="168">
        <f t="shared" ref="E73" si="35">E56*$H14</f>
        <v>0</v>
      </c>
      <c r="F73" s="168">
        <f>($H14+$H15)*F56+$H16*F57</f>
        <v>0</v>
      </c>
      <c r="G73" s="168">
        <f>($H14+$H15)*G56+$H16*G57</f>
        <v>0</v>
      </c>
      <c r="H73" s="168">
        <v>0</v>
      </c>
      <c r="I73" s="168">
        <f>($H14+$H15)*I56+$H16*I57</f>
        <v>0</v>
      </c>
      <c r="J73" s="168">
        <f>SUM(C73:I73)</f>
        <v>0</v>
      </c>
    </row>
    <row r="74" spans="1:13">
      <c r="A74" s="157"/>
      <c r="C74" s="193">
        <f t="shared" ref="C74:J74" si="36">SUM(C62:C73)</f>
        <v>-10552.743989999999</v>
      </c>
      <c r="D74" s="193">
        <f t="shared" si="36"/>
        <v>-8819.5358200000046</v>
      </c>
      <c r="E74" s="193">
        <f t="shared" si="36"/>
        <v>-19784.468219999999</v>
      </c>
      <c r="F74" s="193">
        <f t="shared" si="36"/>
        <v>-946.30989000000011</v>
      </c>
      <c r="G74" s="337">
        <f t="shared" si="36"/>
        <v>25335.582340000004</v>
      </c>
      <c r="H74" s="193">
        <f t="shared" si="36"/>
        <v>6760.4130400000022</v>
      </c>
      <c r="I74" s="193">
        <f t="shared" si="36"/>
        <v>-2578.5647800000002</v>
      </c>
      <c r="J74" s="193">
        <f t="shared" si="36"/>
        <v>-10585.627320000009</v>
      </c>
    </row>
    <row r="75" spans="1:13" ht="7.8" customHeight="1"/>
    <row r="76" spans="1:13">
      <c r="A76" s="152" t="s">
        <v>19</v>
      </c>
      <c r="B76" s="152"/>
      <c r="C76" s="168">
        <f t="shared" ref="C76:I76" si="37">C62+C63</f>
        <v>-10281.672630000001</v>
      </c>
      <c r="D76" s="168">
        <f t="shared" si="37"/>
        <v>-18024.660660000001</v>
      </c>
      <c r="E76" s="168">
        <f t="shared" si="37"/>
        <v>-14724.37068</v>
      </c>
      <c r="F76" s="168">
        <f t="shared" si="37"/>
        <v>-946.30989000000011</v>
      </c>
      <c r="G76" s="168">
        <f t="shared" si="37"/>
        <v>54962.521589999997</v>
      </c>
      <c r="H76" s="168">
        <f t="shared" si="37"/>
        <v>14597.436450000001</v>
      </c>
      <c r="I76" s="168">
        <f t="shared" si="37"/>
        <v>-4315.7638200000001</v>
      </c>
      <c r="J76" s="168">
        <f>J62+J63</f>
        <v>21267.180359999991</v>
      </c>
    </row>
    <row r="77" spans="1:13" ht="10.8" customHeight="1">
      <c r="A77" s="152"/>
      <c r="B77" s="152"/>
      <c r="C77" s="168"/>
      <c r="D77" s="168"/>
      <c r="E77" s="168"/>
      <c r="F77" s="168"/>
      <c r="G77" s="168"/>
      <c r="H77" s="168"/>
      <c r="I77" s="168"/>
      <c r="J77" s="168"/>
    </row>
    <row r="78" spans="1:13" ht="15.75" customHeight="1">
      <c r="A78" s="152" t="s">
        <v>184</v>
      </c>
      <c r="B78" s="152"/>
      <c r="C78" s="176">
        <f t="shared" ref="C78:I78" si="38">SUM(C64:C67,C70:C72)</f>
        <v>-271.07135999999997</v>
      </c>
      <c r="D78" s="176">
        <f t="shared" si="38"/>
        <v>13588.847239999999</v>
      </c>
      <c r="E78" s="176">
        <f t="shared" si="38"/>
        <v>-5060.0975400000007</v>
      </c>
      <c r="F78" s="176">
        <f t="shared" si="38"/>
        <v>0</v>
      </c>
      <c r="G78" s="176">
        <f t="shared" si="38"/>
        <v>-43626.568849999996</v>
      </c>
      <c r="H78" s="176">
        <f t="shared" si="38"/>
        <v>-11419.420209999998</v>
      </c>
      <c r="I78" s="176">
        <f t="shared" si="38"/>
        <v>3386.9870400000004</v>
      </c>
      <c r="J78" s="176">
        <f>SUM(J64:J67,J70:J72)</f>
        <v>-43401.323679999994</v>
      </c>
    </row>
    <row r="79" spans="1:13" ht="7.8" customHeight="1"/>
    <row r="80" spans="1:13">
      <c r="A80" s="1" t="s">
        <v>215</v>
      </c>
    </row>
    <row r="81" spans="1:14">
      <c r="A81" s="1" t="s">
        <v>223</v>
      </c>
    </row>
    <row r="82" spans="1:14" ht="15.75" customHeight="1">
      <c r="A82" s="194" t="s">
        <v>222</v>
      </c>
      <c r="B82" s="194"/>
      <c r="C82" s="194"/>
      <c r="D82" s="194"/>
      <c r="E82" s="194"/>
    </row>
    <row r="83" spans="1:14" ht="29.4" customHeight="1">
      <c r="A83" s="194"/>
      <c r="B83" s="357" t="s">
        <v>216</v>
      </c>
      <c r="C83" s="357" t="s">
        <v>217</v>
      </c>
      <c r="D83" s="357" t="s">
        <v>218</v>
      </c>
      <c r="E83" s="357" t="s">
        <v>221</v>
      </c>
      <c r="G83" s="402" t="s">
        <v>391</v>
      </c>
      <c r="H83" s="402"/>
      <c r="I83" s="402"/>
      <c r="J83" s="402"/>
      <c r="M83" s="358"/>
      <c r="N83" s="358"/>
    </row>
    <row r="84" spans="1:14">
      <c r="A84" s="359" t="s">
        <v>392</v>
      </c>
      <c r="B84" s="361">
        <v>1</v>
      </c>
      <c r="C84" s="362">
        <v>814110</v>
      </c>
      <c r="D84" s="358">
        <f>74197.57-C84*M51</f>
        <v>72203.000500000009</v>
      </c>
      <c r="E84" s="358">
        <f>500*B84</f>
        <v>500</v>
      </c>
      <c r="F84" s="360" t="s">
        <v>219</v>
      </c>
      <c r="H84" s="361"/>
      <c r="I84" s="362"/>
      <c r="J84" s="380">
        <v>53394</v>
      </c>
      <c r="K84" s="358"/>
      <c r="L84" s="360"/>
    </row>
    <row r="85" spans="1:14">
      <c r="A85" s="363" t="s">
        <v>258</v>
      </c>
      <c r="B85" s="364">
        <f>SUM(B84:B84)</f>
        <v>1</v>
      </c>
      <c r="C85" s="365">
        <f>SUM(C84:C84)</f>
        <v>814110</v>
      </c>
      <c r="D85" s="366">
        <f>SUM(D84:D84)</f>
        <v>72203.000500000009</v>
      </c>
      <c r="E85" s="366">
        <f>SUM(E84:E84)</f>
        <v>500</v>
      </c>
    </row>
    <row r="86" spans="1:14">
      <c r="A86" s="194"/>
      <c r="B86" s="194"/>
      <c r="C86" s="194"/>
      <c r="D86" s="194"/>
      <c r="E86" s="194"/>
    </row>
    <row r="87" spans="1:14">
      <c r="A87" s="346"/>
      <c r="B87" s="361"/>
      <c r="C87" s="362"/>
      <c r="D87" s="358"/>
      <c r="E87" s="358"/>
    </row>
    <row r="88" spans="1:14">
      <c r="B88" s="361"/>
      <c r="C88" s="362"/>
      <c r="D88" s="358"/>
      <c r="E88" s="358"/>
    </row>
    <row r="89" spans="1:14" ht="9" customHeight="1"/>
  </sheetData>
  <mergeCells count="4">
    <mergeCell ref="A1:I1"/>
    <mergeCell ref="J1:K1"/>
    <mergeCell ref="H56:H57"/>
    <mergeCell ref="G83:J83"/>
  </mergeCells>
  <pageMargins left="0.7" right="0.7" top="0.75" bottom="0.75" header="0.3" footer="0.3"/>
  <pageSetup scale="80" fitToHeight="2" orientation="landscape" r:id="rId1"/>
  <headerFooter>
    <oddFooter>&amp;F&amp;RPage 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39997558519241921"/>
  </sheetPr>
  <dimension ref="A1:AE89"/>
  <sheetViews>
    <sheetView zoomScaleNormal="100" workbookViewId="0">
      <selection activeCell="G15" sqref="G15"/>
    </sheetView>
  </sheetViews>
  <sheetFormatPr defaultColWidth="9.109375" defaultRowHeight="13.8"/>
  <cols>
    <col min="1" max="1" width="14.6640625" style="1" customWidth="1"/>
    <col min="2" max="2" width="8.6640625" style="1" customWidth="1"/>
    <col min="3" max="3" width="16.33203125" style="1" customWidth="1"/>
    <col min="4" max="4" width="18.6640625" style="1" customWidth="1"/>
    <col min="5" max="5" width="16.6640625" style="1" customWidth="1"/>
    <col min="6" max="6" width="16.33203125" style="1" customWidth="1"/>
    <col min="7" max="7" width="15.5546875" style="1" customWidth="1"/>
    <col min="8" max="8" width="13.6640625" style="1" bestFit="1" customWidth="1"/>
    <col min="9" max="9" width="17.5546875" style="1" customWidth="1"/>
    <col min="10" max="10" width="13.6640625" style="1" bestFit="1" customWidth="1"/>
    <col min="11" max="11" width="14.88671875" style="1" customWidth="1"/>
    <col min="12" max="12" width="13.44140625" style="1" bestFit="1" customWidth="1"/>
    <col min="13" max="13" width="15.6640625" style="1" customWidth="1"/>
    <col min="14" max="14" width="9.6640625" style="1" customWidth="1"/>
    <col min="15" max="15" width="13.88671875" style="1" customWidth="1"/>
    <col min="16" max="16" width="13.33203125" style="1" customWidth="1"/>
    <col min="17" max="17" width="16" style="1" customWidth="1"/>
    <col min="18" max="18" width="10" style="1" customWidth="1"/>
    <col min="19" max="19" width="17.6640625" style="1" customWidth="1"/>
    <col min="20" max="20" width="14.6640625" style="1" customWidth="1"/>
    <col min="21" max="21" width="10.5546875" style="1" customWidth="1"/>
    <col min="22" max="22" width="14.6640625" style="1" customWidth="1"/>
    <col min="23" max="23" width="2.88671875" style="1" customWidth="1"/>
    <col min="24" max="24" width="16.88671875" style="1" customWidth="1"/>
    <col min="25" max="25" width="1.6640625" style="1" customWidth="1"/>
    <col min="26" max="26" width="14.6640625" style="1" customWidth="1"/>
    <col min="27" max="27" width="13.6640625" style="1" customWidth="1"/>
    <col min="28" max="28" width="13.5546875" style="1" customWidth="1"/>
    <col min="29" max="29" width="13.109375" style="1" customWidth="1"/>
    <col min="30" max="30" width="18" style="1" customWidth="1"/>
    <col min="31" max="16384" width="9.109375" style="1"/>
  </cols>
  <sheetData>
    <row r="1" spans="1:20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J1" s="400" t="s">
        <v>377</v>
      </c>
      <c r="K1" s="400"/>
    </row>
    <row r="2" spans="1:20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J2" s="344" t="s">
        <v>378</v>
      </c>
      <c r="K2" s="344" t="s">
        <v>379</v>
      </c>
    </row>
    <row r="3" spans="1:20">
      <c r="A3" s="180" t="s">
        <v>131</v>
      </c>
      <c r="B3" s="152"/>
      <c r="C3" s="158">
        <v>216566</v>
      </c>
      <c r="D3" s="282"/>
      <c r="E3" s="182">
        <v>180836658.27200001</v>
      </c>
      <c r="F3" s="182">
        <v>-82163972</v>
      </c>
      <c r="G3" s="182">
        <v>114430432</v>
      </c>
      <c r="H3" s="189">
        <f>SUM(F3:G3)</f>
        <v>32266460</v>
      </c>
      <c r="I3" s="159">
        <f>E3+H3</f>
        <v>213103118.27200001</v>
      </c>
      <c r="J3" s="370">
        <f t="shared" ref="J3:J8" si="0">I3/C3</f>
        <v>984.01003976616835</v>
      </c>
      <c r="K3" s="341">
        <f t="shared" ref="K3:K8" si="1">D24/E3</f>
        <v>9.0807490012895287E-2</v>
      </c>
    </row>
    <row r="4" spans="1:20">
      <c r="A4" s="180" t="s">
        <v>178</v>
      </c>
      <c r="B4" s="152"/>
      <c r="C4" s="158">
        <v>377</v>
      </c>
      <c r="D4" s="282"/>
      <c r="E4" s="182">
        <v>378573.196</v>
      </c>
      <c r="F4" s="182">
        <v>-160938</v>
      </c>
      <c r="G4" s="182">
        <v>239561</v>
      </c>
      <c r="H4" s="189">
        <f t="shared" ref="H4:H16" si="2">SUM(F4:G4)</f>
        <v>78623</v>
      </c>
      <c r="I4" s="159">
        <f t="shared" ref="I4:I16" si="3">E4+H4</f>
        <v>457196.196</v>
      </c>
      <c r="J4" s="370">
        <f t="shared" si="0"/>
        <v>1212.7220053050398</v>
      </c>
      <c r="K4" s="341">
        <f t="shared" si="1"/>
        <v>9.0129281102088371E-2</v>
      </c>
    </row>
    <row r="5" spans="1:20">
      <c r="A5" s="180" t="s">
        <v>132</v>
      </c>
      <c r="B5" s="152"/>
      <c r="C5" s="158">
        <v>22734</v>
      </c>
      <c r="D5" s="282"/>
      <c r="E5" s="182">
        <v>43172190.273999996</v>
      </c>
      <c r="F5" s="182">
        <v>-22887083</v>
      </c>
      <c r="G5" s="182">
        <v>27208344</v>
      </c>
      <c r="H5" s="189">
        <f t="shared" si="2"/>
        <v>4321261</v>
      </c>
      <c r="I5" s="159">
        <f t="shared" si="3"/>
        <v>47493451.273999996</v>
      </c>
      <c r="J5" s="370">
        <f t="shared" si="0"/>
        <v>2089.0934843846221</v>
      </c>
      <c r="K5" s="341">
        <f t="shared" si="1"/>
        <v>0.12016738615933396</v>
      </c>
    </row>
    <row r="6" spans="1:20">
      <c r="A6" s="180" t="s">
        <v>133</v>
      </c>
      <c r="B6" s="152"/>
      <c r="C6" s="158">
        <v>9573</v>
      </c>
      <c r="D6" s="282"/>
      <c r="E6" s="182">
        <v>4555444.733</v>
      </c>
      <c r="F6" s="182">
        <v>-2137728</v>
      </c>
      <c r="G6" s="182">
        <v>2882688</v>
      </c>
      <c r="H6" s="189">
        <f t="shared" si="2"/>
        <v>744960</v>
      </c>
      <c r="I6" s="159">
        <f t="shared" si="3"/>
        <v>5300404.733</v>
      </c>
      <c r="J6" s="370">
        <f t="shared" si="0"/>
        <v>553.68272568682755</v>
      </c>
      <c r="K6" s="341">
        <f t="shared" si="1"/>
        <v>0.15365078516473357</v>
      </c>
    </row>
    <row r="7" spans="1:20">
      <c r="A7" s="180" t="s">
        <v>134</v>
      </c>
      <c r="B7" s="152"/>
      <c r="C7" s="158">
        <v>1819</v>
      </c>
      <c r="D7" s="282"/>
      <c r="E7" s="182">
        <v>106647354.88699999</v>
      </c>
      <c r="F7" s="182">
        <v>-59213692</v>
      </c>
      <c r="G7" s="182">
        <v>67185053</v>
      </c>
      <c r="H7" s="189">
        <f t="shared" si="2"/>
        <v>7971361</v>
      </c>
      <c r="I7" s="159">
        <f t="shared" si="3"/>
        <v>114618715.88699999</v>
      </c>
      <c r="J7" s="370">
        <f t="shared" si="0"/>
        <v>63011.938365585484</v>
      </c>
      <c r="K7" s="341">
        <f t="shared" si="1"/>
        <v>9.2271790992160208E-2</v>
      </c>
    </row>
    <row r="8" spans="1:20">
      <c r="A8" s="180" t="s">
        <v>135</v>
      </c>
      <c r="B8" s="152"/>
      <c r="C8" s="158">
        <v>46</v>
      </c>
      <c r="D8" s="282"/>
      <c r="E8" s="182">
        <v>2403932.56</v>
      </c>
      <c r="F8" s="182">
        <v>-1257371</v>
      </c>
      <c r="G8" s="182">
        <v>1521210</v>
      </c>
      <c r="H8" s="189">
        <f t="shared" si="2"/>
        <v>263839</v>
      </c>
      <c r="I8" s="159">
        <f t="shared" si="3"/>
        <v>2667771.56</v>
      </c>
      <c r="J8" s="370">
        <f t="shared" si="0"/>
        <v>57995.03391304348</v>
      </c>
      <c r="K8" s="341">
        <f t="shared" si="1"/>
        <v>9.124603728483964E-2</v>
      </c>
    </row>
    <row r="9" spans="1:20">
      <c r="A9" s="180" t="s">
        <v>136</v>
      </c>
      <c r="B9" s="152"/>
      <c r="C9" s="158">
        <v>23</v>
      </c>
      <c r="D9" s="194"/>
      <c r="E9" s="182">
        <f>95120660.88-E10</f>
        <v>59624183.079999998</v>
      </c>
      <c r="F9" s="182">
        <v>-60301943</v>
      </c>
      <c r="G9" s="182">
        <f>87801605-G10</f>
        <v>52801605</v>
      </c>
      <c r="H9" s="189">
        <f t="shared" si="2"/>
        <v>-7500338</v>
      </c>
      <c r="I9" s="159">
        <f t="shared" si="3"/>
        <v>52123845.079999998</v>
      </c>
      <c r="J9" s="370">
        <f>(I9+I10)/C9</f>
        <v>3809579.2556521739</v>
      </c>
      <c r="K9" s="341">
        <f>I30/(I9+I10)</f>
        <v>5.9652843156699407E-2</v>
      </c>
    </row>
    <row r="10" spans="1:20">
      <c r="A10" s="180" t="s">
        <v>179</v>
      </c>
      <c r="B10" s="152"/>
      <c r="C10" s="158"/>
      <c r="D10" s="194"/>
      <c r="E10" s="182">
        <v>35496477.799999997</v>
      </c>
      <c r="F10" s="182">
        <v>-35000000</v>
      </c>
      <c r="G10" s="182">
        <v>35000000</v>
      </c>
      <c r="H10" s="189">
        <f t="shared" si="2"/>
        <v>0</v>
      </c>
      <c r="I10" s="159">
        <f t="shared" si="3"/>
        <v>35496477.799999997</v>
      </c>
      <c r="J10" s="370"/>
    </row>
    <row r="11" spans="1:20">
      <c r="A11" s="180" t="s">
        <v>180</v>
      </c>
      <c r="B11" s="152"/>
      <c r="C11" s="158">
        <v>51</v>
      </c>
      <c r="D11" s="282"/>
      <c r="E11" s="182">
        <v>485646.72399999999</v>
      </c>
      <c r="F11" s="182">
        <v>0</v>
      </c>
      <c r="G11" s="182">
        <v>0</v>
      </c>
      <c r="H11" s="189">
        <f t="shared" si="2"/>
        <v>0</v>
      </c>
      <c r="I11" s="159">
        <f t="shared" si="3"/>
        <v>485646.72399999999</v>
      </c>
      <c r="J11" s="370">
        <f>I11/C11</f>
        <v>9522.484784313725</v>
      </c>
      <c r="K11" s="341">
        <f>I31/I11</f>
        <v>7.1460195827450917E-2</v>
      </c>
    </row>
    <row r="12" spans="1:20">
      <c r="A12" s="180" t="s">
        <v>137</v>
      </c>
      <c r="B12" s="152"/>
      <c r="C12" s="158">
        <v>1189</v>
      </c>
      <c r="D12" s="282"/>
      <c r="E12" s="182">
        <v>5515307.4369999999</v>
      </c>
      <c r="F12" s="182">
        <v>-4288578</v>
      </c>
      <c r="G12" s="182">
        <v>3070656</v>
      </c>
      <c r="H12" s="189">
        <f t="shared" si="2"/>
        <v>-1217922</v>
      </c>
      <c r="I12" s="159">
        <f t="shared" si="3"/>
        <v>4297385.4369999999</v>
      </c>
      <c r="J12" s="370">
        <f>I12/C12</f>
        <v>3614.2854810765348</v>
      </c>
      <c r="K12" s="341">
        <f>I32/I12</f>
        <v>9.7382765338393365E-2</v>
      </c>
    </row>
    <row r="13" spans="1:20">
      <c r="A13" s="180" t="s">
        <v>138</v>
      </c>
      <c r="B13" s="152"/>
      <c r="C13" s="158">
        <v>1201</v>
      </c>
      <c r="D13" s="282"/>
      <c r="E13" s="182">
        <v>281631.11300000001</v>
      </c>
      <c r="F13" s="182">
        <v>-231486</v>
      </c>
      <c r="G13" s="182">
        <v>139136</v>
      </c>
      <c r="H13" s="189">
        <f t="shared" si="2"/>
        <v>-92350</v>
      </c>
      <c r="I13" s="159">
        <f t="shared" si="3"/>
        <v>189281.11300000001</v>
      </c>
      <c r="J13" s="370">
        <f>I13/C13</f>
        <v>157.60292506244798</v>
      </c>
      <c r="K13" s="341">
        <f>I33/I13</f>
        <v>0.2270921027392733</v>
      </c>
      <c r="Q13" s="1">
        <f>O24/P24</f>
        <v>2.0598537020061485E-3</v>
      </c>
      <c r="S13" s="283">
        <f>P24*T13*R24+P24*(1-T13)*U24</f>
        <v>372497.05999999994</v>
      </c>
      <c r="T13" s="1">
        <v>0.42605103351049056</v>
      </c>
    </row>
    <row r="14" spans="1:20">
      <c r="A14" s="180" t="s">
        <v>181</v>
      </c>
      <c r="B14" s="152"/>
      <c r="C14" s="158">
        <v>425</v>
      </c>
      <c r="D14" s="194"/>
      <c r="E14" s="182">
        <v>901847.97900000005</v>
      </c>
      <c r="F14" s="182"/>
      <c r="G14" s="182"/>
      <c r="H14" s="189"/>
      <c r="I14" s="159">
        <f t="shared" si="3"/>
        <v>901847.97900000005</v>
      </c>
      <c r="J14" s="370">
        <f>I14/C14</f>
        <v>2121.9952447058827</v>
      </c>
      <c r="K14" s="341">
        <f>I34/I14</f>
        <v>0.61865380085305932</v>
      </c>
      <c r="S14" s="189">
        <f>P24*T13</f>
        <v>77045645.153369009</v>
      </c>
      <c r="T14" s="189">
        <f>P24-S14</f>
        <v>103791013.11863101</v>
      </c>
    </row>
    <row r="15" spans="1:20">
      <c r="A15" s="180" t="s">
        <v>182</v>
      </c>
      <c r="B15" s="152"/>
      <c r="C15" s="158"/>
      <c r="D15" s="194"/>
      <c r="E15" s="182">
        <v>404825.76299999998</v>
      </c>
      <c r="F15" s="182"/>
      <c r="G15" s="182"/>
      <c r="H15" s="189">
        <f t="shared" si="2"/>
        <v>0</v>
      </c>
      <c r="I15" s="159">
        <f t="shared" si="3"/>
        <v>404825.76299999998</v>
      </c>
      <c r="J15" s="282"/>
      <c r="S15" s="189"/>
      <c r="T15" s="189">
        <f>T14+T24</f>
        <v>21627041.118631005</v>
      </c>
    </row>
    <row r="16" spans="1:20">
      <c r="A16" s="180" t="s">
        <v>183</v>
      </c>
      <c r="B16" s="152"/>
      <c r="C16" s="158"/>
      <c r="D16" s="195"/>
      <c r="E16" s="182">
        <v>211072.05900000001</v>
      </c>
      <c r="F16" s="182"/>
      <c r="G16" s="182"/>
      <c r="H16" s="189">
        <f t="shared" si="2"/>
        <v>0</v>
      </c>
      <c r="I16" s="159">
        <f t="shared" si="3"/>
        <v>211072.05900000001</v>
      </c>
      <c r="J16" s="282"/>
      <c r="T16" s="283">
        <f>T15*U24</f>
        <v>96240.33297790798</v>
      </c>
    </row>
    <row r="17" spans="1:31">
      <c r="A17" s="152"/>
      <c r="B17" s="152"/>
      <c r="C17" s="160">
        <f>SUM(C3:C16)</f>
        <v>254004</v>
      </c>
      <c r="E17" s="160">
        <f>SUM(E3:E16)</f>
        <v>440915145.87699991</v>
      </c>
      <c r="F17" s="160">
        <f>SUM(F3:F16)</f>
        <v>-267642791</v>
      </c>
      <c r="G17" s="160">
        <f>SUM(G3:G16)</f>
        <v>304478685</v>
      </c>
      <c r="H17" s="160">
        <f>SUM(H3:H16)</f>
        <v>36835894</v>
      </c>
      <c r="I17" s="160">
        <f>SUM(I3:I16)</f>
        <v>477751039.87699991</v>
      </c>
    </row>
    <row r="18" spans="1:31" ht="14.4" thickBot="1">
      <c r="A18" s="152"/>
      <c r="B18" s="152"/>
      <c r="C18" s="152"/>
      <c r="E18" s="152"/>
      <c r="F18" s="152"/>
      <c r="G18" s="152"/>
      <c r="I18" s="152"/>
    </row>
    <row r="19" spans="1:31">
      <c r="A19" s="152" t="s">
        <v>19</v>
      </c>
      <c r="B19" s="152"/>
      <c r="C19" s="161">
        <f>C3+C4</f>
        <v>216943</v>
      </c>
      <c r="E19" s="162">
        <f>E3+E4</f>
        <v>181215231.46800002</v>
      </c>
      <c r="F19" s="162">
        <f>F3+F4</f>
        <v>-82324910</v>
      </c>
      <c r="G19" s="162">
        <f>G3+G4</f>
        <v>114669993</v>
      </c>
      <c r="H19" s="162">
        <f>H3+H4</f>
        <v>32345083</v>
      </c>
      <c r="I19" s="161">
        <f>I3+I4</f>
        <v>213560314.46800002</v>
      </c>
    </row>
    <row r="20" spans="1:31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31" ht="14.4" thickBot="1">
      <c r="A21" s="152" t="s">
        <v>184</v>
      </c>
      <c r="B21" s="152"/>
      <c r="C21" s="177">
        <f>SUM(C5:C8,C11:C13)</f>
        <v>36613</v>
      </c>
      <c r="E21" s="178">
        <f>SUM(E5:E8,E11:E13)</f>
        <v>163061507.72800002</v>
      </c>
      <c r="F21" s="178">
        <f>SUM(F5:F8,F11:F13)</f>
        <v>-90015938</v>
      </c>
      <c r="G21" s="178">
        <f>SUM(G5:G8,G11:G13)</f>
        <v>102007087</v>
      </c>
      <c r="H21" s="178">
        <f>SUM(H5:H8,H11:H13)</f>
        <v>11991149</v>
      </c>
      <c r="I21" s="177">
        <f>SUM(I5:I8,I11:I13)</f>
        <v>175052656.72800002</v>
      </c>
      <c r="Z21" s="1" t="s">
        <v>380</v>
      </c>
    </row>
    <row r="22" spans="1:31">
      <c r="A22" s="152"/>
      <c r="B22" s="152"/>
      <c r="C22" s="152"/>
      <c r="D22" s="152"/>
      <c r="E22" s="152"/>
      <c r="M22" s="1" t="s">
        <v>389</v>
      </c>
      <c r="Z22" s="1" t="s">
        <v>235</v>
      </c>
      <c r="AA22" s="343" t="s">
        <v>300</v>
      </c>
      <c r="AC22" s="1" t="s">
        <v>237</v>
      </c>
      <c r="AD22" s="343" t="s">
        <v>299</v>
      </c>
    </row>
    <row r="23" spans="1:31" ht="53.4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  <c r="O23" s="344" t="str">
        <f>AA22&amp;" Billed Schedule 75 Revenue"</f>
        <v>November Billed Schedule 75 Revenue</v>
      </c>
      <c r="P23" s="344" t="str">
        <f>AA22&amp;" Billed kWhs"</f>
        <v>November Billed kWhs</v>
      </c>
      <c r="Q23" s="344" t="str">
        <f>AA22&amp;" Unbilled kWhs"</f>
        <v>November Unbilled kWhs</v>
      </c>
      <c r="R23" s="344" t="s">
        <v>387</v>
      </c>
      <c r="S23" s="344" t="s">
        <v>239</v>
      </c>
      <c r="T23" s="344" t="str">
        <f>AD22&amp;" Unbilled kWhs reversal"</f>
        <v>October Unbilled kWhs reversal</v>
      </c>
      <c r="U23" s="344" t="s">
        <v>238</v>
      </c>
      <c r="V23" s="344" t="str">
        <f>AD22&amp;" Schedule 75 Unbilled Reversal"</f>
        <v>October Schedule 75 Unbilled Reversal</v>
      </c>
      <c r="X23" s="344" t="str">
        <f>"Total "&amp;AA22&amp;" Schedule 75 Revenue"</f>
        <v>Total November Schedule 75 Revenue</v>
      </c>
      <c r="Z23" s="344" t="str">
        <f>"Calendar "&amp;AA22&amp;" Usage"</f>
        <v>Calendar November Usage</v>
      </c>
      <c r="AA23" s="344" t="str">
        <f>R23</f>
        <v>11/1/2018 rate</v>
      </c>
      <c r="AB23" s="344" t="s">
        <v>240</v>
      </c>
      <c r="AC23" s="344" t="s">
        <v>241</v>
      </c>
      <c r="AD23" s="344" t="str">
        <f>"implied "&amp;AD22&amp;" unbilled/Cancel-Rebill True-up kWhs"</f>
        <v>implied October unbilled/Cancel-Rebill True-up kWhs</v>
      </c>
    </row>
    <row r="24" spans="1:31">
      <c r="A24" s="180" t="s">
        <v>131</v>
      </c>
      <c r="B24" s="152"/>
      <c r="C24" s="181">
        <v>1989062.5</v>
      </c>
      <c r="D24" s="181">
        <v>16421323.039999999</v>
      </c>
      <c r="E24" s="183">
        <v>-8032789</v>
      </c>
      <c r="F24" s="183">
        <v>10201854</v>
      </c>
      <c r="G24" s="174">
        <f>SUM(D24:F24)</f>
        <v>18590388.039999999</v>
      </c>
      <c r="H24" s="174">
        <f>-J62</f>
        <v>404473.57792000001</v>
      </c>
      <c r="I24" s="174">
        <f>SUM(G24:H24)</f>
        <v>18994861.61792</v>
      </c>
      <c r="M24" s="1" t="s">
        <v>242</v>
      </c>
      <c r="O24" s="368">
        <v>372497.06</v>
      </c>
      <c r="P24" s="345">
        <f t="shared" ref="P24:P29" si="4">E3</f>
        <v>180836658.27200001</v>
      </c>
      <c r="Q24" s="345">
        <f t="shared" ref="Q24:Q29" si="5">G3</f>
        <v>114430432</v>
      </c>
      <c r="R24" s="346">
        <v>-1.16E-3</v>
      </c>
      <c r="S24" s="347">
        <f>Q24*R24</f>
        <v>-132739.30111999999</v>
      </c>
      <c r="T24" s="345">
        <f t="shared" ref="T24:T29" si="6">F3</f>
        <v>-82163972</v>
      </c>
      <c r="U24" s="346">
        <v>4.45E-3</v>
      </c>
      <c r="V24" s="348">
        <f>T24*U24</f>
        <v>-365629.67540000001</v>
      </c>
      <c r="X24" s="349">
        <f>O24+S24+V24</f>
        <v>-125871.91652</v>
      </c>
      <c r="Z24" s="350">
        <f>P24+Q24+T24</f>
        <v>213103118.27200001</v>
      </c>
      <c r="AA24" s="194">
        <f>R24</f>
        <v>-1.16E-3</v>
      </c>
      <c r="AB24" s="283">
        <f>Z24*AA24</f>
        <v>-247199.61719552003</v>
      </c>
      <c r="AC24" s="349">
        <f>X24-AB24</f>
        <v>121327.70067552003</v>
      </c>
      <c r="AD24" s="350">
        <f>AC24/U24</f>
        <v>27264651.837195512</v>
      </c>
      <c r="AE24" s="351">
        <f>AC24/X24</f>
        <v>-0.96389809601605669</v>
      </c>
    </row>
    <row r="25" spans="1:31">
      <c r="A25" s="180" t="s">
        <v>178</v>
      </c>
      <c r="B25" s="152"/>
      <c r="C25" s="181">
        <v>3438</v>
      </c>
      <c r="D25" s="181">
        <v>34120.53</v>
      </c>
      <c r="E25" s="183">
        <v>-10512</v>
      </c>
      <c r="F25" s="183">
        <v>13419</v>
      </c>
      <c r="G25" s="174">
        <f t="shared" ref="G25:G33" si="7">SUM(D25:F25)</f>
        <v>37027.53</v>
      </c>
      <c r="H25" s="174">
        <f t="shared" ref="H25:H30" si="8">-J63</f>
        <v>3244.2551200000003</v>
      </c>
      <c r="I25" s="174">
        <f t="shared" ref="I25:I34" si="9">SUM(G25:H25)</f>
        <v>40271.78512</v>
      </c>
      <c r="M25" s="1" t="s">
        <v>243</v>
      </c>
      <c r="O25" s="368">
        <v>800.02</v>
      </c>
      <c r="P25" s="345">
        <f t="shared" si="4"/>
        <v>378573.196</v>
      </c>
      <c r="Q25" s="345">
        <f t="shared" si="5"/>
        <v>239561</v>
      </c>
      <c r="R25" s="346">
        <v>-1.16E-3</v>
      </c>
      <c r="S25" s="347">
        <f>Q25*R25</f>
        <v>-277.89076</v>
      </c>
      <c r="T25" s="345">
        <f t="shared" si="6"/>
        <v>-160938</v>
      </c>
      <c r="U25" s="346">
        <v>4.45E-3</v>
      </c>
      <c r="V25" s="348">
        <f t="shared" ref="V25:V32" si="10">T25*U25</f>
        <v>-716.17409999999995</v>
      </c>
      <c r="X25" s="349">
        <f t="shared" ref="X25:X32" si="11">O25+S25+V25</f>
        <v>-194.04485999999997</v>
      </c>
      <c r="Z25" s="350">
        <f t="shared" ref="Z25:Z32" si="12">P25+Q25+T25</f>
        <v>457196.196</v>
      </c>
      <c r="AA25" s="194">
        <f t="shared" ref="AA25:AA32" si="13">R25</f>
        <v>-1.16E-3</v>
      </c>
      <c r="AB25" s="283">
        <f t="shared" ref="AB25:AB32" si="14">Z25*AA25</f>
        <v>-530.34758736000003</v>
      </c>
      <c r="AC25" s="349">
        <f t="shared" ref="AC25:AC32" si="15">X25-AB25</f>
        <v>336.30272736000006</v>
      </c>
      <c r="AD25" s="350">
        <f t="shared" ref="AD25:AD32" si="16">AC25/U25</f>
        <v>75573.646597752828</v>
      </c>
      <c r="AE25" s="351">
        <f t="shared" ref="AE25:AE33" si="17">AC25/X25</f>
        <v>-1.7331184518878784</v>
      </c>
    </row>
    <row r="26" spans="1:31">
      <c r="A26" s="180" t="s">
        <v>132</v>
      </c>
      <c r="B26" s="152"/>
      <c r="C26" s="181">
        <v>461584.7</v>
      </c>
      <c r="D26" s="181">
        <v>5187889.26</v>
      </c>
      <c r="E26" s="183">
        <v>-2767968</v>
      </c>
      <c r="F26" s="183">
        <v>3239079</v>
      </c>
      <c r="G26" s="174">
        <f t="shared" si="7"/>
        <v>5659000.2599999998</v>
      </c>
      <c r="H26" s="174">
        <f t="shared" si="8"/>
        <v>-28872.481960000001</v>
      </c>
      <c r="I26" s="174">
        <f t="shared" si="9"/>
        <v>5630127.7780400002</v>
      </c>
      <c r="M26" s="1" t="s">
        <v>244</v>
      </c>
      <c r="O26" s="368">
        <v>19769.59</v>
      </c>
      <c r="P26" s="345">
        <f t="shared" si="4"/>
        <v>43172190.273999996</v>
      </c>
      <c r="Q26" s="345">
        <f t="shared" si="5"/>
        <v>27208344</v>
      </c>
      <c r="R26" s="352">
        <v>5.4000000000000001E-4</v>
      </c>
      <c r="S26" s="347">
        <f>Q26*R26</f>
        <v>14692.50576</v>
      </c>
      <c r="T26" s="345">
        <f t="shared" si="6"/>
        <v>-22887083</v>
      </c>
      <c r="U26" s="352">
        <v>4.0000000000000002E-4</v>
      </c>
      <c r="V26" s="348">
        <f t="shared" si="10"/>
        <v>-9154.8332000000009</v>
      </c>
      <c r="X26" s="349">
        <f t="shared" si="11"/>
        <v>25307.262559999996</v>
      </c>
      <c r="Z26" s="350">
        <f t="shared" si="12"/>
        <v>47493451.273999989</v>
      </c>
      <c r="AA26" s="353">
        <f t="shared" si="13"/>
        <v>5.4000000000000001E-4</v>
      </c>
      <c r="AB26" s="283">
        <f t="shared" si="14"/>
        <v>25646.463687959993</v>
      </c>
      <c r="AC26" s="349">
        <f t="shared" si="15"/>
        <v>-339.20112795999739</v>
      </c>
      <c r="AD26" s="350">
        <f t="shared" si="16"/>
        <v>-848002.81989999348</v>
      </c>
      <c r="AE26" s="351">
        <f t="shared" si="17"/>
        <v>-1.3403311683979994E-2</v>
      </c>
    </row>
    <row r="27" spans="1:31">
      <c r="A27" s="180" t="s">
        <v>133</v>
      </c>
      <c r="B27" s="152"/>
      <c r="C27" s="181">
        <v>193548.17</v>
      </c>
      <c r="D27" s="181">
        <v>699947.66</v>
      </c>
      <c r="E27" s="183">
        <v>-353185</v>
      </c>
      <c r="F27" s="183">
        <v>436496</v>
      </c>
      <c r="G27" s="174">
        <f t="shared" si="7"/>
        <v>783258.66</v>
      </c>
      <c r="H27" s="174">
        <f t="shared" si="8"/>
        <v>-4120.9267200000004</v>
      </c>
      <c r="I27" s="174">
        <f t="shared" si="9"/>
        <v>779137.73328000004</v>
      </c>
      <c r="M27" s="1" t="s">
        <v>245</v>
      </c>
      <c r="O27" s="368">
        <v>2109.23</v>
      </c>
      <c r="P27" s="345">
        <f t="shared" si="4"/>
        <v>4555444.733</v>
      </c>
      <c r="Q27" s="345">
        <f t="shared" si="5"/>
        <v>2882688</v>
      </c>
      <c r="R27" s="352">
        <v>5.4000000000000001E-4</v>
      </c>
      <c r="S27" s="347">
        <f t="shared" ref="S27:S32" si="18">Q27*R27</f>
        <v>1556.6515200000001</v>
      </c>
      <c r="T27" s="345">
        <f t="shared" si="6"/>
        <v>-2137728</v>
      </c>
      <c r="U27" s="352">
        <v>4.0000000000000002E-4</v>
      </c>
      <c r="V27" s="348">
        <f t="shared" si="10"/>
        <v>-855.09120000000007</v>
      </c>
      <c r="X27" s="349">
        <f t="shared" si="11"/>
        <v>2810.7903200000001</v>
      </c>
      <c r="Z27" s="350">
        <f t="shared" si="12"/>
        <v>5300404.733</v>
      </c>
      <c r="AA27" s="353">
        <f t="shared" si="13"/>
        <v>5.4000000000000001E-4</v>
      </c>
      <c r="AB27" s="283">
        <f t="shared" si="14"/>
        <v>2862.2185558199999</v>
      </c>
      <c r="AC27" s="349">
        <f t="shared" si="15"/>
        <v>-51.428235819999827</v>
      </c>
      <c r="AD27" s="350">
        <f t="shared" si="16"/>
        <v>-128570.58954999957</v>
      </c>
      <c r="AE27" s="351">
        <f t="shared" si="17"/>
        <v>-1.8296717280568912E-2</v>
      </c>
    </row>
    <row r="28" spans="1:31">
      <c r="A28" s="180" t="s">
        <v>134</v>
      </c>
      <c r="B28" s="152"/>
      <c r="C28" s="181">
        <v>909890.01</v>
      </c>
      <c r="D28" s="181">
        <v>9840542.4399999995</v>
      </c>
      <c r="E28" s="183">
        <v>-4942171</v>
      </c>
      <c r="F28" s="183">
        <v>5524843</v>
      </c>
      <c r="G28" s="174">
        <f t="shared" si="7"/>
        <v>10423214.439999999</v>
      </c>
      <c r="H28" s="174">
        <f t="shared" si="8"/>
        <v>-44559.609429999997</v>
      </c>
      <c r="I28" s="174">
        <f t="shared" si="9"/>
        <v>10378654.830569999</v>
      </c>
      <c r="M28" s="1" t="s">
        <v>246</v>
      </c>
      <c r="O28" s="368">
        <v>49213.03</v>
      </c>
      <c r="P28" s="345">
        <f t="shared" si="4"/>
        <v>106647354.88699999</v>
      </c>
      <c r="Q28" s="345">
        <f t="shared" si="5"/>
        <v>67185053</v>
      </c>
      <c r="R28" s="352">
        <v>5.4000000000000001E-4</v>
      </c>
      <c r="S28" s="347">
        <f t="shared" si="18"/>
        <v>36279.928619999999</v>
      </c>
      <c r="T28" s="345">
        <f t="shared" si="6"/>
        <v>-59213692</v>
      </c>
      <c r="U28" s="352">
        <v>4.0000000000000002E-4</v>
      </c>
      <c r="V28" s="348">
        <f t="shared" si="10"/>
        <v>-23685.4768</v>
      </c>
      <c r="X28" s="349">
        <f t="shared" si="11"/>
        <v>61807.481819999986</v>
      </c>
      <c r="Z28" s="350">
        <f t="shared" si="12"/>
        <v>114618715.88699999</v>
      </c>
      <c r="AA28" s="353">
        <f t="shared" si="13"/>
        <v>5.4000000000000001E-4</v>
      </c>
      <c r="AB28" s="283">
        <f t="shared" si="14"/>
        <v>61894.106578979998</v>
      </c>
      <c r="AC28" s="349">
        <f t="shared" si="15"/>
        <v>-86.624758980011393</v>
      </c>
      <c r="AD28" s="350">
        <f t="shared" si="16"/>
        <v>-216561.89745002848</v>
      </c>
      <c r="AE28" s="351">
        <f t="shared" si="17"/>
        <v>-1.4015254533793497E-3</v>
      </c>
    </row>
    <row r="29" spans="1:31">
      <c r="A29" s="180" t="s">
        <v>135</v>
      </c>
      <c r="B29" s="152"/>
      <c r="C29" s="181">
        <v>23250</v>
      </c>
      <c r="D29" s="181">
        <v>219349.32</v>
      </c>
      <c r="E29" s="183">
        <v>-107570</v>
      </c>
      <c r="F29" s="183">
        <v>126415</v>
      </c>
      <c r="G29" s="174">
        <f t="shared" si="7"/>
        <v>238194.32</v>
      </c>
      <c r="H29" s="174">
        <f t="shared" si="8"/>
        <v>-1162.7897999999998</v>
      </c>
      <c r="I29" s="174">
        <f t="shared" si="9"/>
        <v>237031.53020000001</v>
      </c>
      <c r="M29" s="1" t="s">
        <v>247</v>
      </c>
      <c r="O29" s="368">
        <v>1082.69</v>
      </c>
      <c r="P29" s="345">
        <f t="shared" si="4"/>
        <v>2403932.56</v>
      </c>
      <c r="Q29" s="345">
        <f t="shared" si="5"/>
        <v>1521210</v>
      </c>
      <c r="R29" s="352">
        <v>5.4000000000000001E-4</v>
      </c>
      <c r="S29" s="347">
        <f t="shared" si="18"/>
        <v>821.45339999999999</v>
      </c>
      <c r="T29" s="345">
        <f t="shared" si="6"/>
        <v>-1257371</v>
      </c>
      <c r="U29" s="352">
        <v>4.0000000000000002E-4</v>
      </c>
      <c r="V29" s="348">
        <f t="shared" si="10"/>
        <v>-502.94840000000005</v>
      </c>
      <c r="X29" s="349">
        <f t="shared" si="11"/>
        <v>1401.1949999999999</v>
      </c>
      <c r="Z29" s="350">
        <f t="shared" si="12"/>
        <v>2667771.56</v>
      </c>
      <c r="AA29" s="353">
        <f t="shared" si="13"/>
        <v>5.4000000000000001E-4</v>
      </c>
      <c r="AB29" s="283">
        <f t="shared" si="14"/>
        <v>1440.5966424000001</v>
      </c>
      <c r="AC29" s="349">
        <f t="shared" si="15"/>
        <v>-39.401642400000128</v>
      </c>
      <c r="AD29" s="350">
        <f t="shared" si="16"/>
        <v>-98504.10600000032</v>
      </c>
      <c r="AE29" s="351">
        <f t="shared" si="17"/>
        <v>-2.8120027833385169E-2</v>
      </c>
    </row>
    <row r="30" spans="1:31">
      <c r="A30" s="180" t="s">
        <v>136</v>
      </c>
      <c r="B30" s="152"/>
      <c r="C30" s="181">
        <v>552000</v>
      </c>
      <c r="D30" s="181">
        <f>5733822.69-82194.14</f>
        <v>5651628.5500000007</v>
      </c>
      <c r="E30" s="183">
        <v>-6000627</v>
      </c>
      <c r="F30" s="183">
        <v>5557424</v>
      </c>
      <c r="G30" s="174">
        <f t="shared" si="7"/>
        <v>5208425.5500000007</v>
      </c>
      <c r="H30" s="174">
        <f t="shared" si="8"/>
        <v>18375.828099999999</v>
      </c>
      <c r="I30" s="174">
        <f t="shared" si="9"/>
        <v>5226801.3781000003</v>
      </c>
      <c r="J30" s="283"/>
      <c r="M30" s="1" t="s">
        <v>248</v>
      </c>
      <c r="O30" s="368">
        <v>221.04</v>
      </c>
      <c r="P30" s="345">
        <f>E11</f>
        <v>485646.72399999999</v>
      </c>
      <c r="Q30" s="345">
        <f>G11</f>
        <v>0</v>
      </c>
      <c r="R30" s="352">
        <v>5.4000000000000001E-4</v>
      </c>
      <c r="S30" s="347">
        <f t="shared" si="18"/>
        <v>0</v>
      </c>
      <c r="T30" s="345">
        <f>F11</f>
        <v>0</v>
      </c>
      <c r="U30" s="352">
        <v>4.0000000000000002E-4</v>
      </c>
      <c r="V30" s="348">
        <f t="shared" si="10"/>
        <v>0</v>
      </c>
      <c r="X30" s="349">
        <f t="shared" si="11"/>
        <v>221.04</v>
      </c>
      <c r="Z30" s="350">
        <f t="shared" si="12"/>
        <v>485646.72399999999</v>
      </c>
      <c r="AA30" s="353">
        <f t="shared" si="13"/>
        <v>5.4000000000000001E-4</v>
      </c>
      <c r="AB30" s="283">
        <f t="shared" si="14"/>
        <v>262.24923095999998</v>
      </c>
      <c r="AC30" s="349">
        <f t="shared" si="15"/>
        <v>-41.209230959999985</v>
      </c>
      <c r="AD30" s="350">
        <f t="shared" si="16"/>
        <v>-103023.07739999995</v>
      </c>
      <c r="AE30" s="351">
        <f t="shared" si="17"/>
        <v>-0.18643336482084685</v>
      </c>
    </row>
    <row r="31" spans="1:31">
      <c r="A31" s="180" t="s">
        <v>180</v>
      </c>
      <c r="B31" s="152"/>
      <c r="C31" s="181">
        <v>1020</v>
      </c>
      <c r="D31" s="181">
        <v>34704.410000000003</v>
      </c>
      <c r="E31" s="183">
        <v>0</v>
      </c>
      <c r="F31" s="183">
        <v>0</v>
      </c>
      <c r="G31" s="174">
        <f t="shared" si="7"/>
        <v>34704.410000000003</v>
      </c>
      <c r="H31" s="174">
        <f>-J70</f>
        <v>0</v>
      </c>
      <c r="I31" s="174">
        <f t="shared" si="9"/>
        <v>34704.410000000003</v>
      </c>
      <c r="M31" s="1" t="s">
        <v>249</v>
      </c>
      <c r="O31" s="368">
        <v>2390.23</v>
      </c>
      <c r="P31" s="345">
        <f>E12</f>
        <v>5515307.4369999999</v>
      </c>
      <c r="Q31" s="345">
        <f>G12</f>
        <v>3070656</v>
      </c>
      <c r="R31" s="352">
        <v>5.4000000000000001E-4</v>
      </c>
      <c r="S31" s="347">
        <f t="shared" si="18"/>
        <v>1658.1542400000001</v>
      </c>
      <c r="T31" s="345">
        <f>F12</f>
        <v>-4288578</v>
      </c>
      <c r="U31" s="352">
        <v>4.0000000000000002E-4</v>
      </c>
      <c r="V31" s="348">
        <f t="shared" si="10"/>
        <v>-1715.4312</v>
      </c>
      <c r="X31" s="349">
        <f>O31+S31+V31</f>
        <v>2332.9530400000003</v>
      </c>
      <c r="Z31" s="350">
        <f t="shared" si="12"/>
        <v>4297385.436999999</v>
      </c>
      <c r="AA31" s="353">
        <f t="shared" si="13"/>
        <v>5.4000000000000001E-4</v>
      </c>
      <c r="AB31" s="283">
        <f t="shared" si="14"/>
        <v>2320.5881359799996</v>
      </c>
      <c r="AC31" s="349">
        <f t="shared" si="15"/>
        <v>12.364904020000722</v>
      </c>
      <c r="AD31" s="350">
        <f t="shared" si="16"/>
        <v>30912.260050001805</v>
      </c>
      <c r="AE31" s="351">
        <f t="shared" si="17"/>
        <v>5.3001084068116178E-3</v>
      </c>
    </row>
    <row r="32" spans="1:31">
      <c r="A32" s="180" t="s">
        <v>137</v>
      </c>
      <c r="B32" s="152"/>
      <c r="C32" s="181">
        <v>28886.91</v>
      </c>
      <c r="D32" s="181">
        <v>487822.51</v>
      </c>
      <c r="E32" s="183">
        <v>-263201</v>
      </c>
      <c r="F32" s="183">
        <v>189294</v>
      </c>
      <c r="G32" s="174">
        <f t="shared" si="7"/>
        <v>413915.51</v>
      </c>
      <c r="H32" s="174">
        <f>-J71</f>
        <v>4575.7675799999988</v>
      </c>
      <c r="I32" s="174">
        <f t="shared" si="9"/>
        <v>418491.27757999999</v>
      </c>
      <c r="M32" s="1" t="s">
        <v>250</v>
      </c>
      <c r="O32" s="368">
        <v>129.55000000000001</v>
      </c>
      <c r="P32" s="345">
        <f>E13</f>
        <v>281631.11300000001</v>
      </c>
      <c r="Q32" s="345">
        <f>G13</f>
        <v>139136</v>
      </c>
      <c r="R32" s="352">
        <v>5.4000000000000001E-4</v>
      </c>
      <c r="S32" s="347">
        <f t="shared" si="18"/>
        <v>75.133440000000007</v>
      </c>
      <c r="T32" s="345">
        <f>F13</f>
        <v>-231486</v>
      </c>
      <c r="U32" s="352">
        <v>4.0000000000000002E-4</v>
      </c>
      <c r="V32" s="348">
        <f t="shared" si="10"/>
        <v>-92.594400000000007</v>
      </c>
      <c r="X32" s="349">
        <f t="shared" si="11"/>
        <v>112.08904000000001</v>
      </c>
      <c r="Z32" s="350">
        <f t="shared" si="12"/>
        <v>189281.11300000001</v>
      </c>
      <c r="AA32" s="353">
        <f t="shared" si="13"/>
        <v>5.4000000000000001E-4</v>
      </c>
      <c r="AB32" s="283">
        <f t="shared" si="14"/>
        <v>102.21180102000001</v>
      </c>
      <c r="AC32" s="349">
        <f t="shared" si="15"/>
        <v>9.8772389800000013</v>
      </c>
      <c r="AD32" s="350">
        <f t="shared" si="16"/>
        <v>24693.097450000001</v>
      </c>
      <c r="AE32" s="351">
        <f t="shared" si="17"/>
        <v>8.8119578684945465E-2</v>
      </c>
    </row>
    <row r="33" spans="1:31">
      <c r="A33" s="180" t="s">
        <v>138</v>
      </c>
      <c r="B33" s="152"/>
      <c r="C33" s="181">
        <v>25296.68</v>
      </c>
      <c r="D33" s="181">
        <v>50213.97</v>
      </c>
      <c r="E33" s="183">
        <v>-32250</v>
      </c>
      <c r="F33" s="183">
        <v>24735</v>
      </c>
      <c r="G33" s="174">
        <f t="shared" si="7"/>
        <v>42698.97</v>
      </c>
      <c r="H33" s="174">
        <f>-J72</f>
        <v>285.27595999999994</v>
      </c>
      <c r="I33" s="174">
        <f t="shared" si="9"/>
        <v>42984.24596</v>
      </c>
      <c r="O33" s="193">
        <f>SUM(O24:O32)</f>
        <v>448212.44</v>
      </c>
      <c r="P33" s="354">
        <f>SUM(P24:P32)</f>
        <v>344276739.19599992</v>
      </c>
      <c r="Q33" s="354">
        <f>SUM(Q24:Q32)</f>
        <v>216677080</v>
      </c>
      <c r="S33" s="193">
        <f>SUM(S24:S32)</f>
        <v>-77933.364899999986</v>
      </c>
      <c r="T33" s="354">
        <f>SUM(T24:T32)</f>
        <v>-172340848</v>
      </c>
      <c r="V33" s="193">
        <f>SUM(V24:V32)</f>
        <v>-402352.22470000002</v>
      </c>
      <c r="X33" s="193">
        <f>SUM(X24:X32)</f>
        <v>-32073.149600000004</v>
      </c>
      <c r="Z33" s="354">
        <f>SUM(Z24:Z32)</f>
        <v>388612971.19599992</v>
      </c>
      <c r="AB33" s="354">
        <f>SUM(AB24:AB32)</f>
        <v>-153201.53014976004</v>
      </c>
      <c r="AC33" s="193">
        <f>SUM(AC24:AC32)</f>
        <v>121128.38054976001</v>
      </c>
      <c r="AD33" s="354">
        <f>SUM(AD24:AD32)</f>
        <v>26001168.350993246</v>
      </c>
      <c r="AE33" s="351">
        <f t="shared" si="17"/>
        <v>-3.7766288019858205</v>
      </c>
    </row>
    <row r="34" spans="1:31">
      <c r="A34" s="180" t="s">
        <v>192</v>
      </c>
      <c r="B34" s="152"/>
      <c r="C34" s="174"/>
      <c r="D34" s="181">
        <v>557931.68000000005</v>
      </c>
      <c r="E34" s="181"/>
      <c r="F34" s="181"/>
      <c r="G34" s="174">
        <f>SUM(D34:F34)</f>
        <v>557931.68000000005</v>
      </c>
      <c r="H34" s="174"/>
      <c r="I34" s="174">
        <f t="shared" si="9"/>
        <v>557931.68000000005</v>
      </c>
      <c r="U34" s="355"/>
    </row>
    <row r="35" spans="1:31">
      <c r="A35" s="180" t="s">
        <v>193</v>
      </c>
      <c r="B35" s="152"/>
      <c r="C35" s="194"/>
      <c r="D35" s="181">
        <v>1912260.12</v>
      </c>
      <c r="E35" s="181"/>
      <c r="F35" s="181"/>
      <c r="G35" s="174"/>
      <c r="H35" s="174"/>
      <c r="I35" s="174"/>
      <c r="U35" s="355" t="s">
        <v>388</v>
      </c>
      <c r="V35" s="1" t="s">
        <v>252</v>
      </c>
      <c r="X35" s="194">
        <v>0.95444899999999999</v>
      </c>
      <c r="AA35" s="1" t="s">
        <v>253</v>
      </c>
      <c r="AB35" s="1" t="s">
        <v>254</v>
      </c>
      <c r="AD35" s="1" t="s">
        <v>255</v>
      </c>
    </row>
    <row r="36" spans="1:31">
      <c r="A36" s="180" t="s">
        <v>194</v>
      </c>
      <c r="B36" s="152"/>
      <c r="C36" s="194"/>
      <c r="D36" s="181">
        <v>1512847.06</v>
      </c>
      <c r="E36" s="181"/>
      <c r="F36" s="181"/>
      <c r="G36" s="174"/>
      <c r="H36" s="174"/>
      <c r="I36" s="174"/>
      <c r="T36" s="1" t="s">
        <v>142</v>
      </c>
      <c r="U36" s="1" t="s">
        <v>256</v>
      </c>
      <c r="X36" s="356">
        <f>(X24+X25)*X35</f>
        <v>-120323.53077317961</v>
      </c>
      <c r="Z36" s="1" t="s">
        <v>19</v>
      </c>
      <c r="AA36" s="189">
        <f>P24+P25+Q24+Q25+T24+T25</f>
        <v>213560314.46800005</v>
      </c>
      <c r="AB36" s="194">
        <v>-1.1100000000000001E-3</v>
      </c>
      <c r="AC36" s="349">
        <f>AA36*AB36</f>
        <v>-237051.94905948007</v>
      </c>
      <c r="AD36" s="349">
        <f>X36-AC36</f>
        <v>116728.41828630047</v>
      </c>
      <c r="AE36" s="351">
        <f>AD36/X36</f>
        <v>-0.97012128497412331</v>
      </c>
    </row>
    <row r="37" spans="1:31">
      <c r="A37" s="152"/>
      <c r="B37" s="152"/>
      <c r="C37" s="166">
        <f t="shared" ref="C37:I37" si="19">SUM(C24:C36)</f>
        <v>4187976.97</v>
      </c>
      <c r="D37" s="166">
        <f t="shared" si="19"/>
        <v>42610580.54999999</v>
      </c>
      <c r="E37" s="166">
        <f t="shared" si="19"/>
        <v>-22510273</v>
      </c>
      <c r="F37" s="166">
        <f t="shared" si="19"/>
        <v>25313559</v>
      </c>
      <c r="G37" s="166">
        <f t="shared" si="19"/>
        <v>41988759.36999999</v>
      </c>
      <c r="H37" s="166">
        <f t="shared" si="19"/>
        <v>352238.89676999993</v>
      </c>
      <c r="I37" s="166">
        <f t="shared" si="19"/>
        <v>42340998.26676999</v>
      </c>
      <c r="T37" s="1" t="s">
        <v>142</v>
      </c>
      <c r="U37" s="1" t="s">
        <v>257</v>
      </c>
      <c r="X37" s="356">
        <f>SUM(X26:X32)*X35</f>
        <v>89711.34521060923</v>
      </c>
      <c r="Z37" s="1" t="s">
        <v>184</v>
      </c>
      <c r="AA37" s="189">
        <f>SUM(P26:Q32,T26:T32)</f>
        <v>175052656.72800002</v>
      </c>
      <c r="AB37" s="194">
        <v>5.1999999999999995E-4</v>
      </c>
      <c r="AC37" s="349">
        <f>AA37*AB37</f>
        <v>91027.381498560004</v>
      </c>
      <c r="AD37" s="349">
        <f>X37-AC37</f>
        <v>-1316.0362879507738</v>
      </c>
      <c r="AE37" s="351">
        <f>AD37/X37</f>
        <v>-1.4669675110335319E-2</v>
      </c>
    </row>
    <row r="38" spans="1:31" ht="14.4" thickBot="1">
      <c r="A38" s="152"/>
      <c r="B38" s="152"/>
      <c r="D38" s="167"/>
      <c r="E38" s="152"/>
      <c r="F38" s="152"/>
      <c r="Z38" s="1" t="s">
        <v>236</v>
      </c>
    </row>
    <row r="39" spans="1:31">
      <c r="A39" s="152" t="s">
        <v>19</v>
      </c>
      <c r="B39" s="152"/>
      <c r="C39" s="169">
        <f t="shared" ref="C39:I39" si="20">C24+C25</f>
        <v>1992500.5</v>
      </c>
      <c r="D39" s="168">
        <f t="shared" si="20"/>
        <v>16455443.569999998</v>
      </c>
      <c r="E39" s="168">
        <f t="shared" si="20"/>
        <v>-8043301</v>
      </c>
      <c r="F39" s="168">
        <f t="shared" si="20"/>
        <v>10215273</v>
      </c>
      <c r="G39" s="168">
        <f t="shared" si="20"/>
        <v>18627415.57</v>
      </c>
      <c r="H39" s="168">
        <f t="shared" si="20"/>
        <v>407717.83304</v>
      </c>
      <c r="I39" s="169">
        <f t="shared" si="20"/>
        <v>19035133.403039999</v>
      </c>
    </row>
    <row r="40" spans="1:31" ht="6" customHeight="1">
      <c r="A40" s="152"/>
      <c r="B40" s="152"/>
      <c r="C40" s="173"/>
      <c r="D40" s="168"/>
      <c r="E40" s="152"/>
      <c r="F40" s="152"/>
      <c r="I40" s="190"/>
    </row>
    <row r="41" spans="1:31" ht="14.4" thickBot="1">
      <c r="A41" s="152" t="s">
        <v>184</v>
      </c>
      <c r="B41" s="152"/>
      <c r="C41" s="175">
        <f>SUM(C26:C29,C31:C33)</f>
        <v>1643476.4699999997</v>
      </c>
      <c r="D41" s="176">
        <f t="shared" ref="D41:I41" si="21">SUM(D26:D29,D31:D33)</f>
        <v>16520469.57</v>
      </c>
      <c r="E41" s="176">
        <f t="shared" si="21"/>
        <v>-8466345</v>
      </c>
      <c r="F41" s="176">
        <f t="shared" si="21"/>
        <v>9540862</v>
      </c>
      <c r="G41" s="176">
        <f t="shared" si="21"/>
        <v>17594986.57</v>
      </c>
      <c r="H41" s="176">
        <f t="shared" si="21"/>
        <v>-73854.764370000004</v>
      </c>
      <c r="I41" s="175">
        <f t="shared" si="21"/>
        <v>17521131.805630002</v>
      </c>
    </row>
    <row r="42" spans="1:3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31">
      <c r="C43" s="192">
        <v>43040</v>
      </c>
      <c r="D43" s="192">
        <v>43252</v>
      </c>
      <c r="E43" s="374">
        <v>43040</v>
      </c>
      <c r="F43" s="374">
        <v>43405</v>
      </c>
      <c r="G43" s="192">
        <v>42278</v>
      </c>
      <c r="H43" s="192">
        <v>43344</v>
      </c>
      <c r="I43" s="192">
        <v>43374</v>
      </c>
      <c r="J43" s="192">
        <v>43282</v>
      </c>
      <c r="K43" s="375"/>
      <c r="L43" s="196"/>
      <c r="M43" s="1" t="s">
        <v>377</v>
      </c>
    </row>
    <row r="44" spans="1:31" ht="40.950000000000003" customHeight="1">
      <c r="A44" s="179" t="s">
        <v>195</v>
      </c>
      <c r="B44" s="154"/>
      <c r="C44" s="165" t="s">
        <v>196</v>
      </c>
      <c r="D44" s="165" t="s">
        <v>312</v>
      </c>
      <c r="E44" s="373" t="s">
        <v>213</v>
      </c>
      <c r="F44" s="373" t="s">
        <v>213</v>
      </c>
      <c r="G44" s="165" t="s">
        <v>197</v>
      </c>
      <c r="H44" s="165" t="s">
        <v>198</v>
      </c>
      <c r="I44" s="165" t="s">
        <v>199</v>
      </c>
      <c r="J44" s="165" t="s">
        <v>201</v>
      </c>
      <c r="K44" s="372"/>
      <c r="M44" s="211" t="s">
        <v>385</v>
      </c>
      <c r="N44" s="357" t="s">
        <v>386</v>
      </c>
      <c r="O44" s="344" t="s">
        <v>382</v>
      </c>
      <c r="P44" s="344" t="s">
        <v>383</v>
      </c>
      <c r="Q44" s="344" t="s">
        <v>384</v>
      </c>
    </row>
    <row r="45" spans="1:31">
      <c r="A45" s="180" t="s">
        <v>131</v>
      </c>
      <c r="B45" s="152"/>
      <c r="C45" s="171">
        <v>-8.0999999999999996E-4</v>
      </c>
      <c r="D45" s="171">
        <v>-1.42E-3</v>
      </c>
      <c r="E45" s="171">
        <v>4.45E-3</v>
      </c>
      <c r="F45" s="171">
        <v>-1.16E-3</v>
      </c>
      <c r="G45" s="171"/>
      <c r="H45" s="171">
        <v>4.3299999999999996E-3</v>
      </c>
      <c r="I45" s="171">
        <v>1.15E-3</v>
      </c>
      <c r="J45" s="171">
        <v>-3.4000000000000002E-4</v>
      </c>
      <c r="K45" s="171"/>
      <c r="M45" s="171">
        <f>SUM(C45:E45,G45:J45)</f>
        <v>7.3599999999999994E-3</v>
      </c>
      <c r="N45" s="376">
        <f>SUM(C45:D45,F45:J45)</f>
        <v>1.7499999999999994E-3</v>
      </c>
      <c r="O45" s="348">
        <f>-F3*M45</f>
        <v>604726.83392</v>
      </c>
      <c r="P45" s="348">
        <f>G3*N45</f>
        <v>200253.25599999994</v>
      </c>
      <c r="Q45" s="349">
        <f>P45-O45</f>
        <v>-404473.57792000007</v>
      </c>
    </row>
    <row r="46" spans="1:31">
      <c r="A46" s="180" t="s">
        <v>178</v>
      </c>
      <c r="B46" s="152"/>
      <c r="C46" s="171">
        <v>-8.0999999999999996E-4</v>
      </c>
      <c r="D46" s="171">
        <v>-1.42E-3</v>
      </c>
      <c r="E46" s="171">
        <v>4.45E-3</v>
      </c>
      <c r="F46" s="171">
        <v>-1.16E-3</v>
      </c>
      <c r="G46" s="171">
        <v>-3.1530000000000002E-2</v>
      </c>
      <c r="H46" s="171">
        <v>4.3299999999999996E-3</v>
      </c>
      <c r="I46" s="171">
        <v>1.15E-3</v>
      </c>
      <c r="J46" s="171">
        <v>-3.4000000000000002E-4</v>
      </c>
      <c r="K46" s="171"/>
      <c r="M46" s="171">
        <f t="shared" ref="M46:M57" si="22">SUM(C46:E46,G46:J46)</f>
        <v>-2.4170000000000004E-2</v>
      </c>
      <c r="N46" s="376">
        <f t="shared" ref="N46:N57" si="23">SUM(C46:D46,F46:J46)</f>
        <v>-2.9780000000000001E-2</v>
      </c>
      <c r="O46" s="348">
        <f t="shared" ref="O46:O57" si="24">-F4*M46</f>
        <v>-3889.8714600000008</v>
      </c>
      <c r="P46" s="348">
        <f t="shared" ref="P46:P57" si="25">G4*N46</f>
        <v>-7134.1265800000001</v>
      </c>
      <c r="Q46" s="349">
        <f t="shared" ref="Q46:Q57" si="26">P46-O46</f>
        <v>-3244.2551199999994</v>
      </c>
    </row>
    <row r="47" spans="1:31">
      <c r="A47" s="180" t="s">
        <v>132</v>
      </c>
      <c r="B47" s="152"/>
      <c r="C47" s="171">
        <v>0</v>
      </c>
      <c r="D47" s="171">
        <v>-1.8799999999999999E-3</v>
      </c>
      <c r="E47" s="171">
        <v>4.0000000000000002E-4</v>
      </c>
      <c r="F47" s="171">
        <v>5.4000000000000001E-4</v>
      </c>
      <c r="G47" s="171"/>
      <c r="H47" s="171">
        <v>5.9699999999999996E-3</v>
      </c>
      <c r="I47" s="171">
        <v>1.67E-3</v>
      </c>
      <c r="J47" s="171">
        <v>-3.6000000000000002E-4</v>
      </c>
      <c r="K47" s="171"/>
      <c r="M47" s="171">
        <f t="shared" si="22"/>
        <v>5.7999999999999987E-3</v>
      </c>
      <c r="N47" s="376">
        <f t="shared" si="23"/>
        <v>5.94E-3</v>
      </c>
      <c r="O47" s="348">
        <f t="shared" si="24"/>
        <v>132745.08139999997</v>
      </c>
      <c r="P47" s="348">
        <f t="shared" si="25"/>
        <v>161617.56336</v>
      </c>
      <c r="Q47" s="349">
        <f t="shared" si="26"/>
        <v>28872.481960000034</v>
      </c>
    </row>
    <row r="48" spans="1:31">
      <c r="A48" s="180" t="s">
        <v>133</v>
      </c>
      <c r="B48" s="152"/>
      <c r="C48" s="171">
        <v>-8.0999999999999996E-4</v>
      </c>
      <c r="D48" s="171">
        <v>-1.8799999999999999E-3</v>
      </c>
      <c r="E48" s="171">
        <v>4.0000000000000002E-4</v>
      </c>
      <c r="F48" s="171">
        <v>5.4000000000000001E-4</v>
      </c>
      <c r="G48" s="171"/>
      <c r="H48" s="171">
        <v>5.9699999999999996E-3</v>
      </c>
      <c r="I48" s="171">
        <v>1.67E-3</v>
      </c>
      <c r="J48" s="171">
        <v>-3.6000000000000002E-4</v>
      </c>
      <c r="K48" s="171"/>
      <c r="M48" s="171">
        <f t="shared" si="22"/>
        <v>4.9900000000000005E-3</v>
      </c>
      <c r="N48" s="376">
        <f t="shared" si="23"/>
        <v>5.13E-3</v>
      </c>
      <c r="O48" s="348">
        <f t="shared" si="24"/>
        <v>10667.262720000001</v>
      </c>
      <c r="P48" s="348">
        <f t="shared" si="25"/>
        <v>14788.18944</v>
      </c>
      <c r="Q48" s="349">
        <f t="shared" si="26"/>
        <v>4120.9267199999995</v>
      </c>
    </row>
    <row r="49" spans="1:17" ht="14.4" customHeight="1">
      <c r="A49" s="180" t="s">
        <v>134</v>
      </c>
      <c r="B49" s="152"/>
      <c r="C49" s="171">
        <v>0</v>
      </c>
      <c r="D49" s="171">
        <v>-1.4400000000000001E-3</v>
      </c>
      <c r="E49" s="171">
        <v>4.0000000000000002E-4</v>
      </c>
      <c r="F49" s="171">
        <v>5.4000000000000001E-4</v>
      </c>
      <c r="G49" s="171"/>
      <c r="H49" s="171">
        <v>4.5999999999999999E-3</v>
      </c>
      <c r="I49" s="171">
        <v>1.2099999999999999E-3</v>
      </c>
      <c r="J49" s="171">
        <v>-3.6000000000000002E-4</v>
      </c>
      <c r="K49" s="171"/>
      <c r="M49" s="171">
        <f t="shared" si="22"/>
        <v>4.4099999999999999E-3</v>
      </c>
      <c r="N49" s="376">
        <f t="shared" si="23"/>
        <v>4.5499999999999994E-3</v>
      </c>
      <c r="O49" s="348">
        <f t="shared" si="24"/>
        <v>261132.38172</v>
      </c>
      <c r="P49" s="348">
        <f t="shared" si="25"/>
        <v>305691.99114999996</v>
      </c>
      <c r="Q49" s="349">
        <f t="shared" si="26"/>
        <v>44559.609429999953</v>
      </c>
    </row>
    <row r="50" spans="1:17">
      <c r="A50" s="180" t="s">
        <v>135</v>
      </c>
      <c r="B50" s="152"/>
      <c r="C50" s="171">
        <v>-8.0999999999999996E-4</v>
      </c>
      <c r="D50" s="171">
        <v>-1.4400000000000001E-3</v>
      </c>
      <c r="E50" s="171">
        <v>4.0000000000000002E-4</v>
      </c>
      <c r="F50" s="171">
        <v>5.4000000000000001E-4</v>
      </c>
      <c r="G50" s="171"/>
      <c r="H50" s="171">
        <v>4.5999999999999999E-3</v>
      </c>
      <c r="I50" s="171">
        <v>1.2099999999999999E-3</v>
      </c>
      <c r="J50" s="171">
        <v>-3.6000000000000002E-4</v>
      </c>
      <c r="K50" s="171"/>
      <c r="M50" s="171">
        <f t="shared" si="22"/>
        <v>3.5999999999999999E-3</v>
      </c>
      <c r="N50" s="376">
        <f t="shared" si="23"/>
        <v>3.7399999999999994E-3</v>
      </c>
      <c r="O50" s="348">
        <f t="shared" si="24"/>
        <v>4526.5356000000002</v>
      </c>
      <c r="P50" s="348">
        <f t="shared" si="25"/>
        <v>5689.3253999999988</v>
      </c>
      <c r="Q50" s="349">
        <f t="shared" si="26"/>
        <v>1162.7897999999986</v>
      </c>
    </row>
    <row r="51" spans="1:17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>
        <v>0</v>
      </c>
      <c r="G51" s="171"/>
      <c r="H51" s="171">
        <v>2.97E-3</v>
      </c>
      <c r="I51" s="171">
        <v>7.6000000000000004E-4</v>
      </c>
      <c r="J51" s="171">
        <v>-3.5E-4</v>
      </c>
      <c r="K51" s="171"/>
      <c r="M51" s="171">
        <f t="shared" si="22"/>
        <v>2.4500000000000004E-3</v>
      </c>
      <c r="N51" s="376">
        <f t="shared" si="23"/>
        <v>2.4500000000000004E-3</v>
      </c>
      <c r="O51" s="348">
        <f t="shared" si="24"/>
        <v>147739.76035000003</v>
      </c>
      <c r="P51" s="348">
        <f t="shared" si="25"/>
        <v>129363.93225000001</v>
      </c>
      <c r="Q51" s="349">
        <f t="shared" si="26"/>
        <v>-18375.828100000013</v>
      </c>
    </row>
    <row r="52" spans="1:17">
      <c r="A52" s="180" t="s">
        <v>179</v>
      </c>
      <c r="B52" s="152"/>
      <c r="C52" s="171">
        <v>0</v>
      </c>
      <c r="D52" s="171">
        <v>-9.3000000000000005E-4</v>
      </c>
      <c r="E52" s="171">
        <v>0</v>
      </c>
      <c r="F52" s="171">
        <v>0</v>
      </c>
      <c r="G52" s="171"/>
      <c r="H52" s="171">
        <v>2.97E-3</v>
      </c>
      <c r="I52" s="171">
        <v>0</v>
      </c>
      <c r="J52" s="171">
        <v>-3.5E-4</v>
      </c>
      <c r="K52" s="171"/>
      <c r="M52" s="171">
        <f t="shared" si="22"/>
        <v>1.6900000000000001E-3</v>
      </c>
      <c r="N52" s="376">
        <f t="shared" si="23"/>
        <v>1.6900000000000001E-3</v>
      </c>
      <c r="O52" s="348">
        <f t="shared" si="24"/>
        <v>59150</v>
      </c>
      <c r="P52" s="348">
        <f t="shared" si="25"/>
        <v>59150</v>
      </c>
      <c r="Q52" s="349">
        <f t="shared" si="26"/>
        <v>0</v>
      </c>
    </row>
    <row r="53" spans="1:17">
      <c r="A53" s="180" t="s">
        <v>180</v>
      </c>
      <c r="B53" s="152"/>
      <c r="C53" s="171">
        <v>0</v>
      </c>
      <c r="D53" s="171">
        <v>-1.2999999999999999E-3</v>
      </c>
      <c r="E53" s="171">
        <v>4.0000000000000002E-4</v>
      </c>
      <c r="F53" s="171">
        <v>5.4000000000000001E-4</v>
      </c>
      <c r="G53" s="171"/>
      <c r="H53" s="171">
        <v>4.3299999999999996E-3</v>
      </c>
      <c r="I53" s="171">
        <v>1.0499999999999999E-3</v>
      </c>
      <c r="J53" s="171">
        <v>-3.6999999999999999E-4</v>
      </c>
      <c r="K53" s="171"/>
      <c r="M53" s="171">
        <f t="shared" si="22"/>
        <v>4.1099999999999999E-3</v>
      </c>
      <c r="N53" s="376">
        <f t="shared" si="23"/>
        <v>4.2500000000000003E-3</v>
      </c>
      <c r="O53" s="348">
        <f t="shared" si="24"/>
        <v>0</v>
      </c>
      <c r="P53" s="348">
        <f t="shared" si="25"/>
        <v>0</v>
      </c>
      <c r="Q53" s="349">
        <f t="shared" si="26"/>
        <v>0</v>
      </c>
    </row>
    <row r="54" spans="1:17">
      <c r="A54" s="180" t="s">
        <v>137</v>
      </c>
      <c r="B54" s="152"/>
      <c r="C54" s="171">
        <v>0</v>
      </c>
      <c r="D54" s="171">
        <v>-1.2999999999999999E-3</v>
      </c>
      <c r="E54" s="171">
        <v>4.0000000000000002E-4</v>
      </c>
      <c r="F54" s="171">
        <v>5.4000000000000001E-4</v>
      </c>
      <c r="G54" s="171"/>
      <c r="H54" s="171">
        <v>4.3299999999999996E-3</v>
      </c>
      <c r="I54" s="171">
        <v>1.0499999999999999E-3</v>
      </c>
      <c r="J54" s="171">
        <v>-3.6999999999999999E-4</v>
      </c>
      <c r="K54" s="171"/>
      <c r="M54" s="171">
        <f t="shared" si="22"/>
        <v>4.1099999999999999E-3</v>
      </c>
      <c r="N54" s="376">
        <f t="shared" si="23"/>
        <v>4.2500000000000003E-3</v>
      </c>
      <c r="O54" s="348">
        <f t="shared" si="24"/>
        <v>17626.05558</v>
      </c>
      <c r="P54" s="348">
        <f t="shared" si="25"/>
        <v>13050.288</v>
      </c>
      <c r="Q54" s="349">
        <f t="shared" si="26"/>
        <v>-4575.7675799999997</v>
      </c>
    </row>
    <row r="55" spans="1:17">
      <c r="A55" s="180" t="s">
        <v>138</v>
      </c>
      <c r="B55" s="152"/>
      <c r="C55" s="171">
        <v>-8.0999999999999996E-4</v>
      </c>
      <c r="D55" s="171">
        <v>-1.2999999999999999E-3</v>
      </c>
      <c r="E55" s="171">
        <v>4.0000000000000002E-4</v>
      </c>
      <c r="F55" s="171">
        <v>5.4000000000000001E-4</v>
      </c>
      <c r="G55" s="171"/>
      <c r="H55" s="171">
        <v>4.3299999999999996E-3</v>
      </c>
      <c r="I55" s="171">
        <v>1.0499999999999999E-3</v>
      </c>
      <c r="J55" s="171">
        <v>-3.6999999999999999E-4</v>
      </c>
      <c r="K55" s="171"/>
      <c r="M55" s="171">
        <f t="shared" si="22"/>
        <v>3.2999999999999995E-3</v>
      </c>
      <c r="N55" s="376">
        <f t="shared" si="23"/>
        <v>3.4399999999999999E-3</v>
      </c>
      <c r="O55" s="348">
        <f t="shared" si="24"/>
        <v>763.90379999999993</v>
      </c>
      <c r="P55" s="348">
        <f t="shared" si="25"/>
        <v>478.62783999999999</v>
      </c>
      <c r="Q55" s="349">
        <f t="shared" si="26"/>
        <v>-285.27595999999994</v>
      </c>
    </row>
    <row r="56" spans="1:17" ht="15" customHeight="1">
      <c r="A56" s="180" t="s">
        <v>192</v>
      </c>
      <c r="B56" s="152"/>
      <c r="C56" s="171">
        <v>0</v>
      </c>
      <c r="D56" s="171">
        <v>0</v>
      </c>
      <c r="E56" s="171">
        <v>0</v>
      </c>
      <c r="F56" s="171">
        <v>0</v>
      </c>
      <c r="G56" s="171"/>
      <c r="H56" s="186">
        <v>1.013E-2</v>
      </c>
      <c r="I56" s="401" t="s">
        <v>375</v>
      </c>
      <c r="J56" s="186">
        <v>-4.8000000000000001E-4</v>
      </c>
      <c r="K56" s="186"/>
      <c r="M56" s="171">
        <f t="shared" si="22"/>
        <v>9.6500000000000006E-3</v>
      </c>
      <c r="N56" s="376">
        <f t="shared" si="23"/>
        <v>9.6500000000000006E-3</v>
      </c>
      <c r="O56" s="348">
        <f t="shared" si="24"/>
        <v>0</v>
      </c>
      <c r="P56" s="348">
        <f t="shared" si="25"/>
        <v>0</v>
      </c>
      <c r="Q56" s="349">
        <f t="shared" si="26"/>
        <v>0</v>
      </c>
    </row>
    <row r="57" spans="1:17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>
        <v>0</v>
      </c>
      <c r="G57" s="171"/>
      <c r="H57" s="186">
        <v>1.013E-2</v>
      </c>
      <c r="I57" s="401"/>
      <c r="J57" s="186">
        <v>-4.8000000000000001E-4</v>
      </c>
      <c r="K57" s="186"/>
      <c r="M57" s="171">
        <f t="shared" si="22"/>
        <v>8.8400000000000006E-3</v>
      </c>
      <c r="N57" s="376">
        <f t="shared" si="23"/>
        <v>8.8400000000000006E-3</v>
      </c>
      <c r="O57" s="348">
        <f t="shared" si="24"/>
        <v>0</v>
      </c>
      <c r="P57" s="348">
        <f t="shared" si="25"/>
        <v>0</v>
      </c>
      <c r="Q57" s="349">
        <f t="shared" si="26"/>
        <v>0</v>
      </c>
    </row>
    <row r="58" spans="1:17">
      <c r="A58" s="180"/>
      <c r="B58" s="152"/>
      <c r="C58" s="171"/>
      <c r="D58" s="171"/>
      <c r="E58" s="171"/>
      <c r="F58" s="171"/>
      <c r="G58" s="186"/>
      <c r="H58" s="371"/>
      <c r="I58" s="171"/>
      <c r="J58" s="186"/>
      <c r="K58" s="171"/>
      <c r="L58" s="212"/>
      <c r="M58" s="369"/>
      <c r="N58" s="194"/>
      <c r="O58" s="193">
        <f>SUM(O45:O57)</f>
        <v>1235187.9436299996</v>
      </c>
      <c r="P58" s="193">
        <f t="shared" ref="P58:Q58" si="27">SUM(P45:P57)</f>
        <v>882949.04685999989</v>
      </c>
      <c r="Q58" s="193">
        <f t="shared" si="27"/>
        <v>-352238.89677000011</v>
      </c>
    </row>
    <row r="59" spans="1:17" hidden="1">
      <c r="A59" s="180"/>
      <c r="B59" s="152"/>
      <c r="C59" s="171"/>
      <c r="D59" s="171"/>
      <c r="E59" s="171"/>
      <c r="F59" s="171"/>
      <c r="G59" s="186"/>
      <c r="H59" s="371"/>
      <c r="I59" s="171"/>
      <c r="J59" s="186"/>
      <c r="K59" s="171"/>
      <c r="L59" s="212"/>
      <c r="M59" s="335"/>
      <c r="N59" s="194"/>
    </row>
    <row r="60" spans="1:17" hidden="1">
      <c r="F60" s="152"/>
      <c r="M60" s="335"/>
      <c r="N60" s="335"/>
    </row>
    <row r="61" spans="1:17" ht="41.4" customHeight="1">
      <c r="A61" s="179" t="s">
        <v>202</v>
      </c>
      <c r="B61" s="154"/>
      <c r="C61" s="172" t="s">
        <v>368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207</v>
      </c>
      <c r="J61" s="172" t="s">
        <v>208</v>
      </c>
      <c r="M61" s="168"/>
    </row>
    <row r="62" spans="1:17">
      <c r="A62" s="180" t="s">
        <v>131</v>
      </c>
      <c r="C62" s="168">
        <f t="shared" ref="C62:D67" si="28">C45*$H3</f>
        <v>-26135.832599999998</v>
      </c>
      <c r="D62" s="168">
        <f t="shared" si="28"/>
        <v>-45818.373200000002</v>
      </c>
      <c r="E62" s="168">
        <f>E45*F3+F45*G3</f>
        <v>-498368.97652000003</v>
      </c>
      <c r="F62" s="168">
        <f t="shared" ref="F62:F72" si="29">$H3*G45</f>
        <v>0</v>
      </c>
      <c r="G62" s="168">
        <f t="shared" ref="G62:G72" si="30">(H3*H45)</f>
        <v>139713.77179999999</v>
      </c>
      <c r="H62" s="168">
        <f t="shared" ref="H62:H72" si="31">(I45*H3)</f>
        <v>37106.428999999996</v>
      </c>
      <c r="I62" s="168">
        <f t="shared" ref="I62:I72" si="32">J45*H3</f>
        <v>-10970.5964</v>
      </c>
      <c r="J62" s="168">
        <f t="shared" ref="J62:J68" si="33">SUM(C62:I62)</f>
        <v>-404473.57792000001</v>
      </c>
      <c r="M62" s="168"/>
    </row>
    <row r="63" spans="1:17">
      <c r="A63" s="180" t="s">
        <v>178</v>
      </c>
      <c r="C63" s="168">
        <f t="shared" si="28"/>
        <v>-63.684629999999999</v>
      </c>
      <c r="D63" s="168">
        <f t="shared" ref="D63" si="34">D46*$H4</f>
        <v>-111.64466</v>
      </c>
      <c r="E63" s="168">
        <f t="shared" ref="E63:E72" si="35">E46*F4+F46*G4</f>
        <v>-994.06485999999995</v>
      </c>
      <c r="F63" s="168">
        <f t="shared" si="29"/>
        <v>-2478.9831900000004</v>
      </c>
      <c r="G63" s="168">
        <f t="shared" si="30"/>
        <v>340.43759</v>
      </c>
      <c r="H63" s="168">
        <f t="shared" si="31"/>
        <v>90.416449999999998</v>
      </c>
      <c r="I63" s="168">
        <f t="shared" si="32"/>
        <v>-26.731820000000003</v>
      </c>
      <c r="J63" s="168">
        <f t="shared" si="33"/>
        <v>-3244.2551200000003</v>
      </c>
      <c r="M63" s="168"/>
    </row>
    <row r="64" spans="1:17">
      <c r="A64" s="180" t="s">
        <v>132</v>
      </c>
      <c r="C64" s="168">
        <f t="shared" si="28"/>
        <v>0</v>
      </c>
      <c r="D64" s="168">
        <f t="shared" ref="D64" si="36">D47*$H5</f>
        <v>-8123.9706799999994</v>
      </c>
      <c r="E64" s="168">
        <f t="shared" si="35"/>
        <v>5537.6725599999991</v>
      </c>
      <c r="F64" s="168">
        <f t="shared" si="29"/>
        <v>0</v>
      </c>
      <c r="G64" s="168">
        <f t="shared" si="30"/>
        <v>25797.928169999999</v>
      </c>
      <c r="H64" s="168">
        <f t="shared" si="31"/>
        <v>7216.50587</v>
      </c>
      <c r="I64" s="168">
        <f t="shared" si="32"/>
        <v>-1555.6539600000001</v>
      </c>
      <c r="J64" s="168">
        <f t="shared" si="33"/>
        <v>28872.481960000001</v>
      </c>
      <c r="M64" s="168"/>
    </row>
    <row r="65" spans="1:13">
      <c r="A65" s="180" t="s">
        <v>133</v>
      </c>
      <c r="C65" s="168">
        <f t="shared" si="28"/>
        <v>-603.41759999999999</v>
      </c>
      <c r="D65" s="168">
        <f t="shared" ref="D65" si="37">D48*$H6</f>
        <v>-1400.5247999999999</v>
      </c>
      <c r="E65" s="168">
        <f t="shared" si="35"/>
        <v>701.56032000000005</v>
      </c>
      <c r="F65" s="168">
        <f t="shared" si="29"/>
        <v>0</v>
      </c>
      <c r="G65" s="168">
        <f t="shared" si="30"/>
        <v>4447.4111999999996</v>
      </c>
      <c r="H65" s="168">
        <f t="shared" si="31"/>
        <v>1244.0832</v>
      </c>
      <c r="I65" s="168">
        <f t="shared" si="32"/>
        <v>-268.18560000000002</v>
      </c>
      <c r="J65" s="168">
        <f t="shared" si="33"/>
        <v>4120.9267200000004</v>
      </c>
      <c r="M65" s="168"/>
    </row>
    <row r="66" spans="1:13">
      <c r="A66" s="180" t="s">
        <v>134</v>
      </c>
      <c r="C66" s="168">
        <f t="shared" si="28"/>
        <v>0</v>
      </c>
      <c r="D66" s="168">
        <f t="shared" ref="D66" si="38">D49*$H7</f>
        <v>-11478.759840000001</v>
      </c>
      <c r="E66" s="168">
        <f t="shared" si="35"/>
        <v>12594.451819999998</v>
      </c>
      <c r="F66" s="168">
        <f t="shared" si="29"/>
        <v>0</v>
      </c>
      <c r="G66" s="168">
        <f t="shared" si="30"/>
        <v>36668.260600000001</v>
      </c>
      <c r="H66" s="168">
        <f t="shared" si="31"/>
        <v>9645.3468099999991</v>
      </c>
      <c r="I66" s="168">
        <f t="shared" si="32"/>
        <v>-2869.6899600000002</v>
      </c>
      <c r="J66" s="168">
        <f t="shared" si="33"/>
        <v>44559.609429999997</v>
      </c>
      <c r="M66" s="168"/>
    </row>
    <row r="67" spans="1:13">
      <c r="A67" s="180" t="s">
        <v>135</v>
      </c>
      <c r="C67" s="168">
        <f t="shared" si="28"/>
        <v>-213.70958999999999</v>
      </c>
      <c r="D67" s="168">
        <f t="shared" ref="D67" si="39">D50*$H8</f>
        <v>-379.92816000000005</v>
      </c>
      <c r="E67" s="168">
        <f t="shared" si="35"/>
        <v>318.50499999999994</v>
      </c>
      <c r="F67" s="168">
        <f t="shared" si="29"/>
        <v>0</v>
      </c>
      <c r="G67" s="168">
        <f t="shared" si="30"/>
        <v>1213.6594</v>
      </c>
      <c r="H67" s="168">
        <f t="shared" si="31"/>
        <v>319.24518999999998</v>
      </c>
      <c r="I67" s="168">
        <f t="shared" si="32"/>
        <v>-94.982040000000012</v>
      </c>
      <c r="J67" s="168">
        <f t="shared" si="33"/>
        <v>1162.7897999999998</v>
      </c>
      <c r="M67" s="168"/>
    </row>
    <row r="68" spans="1:13">
      <c r="A68" s="180" t="s">
        <v>136</v>
      </c>
      <c r="C68" s="168">
        <f t="shared" ref="C68:D68" si="40">C51*$H9</f>
        <v>0</v>
      </c>
      <c r="D68" s="168">
        <f t="shared" si="40"/>
        <v>6975.3143400000008</v>
      </c>
      <c r="E68" s="168">
        <f t="shared" si="35"/>
        <v>0</v>
      </c>
      <c r="F68" s="168">
        <f t="shared" si="29"/>
        <v>0</v>
      </c>
      <c r="G68" s="168">
        <f t="shared" si="30"/>
        <v>-22276.003860000001</v>
      </c>
      <c r="H68" s="168">
        <f t="shared" si="31"/>
        <v>-5700.2568799999999</v>
      </c>
      <c r="I68" s="168">
        <f t="shared" si="32"/>
        <v>2625.1183000000001</v>
      </c>
      <c r="J68" s="168">
        <f t="shared" si="33"/>
        <v>-18375.828099999999</v>
      </c>
      <c r="M68" s="168"/>
    </row>
    <row r="69" spans="1:13">
      <c r="A69" s="180" t="s">
        <v>179</v>
      </c>
      <c r="C69" s="168">
        <f t="shared" ref="C69:D69" si="41">C52*$H10</f>
        <v>0</v>
      </c>
      <c r="D69" s="168">
        <f t="shared" si="41"/>
        <v>0</v>
      </c>
      <c r="E69" s="168">
        <f t="shared" si="35"/>
        <v>0</v>
      </c>
      <c r="F69" s="168">
        <f t="shared" si="29"/>
        <v>0</v>
      </c>
      <c r="G69" s="168">
        <f t="shared" si="30"/>
        <v>0</v>
      </c>
      <c r="H69" s="168">
        <f t="shared" si="31"/>
        <v>0</v>
      </c>
      <c r="I69" s="168">
        <f t="shared" si="32"/>
        <v>0</v>
      </c>
      <c r="J69" s="168">
        <f t="shared" ref="J69:J70" si="42">SUM(C69:I69)</f>
        <v>0</v>
      </c>
      <c r="M69" s="168"/>
    </row>
    <row r="70" spans="1:13">
      <c r="A70" s="180" t="s">
        <v>180</v>
      </c>
      <c r="C70" s="168">
        <f t="shared" ref="C70:D70" si="43">C53*$H11</f>
        <v>0</v>
      </c>
      <c r="D70" s="168">
        <f t="shared" si="43"/>
        <v>0</v>
      </c>
      <c r="E70" s="168">
        <f t="shared" si="35"/>
        <v>0</v>
      </c>
      <c r="F70" s="168">
        <f t="shared" si="29"/>
        <v>0</v>
      </c>
      <c r="G70" s="168">
        <f t="shared" si="30"/>
        <v>0</v>
      </c>
      <c r="H70" s="168">
        <f t="shared" si="31"/>
        <v>0</v>
      </c>
      <c r="I70" s="168">
        <f t="shared" si="32"/>
        <v>0</v>
      </c>
      <c r="J70" s="168">
        <f t="shared" si="42"/>
        <v>0</v>
      </c>
      <c r="M70" s="168"/>
    </row>
    <row r="71" spans="1:13">
      <c r="A71" s="180" t="s">
        <v>137</v>
      </c>
      <c r="C71" s="168">
        <f t="shared" ref="C71:D71" si="44">C54*$H12</f>
        <v>0</v>
      </c>
      <c r="D71" s="168">
        <f t="shared" si="44"/>
        <v>1583.2985999999999</v>
      </c>
      <c r="E71" s="168">
        <f t="shared" si="35"/>
        <v>-57.276959999999917</v>
      </c>
      <c r="F71" s="168">
        <f t="shared" si="29"/>
        <v>0</v>
      </c>
      <c r="G71" s="168">
        <f t="shared" si="30"/>
        <v>-5273.6022599999997</v>
      </c>
      <c r="H71" s="168">
        <f t="shared" si="31"/>
        <v>-1278.8181</v>
      </c>
      <c r="I71" s="168">
        <f t="shared" si="32"/>
        <v>450.63114000000002</v>
      </c>
      <c r="J71" s="168">
        <f>SUM(C71:I71)</f>
        <v>-4575.7675799999988</v>
      </c>
      <c r="M71" s="168"/>
    </row>
    <row r="72" spans="1:13">
      <c r="A72" s="180" t="s">
        <v>138</v>
      </c>
      <c r="C72" s="168">
        <f t="shared" ref="C72:D72" si="45">C55*$H13</f>
        <v>74.8035</v>
      </c>
      <c r="D72" s="168">
        <f t="shared" si="45"/>
        <v>120.05499999999999</v>
      </c>
      <c r="E72" s="168">
        <f t="shared" si="35"/>
        <v>-17.46096</v>
      </c>
      <c r="F72" s="168">
        <f t="shared" si="29"/>
        <v>0</v>
      </c>
      <c r="G72" s="168">
        <f t="shared" si="30"/>
        <v>-399.87549999999999</v>
      </c>
      <c r="H72" s="168">
        <f t="shared" si="31"/>
        <v>-96.967499999999987</v>
      </c>
      <c r="I72" s="168">
        <f t="shared" si="32"/>
        <v>34.169499999999999</v>
      </c>
      <c r="J72" s="168">
        <f>SUM(C72:I72)</f>
        <v>-285.27595999999994</v>
      </c>
      <c r="M72" s="168"/>
    </row>
    <row r="73" spans="1:13">
      <c r="A73" s="180" t="s">
        <v>192</v>
      </c>
      <c r="C73" s="168">
        <f>($H14+$H15)*C56+$H16*C57</f>
        <v>0</v>
      </c>
      <c r="D73" s="168">
        <f>($H14+$H15)*D56+$H16*D57</f>
        <v>0</v>
      </c>
      <c r="E73" s="168">
        <f t="shared" ref="E73" si="46">E56*F14+F56*G14</f>
        <v>0</v>
      </c>
      <c r="F73" s="168">
        <f>($H14+$H15)*G56+$H16*G57</f>
        <v>0</v>
      </c>
      <c r="G73" s="168">
        <f>($H14+$H15)*H56+$H16*H57</f>
        <v>0</v>
      </c>
      <c r="H73" s="168">
        <v>0</v>
      </c>
      <c r="I73" s="168">
        <f>($H14+$H15)*J56+$H16*J57</f>
        <v>0</v>
      </c>
      <c r="J73" s="168">
        <f>SUM(C73:I73)</f>
        <v>0</v>
      </c>
    </row>
    <row r="74" spans="1:13">
      <c r="A74" s="157"/>
      <c r="C74" s="193">
        <f t="shared" ref="C74:J74" si="47">SUM(C62:C73)</f>
        <v>-26941.840919999995</v>
      </c>
      <c r="D74" s="193">
        <f t="shared" si="47"/>
        <v>-58634.5334</v>
      </c>
      <c r="E74" s="193">
        <f t="shared" si="47"/>
        <v>-480285.58960000001</v>
      </c>
      <c r="F74" s="193">
        <f t="shared" si="47"/>
        <v>-2478.9831900000004</v>
      </c>
      <c r="G74" s="337">
        <f t="shared" si="47"/>
        <v>180231.98714000001</v>
      </c>
      <c r="H74" s="193">
        <f t="shared" si="47"/>
        <v>48545.984040000003</v>
      </c>
      <c r="I74" s="193">
        <f t="shared" si="47"/>
        <v>-12675.920840000002</v>
      </c>
      <c r="J74" s="193">
        <f t="shared" si="47"/>
        <v>-352238.89676999993</v>
      </c>
    </row>
    <row r="76" spans="1:13">
      <c r="A76" s="152" t="s">
        <v>19</v>
      </c>
      <c r="B76" s="152"/>
      <c r="C76" s="168">
        <f t="shared" ref="C76:I76" si="48">C62+C63</f>
        <v>-26199.517229999998</v>
      </c>
      <c r="D76" s="168">
        <f t="shared" si="48"/>
        <v>-45930.01786</v>
      </c>
      <c r="E76" s="168">
        <f t="shared" si="48"/>
        <v>-499363.04138000001</v>
      </c>
      <c r="F76" s="168">
        <f t="shared" si="48"/>
        <v>-2478.9831900000004</v>
      </c>
      <c r="G76" s="168">
        <f t="shared" si="48"/>
        <v>140054.20938999997</v>
      </c>
      <c r="H76" s="168">
        <f t="shared" si="48"/>
        <v>37196.845449999993</v>
      </c>
      <c r="I76" s="168">
        <f t="shared" si="48"/>
        <v>-10997.328220000001</v>
      </c>
      <c r="J76" s="168">
        <f>J62+J63</f>
        <v>-407717.83304</v>
      </c>
    </row>
    <row r="77" spans="1:13">
      <c r="A77" s="152"/>
      <c r="B77" s="152"/>
      <c r="C77" s="168"/>
      <c r="D77" s="168"/>
      <c r="E77" s="168"/>
      <c r="F77" s="168"/>
      <c r="G77" s="168"/>
      <c r="H77" s="168"/>
      <c r="I77" s="168"/>
      <c r="J77" s="168"/>
    </row>
    <row r="78" spans="1:13" ht="15.75" customHeight="1">
      <c r="A78" s="152" t="s">
        <v>184</v>
      </c>
      <c r="B78" s="152"/>
      <c r="C78" s="176">
        <f t="shared" ref="C78:I78" si="49">SUM(C64:C67,C70:C72)</f>
        <v>-742.32368999999994</v>
      </c>
      <c r="D78" s="176">
        <f t="shared" si="49"/>
        <v>-19679.829880000001</v>
      </c>
      <c r="E78" s="176">
        <f t="shared" si="49"/>
        <v>19077.451779999999</v>
      </c>
      <c r="F78" s="176">
        <f t="shared" si="49"/>
        <v>0</v>
      </c>
      <c r="G78" s="176">
        <f t="shared" si="49"/>
        <v>62453.781609999998</v>
      </c>
      <c r="H78" s="176">
        <f t="shared" si="49"/>
        <v>17049.395469999999</v>
      </c>
      <c r="I78" s="176">
        <f t="shared" si="49"/>
        <v>-4303.7109199999995</v>
      </c>
      <c r="J78" s="176">
        <f>SUM(J64:J67,J70:J72)</f>
        <v>73854.764370000004</v>
      </c>
    </row>
    <row r="80" spans="1:13">
      <c r="A80" s="1" t="s">
        <v>215</v>
      </c>
    </row>
    <row r="81" spans="1:14">
      <c r="A81" s="1" t="s">
        <v>223</v>
      </c>
    </row>
    <row r="82" spans="1:14" ht="15.75" customHeight="1">
      <c r="A82" s="194" t="s">
        <v>222</v>
      </c>
      <c r="B82" s="194"/>
      <c r="C82" s="194"/>
      <c r="D82" s="194"/>
      <c r="E82" s="194"/>
    </row>
    <row r="83" spans="1:14" ht="29.4" customHeight="1">
      <c r="A83" s="194"/>
      <c r="B83" s="357" t="s">
        <v>216</v>
      </c>
      <c r="C83" s="357" t="s">
        <v>217</v>
      </c>
      <c r="D83" s="357" t="s">
        <v>218</v>
      </c>
      <c r="E83" s="357" t="s">
        <v>221</v>
      </c>
      <c r="G83" s="402" t="s">
        <v>391</v>
      </c>
      <c r="H83" s="402"/>
      <c r="I83" s="402"/>
      <c r="J83" s="402"/>
      <c r="M83" s="358"/>
      <c r="N83" s="358"/>
    </row>
    <row r="84" spans="1:14">
      <c r="A84" s="359" t="s">
        <v>390</v>
      </c>
      <c r="B84" s="361">
        <v>1</v>
      </c>
      <c r="C84" s="362">
        <v>836098.2</v>
      </c>
      <c r="D84" s="358">
        <f>74029.46-C84*N51</f>
        <v>71981.019410000008</v>
      </c>
      <c r="E84" s="358">
        <f>500*B84</f>
        <v>500</v>
      </c>
      <c r="F84" s="360" t="s">
        <v>219</v>
      </c>
      <c r="H84" s="361"/>
      <c r="I84" s="362"/>
      <c r="J84" s="380">
        <v>52841</v>
      </c>
      <c r="K84" s="358"/>
      <c r="L84" s="360"/>
    </row>
    <row r="85" spans="1:14">
      <c r="A85" s="363" t="s">
        <v>258</v>
      </c>
      <c r="B85" s="364">
        <f>SUM(B84:B84)</f>
        <v>1</v>
      </c>
      <c r="C85" s="365">
        <f>SUM(C84:C84)</f>
        <v>836098.2</v>
      </c>
      <c r="D85" s="366">
        <f>SUM(D84:D84)</f>
        <v>71981.019410000008</v>
      </c>
      <c r="E85" s="366">
        <f>SUM(E84:E84)</f>
        <v>500</v>
      </c>
    </row>
    <row r="86" spans="1:14">
      <c r="A86" s="194"/>
      <c r="B86" s="194"/>
      <c r="C86" s="194"/>
      <c r="D86" s="194"/>
      <c r="E86" s="194"/>
    </row>
    <row r="87" spans="1:14">
      <c r="A87" s="346"/>
      <c r="B87" s="361"/>
      <c r="C87" s="362"/>
      <c r="D87" s="358"/>
      <c r="E87" s="358"/>
    </row>
    <row r="88" spans="1:14">
      <c r="B88" s="361"/>
      <c r="C88" s="362"/>
      <c r="D88" s="358"/>
      <c r="E88" s="358"/>
    </row>
    <row r="89" spans="1:14" ht="9" customHeight="1"/>
  </sheetData>
  <mergeCells count="4">
    <mergeCell ref="G83:J83"/>
    <mergeCell ref="A1:I1"/>
    <mergeCell ref="J1:K1"/>
    <mergeCell ref="I56:I57"/>
  </mergeCells>
  <pageMargins left="0.7" right="0.7" top="0.75" bottom="0.75" header="0.3" footer="0.3"/>
  <pageSetup scale="78" fitToHeight="2" orientation="landscape" r:id="rId1"/>
  <headerFooter scaleWithDoc="0">
    <oddFooter>&amp;L&amp;F / &amp;A&amp;RPage 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0.39997558519241921"/>
  </sheetPr>
  <dimension ref="A1:AE88"/>
  <sheetViews>
    <sheetView topLeftCell="A56" zoomScaleNormal="100" workbookViewId="0">
      <selection activeCell="A56" sqref="A1:XFD1048576"/>
    </sheetView>
  </sheetViews>
  <sheetFormatPr defaultColWidth="9.109375" defaultRowHeight="13.8"/>
  <cols>
    <col min="1" max="1" width="14.6640625" style="1" customWidth="1"/>
    <col min="2" max="2" width="10.33203125" style="1" customWidth="1"/>
    <col min="3" max="3" width="16.33203125" style="1" customWidth="1"/>
    <col min="4" max="4" width="18.6640625" style="1" customWidth="1"/>
    <col min="5" max="5" width="16.6640625" style="1" customWidth="1"/>
    <col min="6" max="6" width="16.33203125" style="1" customWidth="1"/>
    <col min="7" max="7" width="15.5546875" style="1" customWidth="1"/>
    <col min="8" max="8" width="13.6640625" style="1" bestFit="1" customWidth="1"/>
    <col min="9" max="9" width="17.5546875" style="1" customWidth="1"/>
    <col min="10" max="10" width="13.6640625" style="1" bestFit="1" customWidth="1"/>
    <col min="11" max="11" width="14.88671875" style="1" customWidth="1"/>
    <col min="12" max="12" width="13.44140625" style="1" bestFit="1" customWidth="1"/>
    <col min="13" max="13" width="15.6640625" style="1" customWidth="1"/>
    <col min="14" max="14" width="10.88671875" style="1" customWidth="1"/>
    <col min="15" max="15" width="13.88671875" style="1" customWidth="1"/>
    <col min="16" max="16" width="13.33203125" style="1" customWidth="1"/>
    <col min="17" max="17" width="16" style="1" customWidth="1"/>
    <col min="18" max="18" width="10" style="1" customWidth="1"/>
    <col min="19" max="19" width="17.6640625" style="1" customWidth="1"/>
    <col min="20" max="20" width="13.44140625" style="1" customWidth="1"/>
    <col min="21" max="21" width="10.5546875" style="1" customWidth="1"/>
    <col min="22" max="22" width="13.88671875" style="1" customWidth="1"/>
    <col min="23" max="23" width="2.88671875" style="1" customWidth="1"/>
    <col min="24" max="24" width="16.88671875" style="1" customWidth="1"/>
    <col min="25" max="25" width="1.6640625" style="1" customWidth="1"/>
    <col min="26" max="26" width="14.6640625" style="1" customWidth="1"/>
    <col min="27" max="27" width="13.6640625" style="1" customWidth="1"/>
    <col min="28" max="28" width="13.5546875" style="1" customWidth="1"/>
    <col min="29" max="29" width="13.109375" style="1" customWidth="1"/>
    <col min="30" max="30" width="18" style="1" customWidth="1"/>
    <col min="31" max="16384" width="9.109375" style="1"/>
  </cols>
  <sheetData>
    <row r="1" spans="1:11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J1" s="400" t="s">
        <v>377</v>
      </c>
      <c r="K1" s="400"/>
    </row>
    <row r="2" spans="1:11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J2" s="344" t="s">
        <v>378</v>
      </c>
      <c r="K2" s="344" t="s">
        <v>379</v>
      </c>
    </row>
    <row r="3" spans="1:11">
      <c r="A3" s="180" t="s">
        <v>131</v>
      </c>
      <c r="B3" s="152"/>
      <c r="C3" s="158">
        <v>217990</v>
      </c>
      <c r="D3" s="282"/>
      <c r="E3" s="182">
        <v>149120500.433</v>
      </c>
      <c r="F3" s="182">
        <v>-71433400</v>
      </c>
      <c r="G3" s="182">
        <v>82163972</v>
      </c>
      <c r="H3" s="189">
        <f>SUM(F3:G3)</f>
        <v>10730572</v>
      </c>
      <c r="I3" s="159">
        <f>E3+H3</f>
        <v>159851072.433</v>
      </c>
      <c r="J3" s="370">
        <f t="shared" ref="J3:J8" si="0">I3/C3</f>
        <v>733.29543755676866</v>
      </c>
      <c r="K3" s="341">
        <f t="shared" ref="K3:K8" si="1">D24/E3</f>
        <v>9.1672414861174986E-2</v>
      </c>
    </row>
    <row r="4" spans="1:11">
      <c r="A4" s="180" t="s">
        <v>178</v>
      </c>
      <c r="B4" s="152"/>
      <c r="C4" s="158">
        <v>398</v>
      </c>
      <c r="D4" s="282"/>
      <c r="E4" s="182">
        <v>292086.625</v>
      </c>
      <c r="F4" s="182">
        <v>-119949</v>
      </c>
      <c r="G4" s="182">
        <v>160938</v>
      </c>
      <c r="H4" s="189">
        <f t="shared" ref="H4:H16" si="2">SUM(F4:G4)</f>
        <v>40989</v>
      </c>
      <c r="I4" s="159">
        <f t="shared" ref="I4:I16" si="3">E4+H4</f>
        <v>333075.625</v>
      </c>
      <c r="J4" s="370">
        <f t="shared" si="0"/>
        <v>836.8734296482412</v>
      </c>
      <c r="K4" s="341">
        <f t="shared" si="1"/>
        <v>9.0645369331786421E-2</v>
      </c>
    </row>
    <row r="5" spans="1:11">
      <c r="A5" s="180" t="s">
        <v>132</v>
      </c>
      <c r="B5" s="152"/>
      <c r="C5" s="158">
        <v>23411</v>
      </c>
      <c r="D5" s="282"/>
      <c r="E5" s="182">
        <v>41762126.43</v>
      </c>
      <c r="F5" s="182">
        <v>-19139293</v>
      </c>
      <c r="G5" s="182">
        <v>22887083</v>
      </c>
      <c r="H5" s="189">
        <f t="shared" si="2"/>
        <v>3747790</v>
      </c>
      <c r="I5" s="159">
        <f t="shared" si="3"/>
        <v>45509916.43</v>
      </c>
      <c r="J5" s="370">
        <f t="shared" si="0"/>
        <v>1943.9543987868951</v>
      </c>
      <c r="K5" s="341">
        <f t="shared" si="1"/>
        <v>0.1213182489280635</v>
      </c>
    </row>
    <row r="6" spans="1:11">
      <c r="A6" s="180" t="s">
        <v>133</v>
      </c>
      <c r="B6" s="152"/>
      <c r="C6" s="158">
        <v>9672</v>
      </c>
      <c r="D6" s="282"/>
      <c r="E6" s="182">
        <v>3879774.2489999998</v>
      </c>
      <c r="F6" s="182">
        <v>-1707404</v>
      </c>
      <c r="G6" s="182">
        <v>2137728</v>
      </c>
      <c r="H6" s="189">
        <f t="shared" si="2"/>
        <v>430324</v>
      </c>
      <c r="I6" s="159">
        <f t="shared" si="3"/>
        <v>4310098.2489999998</v>
      </c>
      <c r="J6" s="370">
        <f t="shared" si="0"/>
        <v>445.62636983043836</v>
      </c>
      <c r="K6" s="341">
        <f t="shared" si="1"/>
        <v>0.16179455806270032</v>
      </c>
    </row>
    <row r="7" spans="1:11">
      <c r="A7" s="180" t="s">
        <v>134</v>
      </c>
      <c r="B7" s="152"/>
      <c r="C7" s="158">
        <v>1891</v>
      </c>
      <c r="D7" s="282"/>
      <c r="E7" s="182">
        <v>108166165.94400001</v>
      </c>
      <c r="F7" s="182">
        <v>-47703446</v>
      </c>
      <c r="G7" s="182">
        <v>59213692</v>
      </c>
      <c r="H7" s="189">
        <f t="shared" si="2"/>
        <v>11510246</v>
      </c>
      <c r="I7" s="159">
        <f t="shared" si="3"/>
        <v>119676411.94400001</v>
      </c>
      <c r="J7" s="370">
        <f t="shared" si="0"/>
        <v>63287.367500793232</v>
      </c>
      <c r="K7" s="341">
        <f t="shared" si="1"/>
        <v>9.3155670741040378E-2</v>
      </c>
    </row>
    <row r="8" spans="1:11">
      <c r="A8" s="180" t="s">
        <v>135</v>
      </c>
      <c r="B8" s="152"/>
      <c r="C8" s="158">
        <v>49</v>
      </c>
      <c r="D8" s="282"/>
      <c r="E8" s="182">
        <v>2282010</v>
      </c>
      <c r="F8" s="182">
        <v>-1069536</v>
      </c>
      <c r="G8" s="182">
        <v>1257371</v>
      </c>
      <c r="H8" s="189">
        <f t="shared" si="2"/>
        <v>187835</v>
      </c>
      <c r="I8" s="159">
        <f t="shared" si="3"/>
        <v>2469845</v>
      </c>
      <c r="J8" s="370">
        <f t="shared" si="0"/>
        <v>50405</v>
      </c>
      <c r="K8" s="341">
        <f t="shared" si="1"/>
        <v>9.2705562201743197E-2</v>
      </c>
    </row>
    <row r="9" spans="1:11">
      <c r="A9" s="180" t="s">
        <v>136</v>
      </c>
      <c r="B9" s="152"/>
      <c r="C9" s="158">
        <v>23</v>
      </c>
      <c r="D9" s="194"/>
      <c r="E9" s="182">
        <f>89411353.701-E10</f>
        <v>57023575.701000005</v>
      </c>
      <c r="F9" s="182">
        <v>-54933574</v>
      </c>
      <c r="G9" s="182">
        <f>95301943-G10</f>
        <v>60301943</v>
      </c>
      <c r="H9" s="189">
        <f t="shared" si="2"/>
        <v>5368369</v>
      </c>
      <c r="I9" s="159">
        <f t="shared" si="3"/>
        <v>62391944.701000005</v>
      </c>
      <c r="J9" s="370">
        <f>(I9+I10)/C9</f>
        <v>4120857.5087391306</v>
      </c>
      <c r="K9" s="341">
        <f>I30/(I9+I10)</f>
        <v>5.9205541816918547E-2</v>
      </c>
    </row>
    <row r="10" spans="1:11">
      <c r="A10" s="180" t="s">
        <v>179</v>
      </c>
      <c r="B10" s="152"/>
      <c r="C10" s="158"/>
      <c r="D10" s="194"/>
      <c r="E10" s="182">
        <v>32387778</v>
      </c>
      <c r="F10" s="182">
        <v>-35000000</v>
      </c>
      <c r="G10" s="182">
        <v>35000000</v>
      </c>
      <c r="H10" s="189">
        <f t="shared" si="2"/>
        <v>0</v>
      </c>
      <c r="I10" s="159">
        <f t="shared" si="3"/>
        <v>32387778</v>
      </c>
      <c r="J10" s="370"/>
    </row>
    <row r="11" spans="1:11">
      <c r="A11" s="180" t="s">
        <v>180</v>
      </c>
      <c r="B11" s="152"/>
      <c r="C11" s="158">
        <v>52</v>
      </c>
      <c r="D11" s="282"/>
      <c r="E11" s="182">
        <v>2982402.3650000002</v>
      </c>
      <c r="F11" s="182">
        <v>0</v>
      </c>
      <c r="G11" s="182">
        <v>0</v>
      </c>
      <c r="H11" s="189">
        <f t="shared" si="2"/>
        <v>0</v>
      </c>
      <c r="I11" s="159">
        <f t="shared" si="3"/>
        <v>2982402.3650000002</v>
      </c>
      <c r="J11" s="370">
        <f>I11/C11</f>
        <v>57353.891634615386</v>
      </c>
      <c r="K11" s="341">
        <f>I31/I11</f>
        <v>6.9708665886200769E-2</v>
      </c>
    </row>
    <row r="12" spans="1:11">
      <c r="A12" s="180" t="s">
        <v>137</v>
      </c>
      <c r="B12" s="152"/>
      <c r="C12" s="158">
        <v>1228</v>
      </c>
      <c r="D12" s="282"/>
      <c r="E12" s="182">
        <v>9329693.4230000004</v>
      </c>
      <c r="F12" s="182">
        <v>-5938288</v>
      </c>
      <c r="G12" s="182">
        <v>4288578</v>
      </c>
      <c r="H12" s="189">
        <f t="shared" si="2"/>
        <v>-1649710</v>
      </c>
      <c r="I12" s="159">
        <f t="shared" si="3"/>
        <v>7679983.4230000004</v>
      </c>
      <c r="J12" s="370">
        <f>I12/C12</f>
        <v>6254.058162052118</v>
      </c>
      <c r="K12" s="341">
        <f>I32/I12</f>
        <v>9.1567420585043108E-2</v>
      </c>
    </row>
    <row r="13" spans="1:11">
      <c r="A13" s="180" t="s">
        <v>138</v>
      </c>
      <c r="B13" s="152"/>
      <c r="C13" s="158">
        <v>1225</v>
      </c>
      <c r="D13" s="282"/>
      <c r="E13" s="182">
        <v>627608.14300000004</v>
      </c>
      <c r="F13" s="182">
        <v>-373828</v>
      </c>
      <c r="G13" s="182">
        <v>231486</v>
      </c>
      <c r="H13" s="189">
        <f t="shared" si="2"/>
        <v>-142342</v>
      </c>
      <c r="I13" s="159">
        <f t="shared" si="3"/>
        <v>485266.14300000004</v>
      </c>
      <c r="J13" s="370">
        <f>I13/C13</f>
        <v>396.13562693877554</v>
      </c>
      <c r="K13" s="341">
        <f>I33/I13</f>
        <v>0.14499555572744749</v>
      </c>
    </row>
    <row r="14" spans="1:11">
      <c r="A14" s="180" t="s">
        <v>181</v>
      </c>
      <c r="B14" s="152"/>
      <c r="C14" s="158">
        <v>429</v>
      </c>
      <c r="D14" s="194"/>
      <c r="E14" s="182">
        <v>920654.71799999988</v>
      </c>
      <c r="F14" s="182"/>
      <c r="G14" s="182"/>
      <c r="H14" s="189"/>
      <c r="I14" s="159">
        <f t="shared" si="3"/>
        <v>920654.71799999988</v>
      </c>
      <c r="J14" s="370">
        <f>I14/C14</f>
        <v>2146.0482937062934</v>
      </c>
      <c r="K14" s="341">
        <f>I34/I14</f>
        <v>0.60880725318783424</v>
      </c>
    </row>
    <row r="15" spans="1:11">
      <c r="A15" s="180" t="s">
        <v>182</v>
      </c>
      <c r="B15" s="152"/>
      <c r="C15" s="158"/>
      <c r="D15" s="194"/>
      <c r="E15" s="182">
        <v>401873.58100000001</v>
      </c>
      <c r="F15" s="182"/>
      <c r="G15" s="182"/>
      <c r="H15" s="189">
        <f t="shared" si="2"/>
        <v>0</v>
      </c>
      <c r="I15" s="159">
        <f t="shared" si="3"/>
        <v>401873.58100000001</v>
      </c>
      <c r="J15" s="282"/>
    </row>
    <row r="16" spans="1:11">
      <c r="A16" s="180" t="s">
        <v>183</v>
      </c>
      <c r="B16" s="152"/>
      <c r="C16" s="158"/>
      <c r="D16" s="195"/>
      <c r="E16" s="182">
        <v>212307.56299999999</v>
      </c>
      <c r="F16" s="182"/>
      <c r="G16" s="182"/>
      <c r="H16" s="189">
        <f t="shared" si="2"/>
        <v>0</v>
      </c>
      <c r="I16" s="159">
        <f t="shared" si="3"/>
        <v>212307.56299999999</v>
      </c>
      <c r="J16" s="282"/>
    </row>
    <row r="17" spans="1:31">
      <c r="A17" s="152"/>
      <c r="B17" s="152"/>
      <c r="C17" s="160">
        <f>SUM(C3:C16)</f>
        <v>256368</v>
      </c>
      <c r="E17" s="160">
        <f>SUM(E3:E16)</f>
        <v>409388557.17499995</v>
      </c>
      <c r="F17" s="160">
        <f>SUM(F3:F16)</f>
        <v>-237418718</v>
      </c>
      <c r="G17" s="160">
        <f>SUM(G3:G16)</f>
        <v>267642791</v>
      </c>
      <c r="H17" s="160">
        <f>SUM(H3:H16)</f>
        <v>30224073</v>
      </c>
      <c r="I17" s="160">
        <f>SUM(I3:I16)</f>
        <v>439612630.17499995</v>
      </c>
    </row>
    <row r="18" spans="1:31" ht="14.4" thickBot="1">
      <c r="A18" s="152"/>
      <c r="B18" s="152"/>
      <c r="C18" s="152"/>
      <c r="E18" s="152"/>
      <c r="F18" s="152"/>
      <c r="G18" s="152"/>
      <c r="I18" s="152"/>
    </row>
    <row r="19" spans="1:31">
      <c r="A19" s="152" t="s">
        <v>19</v>
      </c>
      <c r="B19" s="152"/>
      <c r="C19" s="161">
        <f>C3+C4</f>
        <v>218388</v>
      </c>
      <c r="E19" s="162">
        <f>E3+E4</f>
        <v>149412587.058</v>
      </c>
      <c r="F19" s="162">
        <f>F3+F4</f>
        <v>-71553349</v>
      </c>
      <c r="G19" s="162">
        <f>G3+G4</f>
        <v>82324910</v>
      </c>
      <c r="H19" s="162">
        <f>H3+H4</f>
        <v>10771561</v>
      </c>
      <c r="I19" s="161">
        <f>I3+I4</f>
        <v>160184148.058</v>
      </c>
    </row>
    <row r="20" spans="1:31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31" ht="14.4" thickBot="1">
      <c r="A21" s="152" t="s">
        <v>184</v>
      </c>
      <c r="B21" s="152"/>
      <c r="C21" s="177">
        <f>SUM(C5:C8,C11:C13)</f>
        <v>37528</v>
      </c>
      <c r="E21" s="178">
        <f>SUM(E5:E8,E11:E13)</f>
        <v>169029780.55400002</v>
      </c>
      <c r="F21" s="178">
        <f>SUM(F5:F8,F11:F13)</f>
        <v>-75931795</v>
      </c>
      <c r="G21" s="178">
        <f>SUM(G5:G8,G11:G13)</f>
        <v>90015938</v>
      </c>
      <c r="H21" s="178">
        <f>SUM(H5:H8,H11:H13)</f>
        <v>14084143</v>
      </c>
      <c r="I21" s="177">
        <f>SUM(I5:I8,I11:I13)</f>
        <v>183113923.55400002</v>
      </c>
      <c r="Z21" s="1" t="s">
        <v>380</v>
      </c>
    </row>
    <row r="22" spans="1:31">
      <c r="A22" s="152"/>
      <c r="B22" s="152"/>
      <c r="C22" s="152"/>
      <c r="D22" s="152"/>
      <c r="E22" s="152"/>
      <c r="M22" s="1" t="s">
        <v>234</v>
      </c>
      <c r="Z22" s="1" t="s">
        <v>235</v>
      </c>
      <c r="AA22" s="343" t="s">
        <v>299</v>
      </c>
      <c r="AC22" s="1" t="s">
        <v>237</v>
      </c>
      <c r="AD22" s="343" t="s">
        <v>298</v>
      </c>
    </row>
    <row r="23" spans="1:31" ht="53.4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  <c r="O23" s="344" t="str">
        <f>AA22&amp;" Billed Schedule 75 Revenue"</f>
        <v>October Billed Schedule 75 Revenue</v>
      </c>
      <c r="P23" s="344" t="str">
        <f>AA22&amp;" Billed kWhs"</f>
        <v>October Billed kWhs</v>
      </c>
      <c r="Q23" s="344" t="str">
        <f>AA22&amp;" Unbilled kWhs"</f>
        <v>October Unbilled kWhs</v>
      </c>
      <c r="R23" s="344" t="s">
        <v>238</v>
      </c>
      <c r="S23" s="344" t="s">
        <v>239</v>
      </c>
      <c r="T23" s="344" t="str">
        <f>AD22&amp;" Unbilled kWhs reversal"</f>
        <v>September Unbilled kWhs reversal</v>
      </c>
      <c r="U23" s="344" t="s">
        <v>238</v>
      </c>
      <c r="V23" s="344" t="str">
        <f>AD22&amp;" Schedule 75 Unbilled Reversal"</f>
        <v>September Schedule 75 Unbilled Reversal</v>
      </c>
      <c r="X23" s="344" t="str">
        <f>"Total "&amp;AA22&amp;" Schedule 75 Revenue"</f>
        <v>Total October Schedule 75 Revenue</v>
      </c>
      <c r="Z23" s="344" t="str">
        <f>"Calendar "&amp;AA22&amp;" Usage"</f>
        <v>Calendar October Usage</v>
      </c>
      <c r="AA23" s="344" t="str">
        <f>R23</f>
        <v>11/1/2017 rate</v>
      </c>
      <c r="AB23" s="344" t="s">
        <v>240</v>
      </c>
      <c r="AC23" s="344" t="s">
        <v>241</v>
      </c>
      <c r="AD23" s="344" t="str">
        <f>"implied "&amp;AD22&amp;" unbilled/Cancel-Rebill True-up kWhs"</f>
        <v>implied September unbilled/Cancel-Rebill True-up kWhs</v>
      </c>
    </row>
    <row r="24" spans="1:31">
      <c r="A24" s="180" t="s">
        <v>131</v>
      </c>
      <c r="B24" s="152"/>
      <c r="C24" s="181">
        <v>2013336.5</v>
      </c>
      <c r="D24" s="181">
        <v>13670236.380000001</v>
      </c>
      <c r="E24" s="183">
        <v>-7160987</v>
      </c>
      <c r="F24" s="183">
        <v>8032789</v>
      </c>
      <c r="G24" s="174">
        <f>SUM(D24:F24)</f>
        <v>14542038.380000001</v>
      </c>
      <c r="H24" s="174">
        <f>-K62</f>
        <v>-86120.349920000008</v>
      </c>
      <c r="I24" s="174">
        <f>SUM(G24:H24)</f>
        <v>14455918.03008</v>
      </c>
      <c r="M24" s="1" t="s">
        <v>242</v>
      </c>
      <c r="O24" s="368">
        <v>663614.48</v>
      </c>
      <c r="P24" s="345">
        <f t="shared" ref="P24:P29" si="4">E3</f>
        <v>149120500.433</v>
      </c>
      <c r="Q24" s="345">
        <f t="shared" ref="Q24:Q29" si="5">G3</f>
        <v>82163972</v>
      </c>
      <c r="R24" s="346">
        <v>4.45E-3</v>
      </c>
      <c r="S24" s="347">
        <f>Q24*R24</f>
        <v>365629.67540000001</v>
      </c>
      <c r="T24" s="345">
        <f t="shared" ref="T24:T29" si="6">F3</f>
        <v>-71433400</v>
      </c>
      <c r="U24" s="346">
        <v>4.45E-3</v>
      </c>
      <c r="V24" s="348">
        <f>T24*U24</f>
        <v>-317878.63</v>
      </c>
      <c r="X24" s="349">
        <f>O24+S24+V24</f>
        <v>711365.52540000004</v>
      </c>
      <c r="Z24" s="350">
        <f>P24+Q24+T24</f>
        <v>159851072.433</v>
      </c>
      <c r="AA24" s="194">
        <f>R24</f>
        <v>4.45E-3</v>
      </c>
      <c r="AB24" s="283">
        <f>Z24*AA24</f>
        <v>711337.27232684998</v>
      </c>
      <c r="AC24" s="349">
        <f>X24-AB24</f>
        <v>28.253073150059208</v>
      </c>
      <c r="AD24" s="350">
        <f>AC24/AA24</f>
        <v>6349.0052022604959</v>
      </c>
      <c r="AE24" s="351">
        <f>AC24/X24</f>
        <v>3.9716674678847469E-5</v>
      </c>
    </row>
    <row r="25" spans="1:31">
      <c r="A25" s="180" t="s">
        <v>178</v>
      </c>
      <c r="B25" s="152"/>
      <c r="C25" s="181">
        <v>3662.5</v>
      </c>
      <c r="D25" s="181">
        <v>26476.3</v>
      </c>
      <c r="E25" s="183">
        <v>-8415</v>
      </c>
      <c r="F25" s="183">
        <v>10512</v>
      </c>
      <c r="G25" s="174">
        <f t="shared" ref="G25:G33" si="7">SUM(D25:F25)</f>
        <v>28573.3</v>
      </c>
      <c r="H25" s="174">
        <f t="shared" ref="H25:H30" si="8">-K63</f>
        <v>978.70923000000005</v>
      </c>
      <c r="I25" s="174">
        <f t="shared" ref="I25:I34" si="9">SUM(G25:H25)</f>
        <v>29552.00923</v>
      </c>
      <c r="M25" s="1" t="s">
        <v>243</v>
      </c>
      <c r="O25" s="368">
        <v>1299.9000000000001</v>
      </c>
      <c r="P25" s="345">
        <f t="shared" si="4"/>
        <v>292086.625</v>
      </c>
      <c r="Q25" s="345">
        <f t="shared" si="5"/>
        <v>160938</v>
      </c>
      <c r="R25" s="346">
        <v>4.45E-3</v>
      </c>
      <c r="S25" s="347">
        <f>Q25*R25</f>
        <v>716.17409999999995</v>
      </c>
      <c r="T25" s="345">
        <f t="shared" si="6"/>
        <v>-119949</v>
      </c>
      <c r="U25" s="346">
        <v>4.45E-3</v>
      </c>
      <c r="V25" s="348">
        <f t="shared" ref="V25:V32" si="10">T25*U25</f>
        <v>-533.77305000000001</v>
      </c>
      <c r="X25" s="349">
        <f t="shared" ref="X25:X32" si="11">O25+S25+V25</f>
        <v>1482.30105</v>
      </c>
      <c r="Z25" s="350">
        <f t="shared" ref="Z25:Z32" si="12">P25+Q25+T25</f>
        <v>333075.625</v>
      </c>
      <c r="AA25" s="194">
        <f t="shared" ref="AA25:AA32" si="13">R25</f>
        <v>4.45E-3</v>
      </c>
      <c r="AB25" s="283">
        <f t="shared" ref="AB25:AB32" si="14">Z25*AA25</f>
        <v>1482.1865312499999</v>
      </c>
      <c r="AC25" s="349">
        <f t="shared" ref="AC25:AC32" si="15">X25-AB25</f>
        <v>0.11451875000011569</v>
      </c>
      <c r="AD25" s="350">
        <f t="shared" ref="AD25:AD32" si="16">AC25/AA25</f>
        <v>25.734550561823749</v>
      </c>
      <c r="AE25" s="351">
        <f t="shared" ref="AE25:AE33" si="17">AC25/X25</f>
        <v>7.7257416771117911E-5</v>
      </c>
    </row>
    <row r="26" spans="1:31">
      <c r="A26" s="180" t="s">
        <v>132</v>
      </c>
      <c r="B26" s="152"/>
      <c r="C26" s="181">
        <v>476228.03</v>
      </c>
      <c r="D26" s="181">
        <v>5066508.05</v>
      </c>
      <c r="E26" s="183">
        <v>-2301471</v>
      </c>
      <c r="F26" s="183">
        <v>2767968</v>
      </c>
      <c r="G26" s="174">
        <f t="shared" si="7"/>
        <v>5533005.0499999998</v>
      </c>
      <c r="H26" s="174">
        <f t="shared" si="8"/>
        <v>-24608.075950000006</v>
      </c>
      <c r="I26" s="174">
        <f t="shared" si="9"/>
        <v>5508396.9740499994</v>
      </c>
      <c r="M26" s="1" t="s">
        <v>244</v>
      </c>
      <c r="O26" s="368">
        <v>16703.509999999998</v>
      </c>
      <c r="P26" s="345">
        <f t="shared" si="4"/>
        <v>41762126.43</v>
      </c>
      <c r="Q26" s="345">
        <f t="shared" si="5"/>
        <v>22887083</v>
      </c>
      <c r="R26" s="352">
        <v>4.0000000000000002E-4</v>
      </c>
      <c r="S26" s="347">
        <f>Q26*R26</f>
        <v>9154.8332000000009</v>
      </c>
      <c r="T26" s="345">
        <f t="shared" si="6"/>
        <v>-19139293</v>
      </c>
      <c r="U26" s="352">
        <v>4.0000000000000002E-4</v>
      </c>
      <c r="V26" s="348">
        <f t="shared" si="10"/>
        <v>-7655.7172</v>
      </c>
      <c r="X26" s="349">
        <f t="shared" si="11"/>
        <v>18202.626</v>
      </c>
      <c r="Z26" s="350">
        <f t="shared" si="12"/>
        <v>45509916.43</v>
      </c>
      <c r="AA26" s="353">
        <f t="shared" si="13"/>
        <v>4.0000000000000002E-4</v>
      </c>
      <c r="AB26" s="283">
        <f t="shared" si="14"/>
        <v>18203.966572000001</v>
      </c>
      <c r="AC26" s="349">
        <f t="shared" si="15"/>
        <v>-1.3405720000009751</v>
      </c>
      <c r="AD26" s="350">
        <f t="shared" si="16"/>
        <v>-3351.4300000024377</v>
      </c>
      <c r="AE26" s="351">
        <f t="shared" si="17"/>
        <v>-7.3647175962466909E-5</v>
      </c>
    </row>
    <row r="27" spans="1:31">
      <c r="A27" s="180" t="s">
        <v>133</v>
      </c>
      <c r="B27" s="152"/>
      <c r="C27" s="181">
        <v>195797.76000000001</v>
      </c>
      <c r="D27" s="181">
        <v>627726.36</v>
      </c>
      <c r="E27" s="183">
        <v>-295992</v>
      </c>
      <c r="F27" s="183">
        <v>353185</v>
      </c>
      <c r="G27" s="174">
        <f t="shared" si="7"/>
        <v>684919.36</v>
      </c>
      <c r="H27" s="174">
        <f t="shared" si="8"/>
        <v>-2403.4273600000001</v>
      </c>
      <c r="I27" s="174">
        <f t="shared" si="9"/>
        <v>682515.93264000001</v>
      </c>
      <c r="M27" s="1" t="s">
        <v>245</v>
      </c>
      <c r="O27" s="368">
        <v>1550.88</v>
      </c>
      <c r="P27" s="345">
        <f t="shared" si="4"/>
        <v>3879774.2489999998</v>
      </c>
      <c r="Q27" s="345">
        <f t="shared" si="5"/>
        <v>2137728</v>
      </c>
      <c r="R27" s="352">
        <v>4.0000000000000002E-4</v>
      </c>
      <c r="S27" s="347">
        <f t="shared" ref="S27:S32" si="18">Q27*R27</f>
        <v>855.09120000000007</v>
      </c>
      <c r="T27" s="345">
        <f t="shared" si="6"/>
        <v>-1707404</v>
      </c>
      <c r="U27" s="352">
        <v>4.0000000000000002E-4</v>
      </c>
      <c r="V27" s="348">
        <f t="shared" si="10"/>
        <v>-682.96160000000009</v>
      </c>
      <c r="X27" s="349">
        <f t="shared" si="11"/>
        <v>1723.0095999999999</v>
      </c>
      <c r="Z27" s="350">
        <f t="shared" si="12"/>
        <v>4310098.2489999998</v>
      </c>
      <c r="AA27" s="353">
        <f t="shared" si="13"/>
        <v>4.0000000000000002E-4</v>
      </c>
      <c r="AB27" s="283">
        <f t="shared" si="14"/>
        <v>1724.0392996</v>
      </c>
      <c r="AC27" s="349">
        <f t="shared" si="15"/>
        <v>-1.0296996000001855</v>
      </c>
      <c r="AD27" s="350">
        <f t="shared" si="16"/>
        <v>-2574.2490000004636</v>
      </c>
      <c r="AE27" s="351">
        <f t="shared" si="17"/>
        <v>-5.9761686760200611E-4</v>
      </c>
    </row>
    <row r="28" spans="1:31">
      <c r="A28" s="180" t="s">
        <v>134</v>
      </c>
      <c r="B28" s="152"/>
      <c r="C28" s="181">
        <v>950373.3</v>
      </c>
      <c r="D28" s="181">
        <v>10076291.74</v>
      </c>
      <c r="E28" s="183">
        <v>-4029997</v>
      </c>
      <c r="F28" s="183">
        <v>4942171</v>
      </c>
      <c r="G28" s="174">
        <f t="shared" si="7"/>
        <v>10988465.74</v>
      </c>
      <c r="H28" s="174">
        <f t="shared" si="8"/>
        <v>-56007.563920000001</v>
      </c>
      <c r="I28" s="174">
        <f t="shared" si="9"/>
        <v>10932458.17608</v>
      </c>
      <c r="M28" s="1" t="s">
        <v>246</v>
      </c>
      <c r="O28" s="368">
        <v>43266.45</v>
      </c>
      <c r="P28" s="345">
        <f t="shared" si="4"/>
        <v>108166165.94400001</v>
      </c>
      <c r="Q28" s="345">
        <f t="shared" si="5"/>
        <v>59213692</v>
      </c>
      <c r="R28" s="352">
        <v>4.0000000000000002E-4</v>
      </c>
      <c r="S28" s="347">
        <f t="shared" si="18"/>
        <v>23685.4768</v>
      </c>
      <c r="T28" s="345">
        <f t="shared" si="6"/>
        <v>-47703446</v>
      </c>
      <c r="U28" s="352">
        <v>4.0000000000000002E-4</v>
      </c>
      <c r="V28" s="348">
        <f t="shared" si="10"/>
        <v>-19081.378400000001</v>
      </c>
      <c r="X28" s="349">
        <f t="shared" si="11"/>
        <v>47870.5484</v>
      </c>
      <c r="Z28" s="350">
        <f t="shared" si="12"/>
        <v>119676411.94400001</v>
      </c>
      <c r="AA28" s="353">
        <f t="shared" si="13"/>
        <v>4.0000000000000002E-4</v>
      </c>
      <c r="AB28" s="283">
        <f t="shared" si="14"/>
        <v>47870.564777600004</v>
      </c>
      <c r="AC28" s="349">
        <f t="shared" si="15"/>
        <v>-1.6377600004489068E-2</v>
      </c>
      <c r="AD28" s="350">
        <f t="shared" si="16"/>
        <v>-40.94400001122267</v>
      </c>
      <c r="AE28" s="351">
        <f t="shared" si="17"/>
        <v>-3.4212267358293035E-7</v>
      </c>
    </row>
    <row r="29" spans="1:31">
      <c r="A29" s="180" t="s">
        <v>135</v>
      </c>
      <c r="B29" s="152"/>
      <c r="C29" s="181">
        <v>24700</v>
      </c>
      <c r="D29" s="181">
        <v>211555.02</v>
      </c>
      <c r="E29" s="183">
        <v>-92924</v>
      </c>
      <c r="F29" s="183">
        <v>107570</v>
      </c>
      <c r="G29" s="174">
        <f t="shared" si="7"/>
        <v>226201.02</v>
      </c>
      <c r="H29" s="174">
        <f t="shared" si="8"/>
        <v>-793.85495999999966</v>
      </c>
      <c r="I29" s="174">
        <f t="shared" si="9"/>
        <v>225407.16503999999</v>
      </c>
      <c r="M29" s="1" t="s">
        <v>247</v>
      </c>
      <c r="O29" s="368">
        <v>912.81</v>
      </c>
      <c r="P29" s="345">
        <f t="shared" si="4"/>
        <v>2282010</v>
      </c>
      <c r="Q29" s="345">
        <f t="shared" si="5"/>
        <v>1257371</v>
      </c>
      <c r="R29" s="352">
        <v>4.0000000000000002E-4</v>
      </c>
      <c r="S29" s="347">
        <f t="shared" si="18"/>
        <v>502.94840000000005</v>
      </c>
      <c r="T29" s="345">
        <f t="shared" si="6"/>
        <v>-1069536</v>
      </c>
      <c r="U29" s="352">
        <v>4.0000000000000002E-4</v>
      </c>
      <c r="V29" s="348">
        <f t="shared" si="10"/>
        <v>-427.81440000000003</v>
      </c>
      <c r="X29" s="349">
        <f t="shared" si="11"/>
        <v>987.94399999999996</v>
      </c>
      <c r="Z29" s="350">
        <f t="shared" si="12"/>
        <v>2469845</v>
      </c>
      <c r="AA29" s="353">
        <f t="shared" si="13"/>
        <v>4.0000000000000002E-4</v>
      </c>
      <c r="AB29" s="283">
        <f t="shared" si="14"/>
        <v>987.9380000000001</v>
      </c>
      <c r="AC29" s="349">
        <f t="shared" si="15"/>
        <v>5.9999999998581188E-3</v>
      </c>
      <c r="AD29" s="350">
        <f t="shared" si="16"/>
        <v>14.999999999645297</v>
      </c>
      <c r="AE29" s="351">
        <f t="shared" si="17"/>
        <v>6.0732187248043606E-6</v>
      </c>
    </row>
    <row r="30" spans="1:31">
      <c r="A30" s="180" t="s">
        <v>136</v>
      </c>
      <c r="B30" s="152"/>
      <c r="C30" s="181">
        <v>552000</v>
      </c>
      <c r="D30" s="181">
        <f>5502132.06-84225.37</f>
        <v>5417906.6899999995</v>
      </c>
      <c r="E30" s="183">
        <v>-5790051</v>
      </c>
      <c r="F30" s="183">
        <v>6000627</v>
      </c>
      <c r="G30" s="174">
        <f t="shared" si="7"/>
        <v>5628482.6899999995</v>
      </c>
      <c r="H30" s="174">
        <f t="shared" si="8"/>
        <v>-16997.854230000004</v>
      </c>
      <c r="I30" s="174">
        <f t="shared" si="9"/>
        <v>5611484.8357699998</v>
      </c>
      <c r="J30" s="283"/>
      <c r="M30" s="1" t="s">
        <v>248</v>
      </c>
      <c r="O30" s="368">
        <v>1192.97</v>
      </c>
      <c r="P30" s="345">
        <f>E11</f>
        <v>2982402.3650000002</v>
      </c>
      <c r="Q30" s="345">
        <f>G11</f>
        <v>0</v>
      </c>
      <c r="R30" s="352">
        <v>4.0000000000000002E-4</v>
      </c>
      <c r="S30" s="347">
        <f t="shared" si="18"/>
        <v>0</v>
      </c>
      <c r="T30" s="345">
        <f>F11</f>
        <v>0</v>
      </c>
      <c r="U30" s="352">
        <v>4.0000000000000002E-4</v>
      </c>
      <c r="V30" s="348">
        <f t="shared" si="10"/>
        <v>0</v>
      </c>
      <c r="X30" s="349">
        <f t="shared" si="11"/>
        <v>1192.97</v>
      </c>
      <c r="Z30" s="350">
        <f t="shared" si="12"/>
        <v>2982402.3650000002</v>
      </c>
      <c r="AA30" s="353">
        <f t="shared" si="13"/>
        <v>4.0000000000000002E-4</v>
      </c>
      <c r="AB30" s="283">
        <f t="shared" si="14"/>
        <v>1192.9609460000001</v>
      </c>
      <c r="AC30" s="349">
        <f t="shared" si="15"/>
        <v>9.053999999878215E-3</v>
      </c>
      <c r="AD30" s="350">
        <f t="shared" si="16"/>
        <v>22.634999999695538</v>
      </c>
      <c r="AE30" s="351">
        <f t="shared" si="17"/>
        <v>7.5894615957469294E-6</v>
      </c>
    </row>
    <row r="31" spans="1:31">
      <c r="A31" s="180" t="s">
        <v>180</v>
      </c>
      <c r="B31" s="152"/>
      <c r="C31" s="181">
        <v>1040</v>
      </c>
      <c r="D31" s="181">
        <v>207899.29</v>
      </c>
      <c r="E31" s="183">
        <v>0</v>
      </c>
      <c r="F31" s="183">
        <v>0</v>
      </c>
      <c r="G31" s="174">
        <f t="shared" si="7"/>
        <v>207899.29</v>
      </c>
      <c r="H31" s="174">
        <f>-K69</f>
        <v>0</v>
      </c>
      <c r="I31" s="174">
        <f t="shared" si="9"/>
        <v>207899.29</v>
      </c>
      <c r="M31" s="1" t="s">
        <v>249</v>
      </c>
      <c r="O31" s="368">
        <v>3731.88</v>
      </c>
      <c r="P31" s="345">
        <f>E12</f>
        <v>9329693.4230000004</v>
      </c>
      <c r="Q31" s="345">
        <f>G12</f>
        <v>4288578</v>
      </c>
      <c r="R31" s="352">
        <v>4.0000000000000002E-4</v>
      </c>
      <c r="S31" s="347">
        <f t="shared" si="18"/>
        <v>1715.4312</v>
      </c>
      <c r="T31" s="345">
        <f>F12</f>
        <v>-5938288</v>
      </c>
      <c r="U31" s="352">
        <v>4.0000000000000002E-4</v>
      </c>
      <c r="V31" s="348">
        <f t="shared" si="10"/>
        <v>-2375.3152</v>
      </c>
      <c r="X31" s="349">
        <f>O31+S31+V31</f>
        <v>3071.9960000000001</v>
      </c>
      <c r="Z31" s="350">
        <f t="shared" si="12"/>
        <v>7679983.4230000004</v>
      </c>
      <c r="AA31" s="353">
        <f t="shared" si="13"/>
        <v>4.0000000000000002E-4</v>
      </c>
      <c r="AB31" s="283">
        <f t="shared" si="14"/>
        <v>3071.9933692000004</v>
      </c>
      <c r="AC31" s="349">
        <f t="shared" si="15"/>
        <v>2.6307999996788567E-3</v>
      </c>
      <c r="AD31" s="350">
        <f t="shared" si="16"/>
        <v>6.5769999991971417</v>
      </c>
      <c r="AE31" s="351">
        <f t="shared" si="17"/>
        <v>8.5638132330864248E-7</v>
      </c>
    </row>
    <row r="32" spans="1:31">
      <c r="A32" s="180" t="s">
        <v>137</v>
      </c>
      <c r="B32" s="152"/>
      <c r="C32" s="181">
        <v>24740</v>
      </c>
      <c r="D32" s="181">
        <v>789358.41</v>
      </c>
      <c r="E32" s="183">
        <v>-355569</v>
      </c>
      <c r="F32" s="183">
        <v>263201</v>
      </c>
      <c r="G32" s="174">
        <f t="shared" si="7"/>
        <v>696990.41</v>
      </c>
      <c r="H32" s="174">
        <f>-K70</f>
        <v>6245.8621799999992</v>
      </c>
      <c r="I32" s="174">
        <f t="shared" si="9"/>
        <v>703236.27218000009</v>
      </c>
      <c r="M32" s="1" t="s">
        <v>250</v>
      </c>
      <c r="O32" s="368">
        <v>250.85</v>
      </c>
      <c r="P32" s="345">
        <f>E13</f>
        <v>627608.14300000004</v>
      </c>
      <c r="Q32" s="345">
        <f>G13</f>
        <v>231486</v>
      </c>
      <c r="R32" s="352">
        <v>4.0000000000000002E-4</v>
      </c>
      <c r="S32" s="347">
        <f t="shared" si="18"/>
        <v>92.594400000000007</v>
      </c>
      <c r="T32" s="345">
        <f>F13</f>
        <v>-373828</v>
      </c>
      <c r="U32" s="352">
        <v>4.0000000000000002E-4</v>
      </c>
      <c r="V32" s="348">
        <f t="shared" si="10"/>
        <v>-149.53120000000001</v>
      </c>
      <c r="X32" s="349">
        <f t="shared" si="11"/>
        <v>193.91319999999996</v>
      </c>
      <c r="Z32" s="350">
        <f t="shared" si="12"/>
        <v>485266.14300000004</v>
      </c>
      <c r="AA32" s="353">
        <f t="shared" si="13"/>
        <v>4.0000000000000002E-4</v>
      </c>
      <c r="AB32" s="283">
        <f t="shared" si="14"/>
        <v>194.10645720000002</v>
      </c>
      <c r="AC32" s="349">
        <f t="shared" si="15"/>
        <v>-0.19325720000006186</v>
      </c>
      <c r="AD32" s="350">
        <f t="shared" si="16"/>
        <v>-483.14300000015464</v>
      </c>
      <c r="AE32" s="351">
        <f t="shared" si="17"/>
        <v>-9.966170430897015E-4</v>
      </c>
    </row>
    <row r="33" spans="1:31">
      <c r="A33" s="180" t="s">
        <v>138</v>
      </c>
      <c r="B33" s="152"/>
      <c r="C33" s="181">
        <v>24680</v>
      </c>
      <c r="D33" s="181">
        <v>79943.350000000006</v>
      </c>
      <c r="E33" s="183">
        <v>-42268</v>
      </c>
      <c r="F33" s="183">
        <v>32250</v>
      </c>
      <c r="G33" s="174">
        <f t="shared" si="7"/>
        <v>69925.350000000006</v>
      </c>
      <c r="H33" s="174">
        <f>-K71</f>
        <v>436.08407999999997</v>
      </c>
      <c r="I33" s="174">
        <f t="shared" si="9"/>
        <v>70361.434080000006</v>
      </c>
      <c r="O33" s="193">
        <f>SUM(O24:O32)</f>
        <v>732523.73</v>
      </c>
      <c r="P33" s="354">
        <f>SUM(P24:P32)</f>
        <v>318442367.61199999</v>
      </c>
      <c r="Q33" s="354">
        <f>SUM(Q24:Q32)</f>
        <v>172340848</v>
      </c>
      <c r="S33" s="193">
        <f>SUM(S24:S32)</f>
        <v>402352.22470000002</v>
      </c>
      <c r="T33" s="354">
        <f>SUM(T24:T32)</f>
        <v>-147485144</v>
      </c>
      <c r="V33" s="193">
        <f>SUM(V24:V32)</f>
        <v>-348785.12105000002</v>
      </c>
      <c r="X33" s="193">
        <f>SUM(X24:X32)</f>
        <v>786090.83365000004</v>
      </c>
      <c r="Z33" s="354">
        <f>SUM(Z24:Z32)</f>
        <v>343298071.61199999</v>
      </c>
      <c r="AB33" s="354">
        <f>SUM(AB24:AB32)</f>
        <v>786065.02827969985</v>
      </c>
      <c r="AC33" s="193">
        <f>SUM(AC24:AC32)</f>
        <v>25.805370300053028</v>
      </c>
      <c r="AD33" s="354">
        <f>SUM(AD24:AD32)</f>
        <v>-30.81424719342067</v>
      </c>
      <c r="AE33" s="351">
        <f t="shared" si="17"/>
        <v>3.2827466235972724E-5</v>
      </c>
    </row>
    <row r="34" spans="1:31">
      <c r="A34" s="180" t="s">
        <v>192</v>
      </c>
      <c r="B34" s="152"/>
      <c r="C34" s="174"/>
      <c r="D34" s="181">
        <v>560501.27</v>
      </c>
      <c r="E34" s="181"/>
      <c r="F34" s="181"/>
      <c r="G34" s="174">
        <f>SUM(D34:F34)</f>
        <v>560501.27</v>
      </c>
      <c r="H34" s="174"/>
      <c r="I34" s="174">
        <f t="shared" si="9"/>
        <v>560501.27</v>
      </c>
      <c r="U34" s="355"/>
    </row>
    <row r="35" spans="1:31">
      <c r="A35" s="180" t="s">
        <v>193</v>
      </c>
      <c r="B35" s="152"/>
      <c r="C35" s="194"/>
      <c r="D35" s="181">
        <v>2086704.03</v>
      </c>
      <c r="E35" s="181"/>
      <c r="F35" s="181"/>
      <c r="G35" s="174"/>
      <c r="H35" s="174"/>
      <c r="I35" s="174"/>
      <c r="U35" s="355" t="s">
        <v>251</v>
      </c>
      <c r="V35" s="1" t="s">
        <v>252</v>
      </c>
      <c r="X35" s="194">
        <v>0.95332300000000003</v>
      </c>
      <c r="AA35" s="1" t="s">
        <v>253</v>
      </c>
      <c r="AB35" s="1" t="s">
        <v>254</v>
      </c>
      <c r="AD35" s="1" t="s">
        <v>255</v>
      </c>
    </row>
    <row r="36" spans="1:31">
      <c r="A36" s="180" t="s">
        <v>194</v>
      </c>
      <c r="B36" s="152"/>
      <c r="C36" s="194"/>
      <c r="D36" s="181">
        <v>1446917.46</v>
      </c>
      <c r="E36" s="181"/>
      <c r="F36" s="181"/>
      <c r="G36" s="174"/>
      <c r="H36" s="174"/>
      <c r="I36" s="174"/>
      <c r="T36" s="1" t="s">
        <v>142</v>
      </c>
      <c r="U36" s="1" t="s">
        <v>256</v>
      </c>
      <c r="X36" s="356">
        <f>(X24+X25)*X35</f>
        <v>679574.22845479345</v>
      </c>
      <c r="Z36" s="1" t="s">
        <v>19</v>
      </c>
      <c r="AA36" s="189">
        <f>P24+P25+Q24+Q25+T24+T25</f>
        <v>160184148.058</v>
      </c>
      <c r="AB36" s="194">
        <v>4.2399999999999998E-3</v>
      </c>
      <c r="AC36" s="349">
        <f>AA36*AB36</f>
        <v>679180.78776591993</v>
      </c>
      <c r="AD36" s="349">
        <f>X36-AC36</f>
        <v>393.44068887352478</v>
      </c>
      <c r="AE36" s="351">
        <f>AD36/X36</f>
        <v>5.7895175008052446E-4</v>
      </c>
    </row>
    <row r="37" spans="1:31">
      <c r="A37" s="152"/>
      <c r="B37" s="152"/>
      <c r="C37" s="166">
        <f t="shared" ref="C37:I37" si="19">SUM(C24:C36)</f>
        <v>4266558.09</v>
      </c>
      <c r="D37" s="166">
        <f t="shared" si="19"/>
        <v>40268024.350000001</v>
      </c>
      <c r="E37" s="166">
        <f t="shared" si="19"/>
        <v>-20077674</v>
      </c>
      <c r="F37" s="166">
        <f t="shared" si="19"/>
        <v>22510273</v>
      </c>
      <c r="G37" s="166">
        <f t="shared" si="19"/>
        <v>39167001.859999999</v>
      </c>
      <c r="H37" s="166">
        <f t="shared" si="19"/>
        <v>-179270.47085000001</v>
      </c>
      <c r="I37" s="166">
        <f t="shared" si="19"/>
        <v>38987731.389150001</v>
      </c>
      <c r="T37" s="1" t="s">
        <v>142</v>
      </c>
      <c r="U37" s="1" t="s">
        <v>257</v>
      </c>
      <c r="X37" s="356">
        <f>SUM(X26:X32)*X35</f>
        <v>69824.243352925609</v>
      </c>
      <c r="Z37" s="1" t="s">
        <v>184</v>
      </c>
      <c r="AA37" s="189">
        <f>SUM(P26:Q32,T26:T32)</f>
        <v>183113923.55400005</v>
      </c>
      <c r="AB37" s="194">
        <v>3.8000000000000002E-4</v>
      </c>
      <c r="AC37" s="349">
        <f>AA37*AB37</f>
        <v>69583.290950520022</v>
      </c>
      <c r="AD37" s="349">
        <f>X37-AC37</f>
        <v>240.95240240558633</v>
      </c>
      <c r="AE37" s="351">
        <f>AD37/X37</f>
        <v>3.4508415821664683E-3</v>
      </c>
    </row>
    <row r="38" spans="1:31" ht="14.4" thickBot="1">
      <c r="A38" s="152"/>
      <c r="B38" s="152"/>
      <c r="D38" s="167"/>
      <c r="E38" s="152"/>
      <c r="F38" s="152"/>
      <c r="Z38" s="1" t="s">
        <v>236</v>
      </c>
    </row>
    <row r="39" spans="1:31">
      <c r="A39" s="152" t="s">
        <v>19</v>
      </c>
      <c r="B39" s="152"/>
      <c r="C39" s="169">
        <f t="shared" ref="C39:I39" si="20">C24+C25</f>
        <v>2016999</v>
      </c>
      <c r="D39" s="168">
        <f t="shared" si="20"/>
        <v>13696712.680000002</v>
      </c>
      <c r="E39" s="168">
        <f t="shared" si="20"/>
        <v>-7169402</v>
      </c>
      <c r="F39" s="168">
        <f t="shared" si="20"/>
        <v>8043301</v>
      </c>
      <c r="G39" s="168">
        <f t="shared" si="20"/>
        <v>14570611.680000002</v>
      </c>
      <c r="H39" s="168">
        <f t="shared" si="20"/>
        <v>-85141.640690000015</v>
      </c>
      <c r="I39" s="169">
        <f t="shared" si="20"/>
        <v>14485470.039310001</v>
      </c>
    </row>
    <row r="40" spans="1:31" ht="6" customHeight="1">
      <c r="A40" s="152"/>
      <c r="B40" s="152"/>
      <c r="C40" s="173"/>
      <c r="D40" s="168"/>
      <c r="E40" s="152"/>
      <c r="F40" s="152"/>
      <c r="I40" s="190"/>
    </row>
    <row r="41" spans="1:31" ht="14.4" thickBot="1">
      <c r="A41" s="152" t="s">
        <v>184</v>
      </c>
      <c r="B41" s="152"/>
      <c r="C41" s="175">
        <f>SUM(C26:C29,C31:C33)</f>
        <v>1697559.09</v>
      </c>
      <c r="D41" s="176">
        <f t="shared" ref="D41:I41" si="21">SUM(D26:D29,D31:D33)</f>
        <v>17059282.219999999</v>
      </c>
      <c r="E41" s="176">
        <f t="shared" si="21"/>
        <v>-7118221</v>
      </c>
      <c r="F41" s="176">
        <f t="shared" si="21"/>
        <v>8466345</v>
      </c>
      <c r="G41" s="176">
        <f t="shared" si="21"/>
        <v>18407406.219999999</v>
      </c>
      <c r="H41" s="176">
        <f t="shared" si="21"/>
        <v>-77130.975930000015</v>
      </c>
      <c r="I41" s="175">
        <f t="shared" si="21"/>
        <v>18330275.244069997</v>
      </c>
    </row>
    <row r="42" spans="1:3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31">
      <c r="C43" s="191">
        <v>43040</v>
      </c>
      <c r="D43" s="191">
        <v>43252</v>
      </c>
      <c r="E43" s="196">
        <v>43040</v>
      </c>
      <c r="F43" s="192">
        <v>42278</v>
      </c>
      <c r="G43" s="191">
        <v>43344</v>
      </c>
      <c r="H43" s="191">
        <v>43009</v>
      </c>
      <c r="I43" s="191">
        <v>43374</v>
      </c>
      <c r="J43" s="191">
        <v>43282</v>
      </c>
      <c r="K43" s="191"/>
      <c r="L43" s="196"/>
      <c r="M43" s="1" t="s">
        <v>377</v>
      </c>
    </row>
    <row r="44" spans="1:31" ht="39.6">
      <c r="A44" s="179" t="s">
        <v>195</v>
      </c>
      <c r="B44" s="154"/>
      <c r="C44" s="165" t="s">
        <v>196</v>
      </c>
      <c r="D44" s="165" t="s">
        <v>312</v>
      </c>
      <c r="E44" s="165" t="s">
        <v>213</v>
      </c>
      <c r="F44" s="165" t="s">
        <v>197</v>
      </c>
      <c r="G44" s="165" t="s">
        <v>198</v>
      </c>
      <c r="H44" s="165" t="s">
        <v>199</v>
      </c>
      <c r="I44" s="165" t="s">
        <v>199</v>
      </c>
      <c r="J44" s="165" t="s">
        <v>201</v>
      </c>
      <c r="K44" s="165"/>
      <c r="M44" s="211" t="s">
        <v>376</v>
      </c>
      <c r="N44" s="194"/>
    </row>
    <row r="45" spans="1:31">
      <c r="A45" s="180" t="s">
        <v>131</v>
      </c>
      <c r="B45" s="152"/>
      <c r="C45" s="171">
        <v>-8.0999999999999996E-4</v>
      </c>
      <c r="D45" s="171">
        <v>-1.42E-3</v>
      </c>
      <c r="E45" s="171">
        <v>4.45E-3</v>
      </c>
      <c r="F45" s="171"/>
      <c r="G45" s="171">
        <v>4.3299999999999996E-3</v>
      </c>
      <c r="H45" s="171">
        <v>1.0499999999999999E-3</v>
      </c>
      <c r="I45" s="171">
        <v>1.15E-3</v>
      </c>
      <c r="J45" s="171">
        <v>-3.4000000000000002E-4</v>
      </c>
      <c r="K45" s="171"/>
      <c r="M45" s="369">
        <f>SUM(C45:G45,J45)*H3+H45*F3+I45*G3</f>
        <v>86120.349920000008</v>
      </c>
      <c r="N45" s="335"/>
    </row>
    <row r="46" spans="1:31">
      <c r="A46" s="180" t="s">
        <v>178</v>
      </c>
      <c r="B46" s="152"/>
      <c r="C46" s="171">
        <v>-8.0999999999999996E-4</v>
      </c>
      <c r="D46" s="171">
        <v>-1.42E-3</v>
      </c>
      <c r="E46" s="171">
        <v>4.45E-3</v>
      </c>
      <c r="F46" s="171">
        <v>-3.1530000000000002E-2</v>
      </c>
      <c r="G46" s="171">
        <v>4.3299999999999996E-3</v>
      </c>
      <c r="H46" s="171">
        <v>1.0499999999999999E-3</v>
      </c>
      <c r="I46" s="171">
        <v>1.15E-3</v>
      </c>
      <c r="J46" s="171">
        <v>-3.4000000000000002E-4</v>
      </c>
      <c r="K46" s="171"/>
      <c r="M46" s="369">
        <f t="shared" ref="M46:M55" si="22">SUM(C46:G46,J46)*H4+H46*F4+I46*G4</f>
        <v>-978.70922999999993</v>
      </c>
      <c r="N46" s="335"/>
    </row>
    <row r="47" spans="1:31">
      <c r="A47" s="180" t="s">
        <v>132</v>
      </c>
      <c r="B47" s="152"/>
      <c r="C47" s="171">
        <v>0</v>
      </c>
      <c r="D47" s="171">
        <v>-1.8799999999999999E-3</v>
      </c>
      <c r="E47" s="171">
        <v>4.0000000000000002E-4</v>
      </c>
      <c r="F47" s="171"/>
      <c r="G47" s="171">
        <v>5.9699999999999996E-3</v>
      </c>
      <c r="H47" s="171">
        <v>1.5200000000000001E-3</v>
      </c>
      <c r="I47" s="171">
        <v>1.67E-3</v>
      </c>
      <c r="J47" s="171">
        <v>-3.6000000000000002E-4</v>
      </c>
      <c r="K47" s="171"/>
      <c r="M47" s="369">
        <f t="shared" si="22"/>
        <v>24608.075949999999</v>
      </c>
      <c r="N47" s="335"/>
    </row>
    <row r="48" spans="1:31">
      <c r="A48" s="180" t="s">
        <v>133</v>
      </c>
      <c r="B48" s="152"/>
      <c r="C48" s="171">
        <v>-8.0999999999999996E-4</v>
      </c>
      <c r="D48" s="171">
        <v>-1.8799999999999999E-3</v>
      </c>
      <c r="E48" s="171">
        <v>4.0000000000000002E-4</v>
      </c>
      <c r="F48" s="171"/>
      <c r="G48" s="171">
        <v>5.9699999999999996E-3</v>
      </c>
      <c r="H48" s="171">
        <v>1.5200000000000001E-3</v>
      </c>
      <c r="I48" s="171">
        <v>1.67E-3</v>
      </c>
      <c r="J48" s="171">
        <v>-3.6000000000000002E-4</v>
      </c>
      <c r="K48" s="171"/>
      <c r="M48" s="369">
        <f t="shared" si="22"/>
        <v>2403.4273599999997</v>
      </c>
      <c r="N48" s="335"/>
    </row>
    <row r="49" spans="1:14" ht="14.4" customHeight="1">
      <c r="A49" s="180" t="s">
        <v>134</v>
      </c>
      <c r="B49" s="152"/>
      <c r="C49" s="171">
        <v>0</v>
      </c>
      <c r="D49" s="171">
        <v>-1.4400000000000001E-3</v>
      </c>
      <c r="E49" s="171">
        <v>4.0000000000000002E-4</v>
      </c>
      <c r="F49" s="171"/>
      <c r="G49" s="171">
        <v>4.5999999999999999E-3</v>
      </c>
      <c r="H49" s="171">
        <v>1.1000000000000001E-3</v>
      </c>
      <c r="I49" s="171">
        <v>1.2099999999999999E-3</v>
      </c>
      <c r="J49" s="171">
        <v>-3.6000000000000002E-4</v>
      </c>
      <c r="K49" s="171"/>
      <c r="M49" s="369">
        <f t="shared" si="22"/>
        <v>56007.563920000001</v>
      </c>
      <c r="N49" s="335"/>
    </row>
    <row r="50" spans="1:14">
      <c r="A50" s="180" t="s">
        <v>135</v>
      </c>
      <c r="B50" s="152"/>
      <c r="C50" s="171">
        <v>-8.0999999999999996E-4</v>
      </c>
      <c r="D50" s="171">
        <v>-1.4400000000000001E-3</v>
      </c>
      <c r="E50" s="171">
        <v>4.0000000000000002E-4</v>
      </c>
      <c r="F50" s="171"/>
      <c r="G50" s="171">
        <v>4.5999999999999999E-3</v>
      </c>
      <c r="H50" s="171">
        <v>1.1000000000000001E-3</v>
      </c>
      <c r="I50" s="171">
        <v>1.2099999999999999E-3</v>
      </c>
      <c r="J50" s="171">
        <v>-3.6000000000000002E-4</v>
      </c>
      <c r="K50" s="171"/>
      <c r="M50" s="369">
        <f t="shared" si="22"/>
        <v>793.85495999999966</v>
      </c>
      <c r="N50" s="335"/>
    </row>
    <row r="51" spans="1:14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/>
      <c r="G51" s="171">
        <v>2.97E-3</v>
      </c>
      <c r="H51" s="171">
        <v>6.8999999999999997E-4</v>
      </c>
      <c r="I51" s="171">
        <v>7.6000000000000004E-4</v>
      </c>
      <c r="J51" s="171">
        <v>-3.5E-4</v>
      </c>
      <c r="K51" s="171"/>
      <c r="M51" s="369">
        <f t="shared" si="22"/>
        <v>16997.854230000004</v>
      </c>
      <c r="N51" s="335"/>
    </row>
    <row r="52" spans="1:14">
      <c r="A52" s="180" t="s">
        <v>179</v>
      </c>
      <c r="B52" s="152"/>
      <c r="C52" s="171">
        <v>0</v>
      </c>
      <c r="D52" s="171">
        <v>0</v>
      </c>
      <c r="E52" s="171">
        <v>0</v>
      </c>
      <c r="F52" s="171"/>
      <c r="G52" s="171">
        <v>2.97E-3</v>
      </c>
      <c r="H52" s="171">
        <v>0</v>
      </c>
      <c r="I52" s="171">
        <v>0</v>
      </c>
      <c r="J52" s="171">
        <v>-3.5E-4</v>
      </c>
      <c r="K52" s="171"/>
      <c r="M52" s="369">
        <f t="shared" si="22"/>
        <v>0</v>
      </c>
      <c r="N52" s="335"/>
    </row>
    <row r="53" spans="1:14">
      <c r="A53" s="180" t="s">
        <v>180</v>
      </c>
      <c r="B53" s="152"/>
      <c r="C53" s="171">
        <v>0</v>
      </c>
      <c r="D53" s="171">
        <v>-1.2999999999999999E-3</v>
      </c>
      <c r="E53" s="171">
        <v>4.0000000000000002E-4</v>
      </c>
      <c r="F53" s="171"/>
      <c r="G53" s="171">
        <v>4.3299999999999996E-3</v>
      </c>
      <c r="H53" s="171">
        <v>9.6000000000000002E-4</v>
      </c>
      <c r="I53" s="171">
        <v>1.0499999999999999E-3</v>
      </c>
      <c r="J53" s="171">
        <v>-3.6999999999999999E-4</v>
      </c>
      <c r="K53" s="171"/>
      <c r="M53" s="369">
        <f t="shared" si="22"/>
        <v>0</v>
      </c>
      <c r="N53" s="335"/>
    </row>
    <row r="54" spans="1:14">
      <c r="A54" s="180" t="s">
        <v>137</v>
      </c>
      <c r="B54" s="152"/>
      <c r="C54" s="171">
        <v>0</v>
      </c>
      <c r="D54" s="171">
        <v>-1.2999999999999999E-3</v>
      </c>
      <c r="E54" s="171">
        <v>4.0000000000000002E-4</v>
      </c>
      <c r="F54" s="171"/>
      <c r="G54" s="171">
        <v>4.3299999999999996E-3</v>
      </c>
      <c r="H54" s="171">
        <v>9.6000000000000002E-4</v>
      </c>
      <c r="I54" s="171">
        <v>1.0499999999999999E-3</v>
      </c>
      <c r="J54" s="171">
        <v>-3.6999999999999999E-4</v>
      </c>
      <c r="K54" s="171"/>
      <c r="M54" s="369">
        <f t="shared" si="22"/>
        <v>-6245.862180000001</v>
      </c>
      <c r="N54" s="335"/>
    </row>
    <row r="55" spans="1:14">
      <c r="A55" s="180" t="s">
        <v>138</v>
      </c>
      <c r="B55" s="152"/>
      <c r="C55" s="171">
        <v>-8.0999999999999996E-4</v>
      </c>
      <c r="D55" s="171">
        <v>-1.2999999999999999E-3</v>
      </c>
      <c r="E55" s="171">
        <v>4.0000000000000002E-4</v>
      </c>
      <c r="F55" s="171"/>
      <c r="G55" s="171">
        <v>4.3299999999999996E-3</v>
      </c>
      <c r="H55" s="171">
        <v>9.6000000000000002E-4</v>
      </c>
      <c r="I55" s="171">
        <v>1.0499999999999999E-3</v>
      </c>
      <c r="J55" s="171">
        <v>-3.6999999999999999E-4</v>
      </c>
      <c r="K55" s="171"/>
      <c r="M55" s="369">
        <f t="shared" si="22"/>
        <v>-436.08407999999997</v>
      </c>
      <c r="N55" s="335"/>
    </row>
    <row r="56" spans="1:14">
      <c r="A56" s="180" t="s">
        <v>192</v>
      </c>
      <c r="B56" s="152"/>
      <c r="C56" s="171">
        <v>0</v>
      </c>
      <c r="D56" s="171">
        <v>0</v>
      </c>
      <c r="E56" s="171">
        <v>0</v>
      </c>
      <c r="F56" s="171"/>
      <c r="G56" s="186">
        <v>1.013E-2</v>
      </c>
      <c r="H56" s="401" t="s">
        <v>214</v>
      </c>
      <c r="I56" s="401" t="s">
        <v>375</v>
      </c>
      <c r="J56" s="186">
        <v>-4.8000000000000001E-4</v>
      </c>
      <c r="K56" s="186"/>
      <c r="M56" s="369"/>
      <c r="N56" s="335"/>
    </row>
    <row r="57" spans="1:14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/>
      <c r="G57" s="186">
        <v>1.013E-2</v>
      </c>
      <c r="H57" s="401"/>
      <c r="I57" s="401"/>
      <c r="J57" s="186">
        <v>-4.8000000000000001E-4</v>
      </c>
      <c r="K57" s="186"/>
      <c r="M57" s="369"/>
      <c r="N57" s="335"/>
    </row>
    <row r="58" spans="1:14">
      <c r="A58" s="180"/>
      <c r="B58" s="152"/>
      <c r="C58" s="171"/>
      <c r="D58" s="171"/>
      <c r="E58" s="171"/>
      <c r="F58" s="171"/>
      <c r="G58" s="186"/>
      <c r="H58" s="342"/>
      <c r="I58" s="171"/>
      <c r="J58" s="186"/>
      <c r="K58" s="171"/>
      <c r="L58" s="212"/>
      <c r="M58" s="369">
        <f>SUM(M45:M57)</f>
        <v>179270.47085000001</v>
      </c>
      <c r="N58" s="194"/>
    </row>
    <row r="59" spans="1:14">
      <c r="A59" s="180"/>
      <c r="B59" s="152"/>
      <c r="C59" s="171"/>
      <c r="D59" s="171"/>
      <c r="E59" s="171"/>
      <c r="F59" s="171"/>
      <c r="G59" s="186"/>
      <c r="H59" s="342"/>
      <c r="I59" s="171"/>
      <c r="J59" s="186"/>
      <c r="K59" s="171"/>
      <c r="L59" s="212"/>
      <c r="M59" s="335"/>
      <c r="N59" s="194"/>
    </row>
    <row r="60" spans="1:14">
      <c r="F60" s="152"/>
      <c r="M60" s="335"/>
      <c r="N60" s="335"/>
    </row>
    <row r="61" spans="1:14" ht="41.4" customHeight="1">
      <c r="A61" s="179" t="s">
        <v>202</v>
      </c>
      <c r="B61" s="154"/>
      <c r="C61" s="172" t="s">
        <v>368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206</v>
      </c>
      <c r="J61" s="172" t="s">
        <v>207</v>
      </c>
      <c r="K61" s="172" t="s">
        <v>208</v>
      </c>
      <c r="N61" s="168"/>
    </row>
    <row r="62" spans="1:14">
      <c r="A62" s="180" t="s">
        <v>131</v>
      </c>
      <c r="C62" s="168">
        <f t="shared" ref="C62:D67" si="23">C45*$H3</f>
        <v>-8691.76332</v>
      </c>
      <c r="D62" s="168">
        <f t="shared" si="23"/>
        <v>-15237.41224</v>
      </c>
      <c r="E62" s="168">
        <f t="shared" ref="E62:E67" si="24">E45*H3</f>
        <v>47751.045400000003</v>
      </c>
      <c r="F62" s="168">
        <f t="shared" ref="F62:F67" si="25">$H3*F45</f>
        <v>0</v>
      </c>
      <c r="G62" s="168">
        <f>(H3*G45)</f>
        <v>46463.376759999999</v>
      </c>
      <c r="H62" s="168">
        <f>($F3*H45)+(I45*G3)</f>
        <v>19483.497800000012</v>
      </c>
      <c r="I62" s="168">
        <v>0</v>
      </c>
      <c r="J62" s="168">
        <f t="shared" ref="J62:J67" si="26">J45*H3</f>
        <v>-3648.3944800000004</v>
      </c>
      <c r="K62" s="168">
        <f>SUM(C62:J62)</f>
        <v>86120.349920000008</v>
      </c>
      <c r="N62" s="168"/>
    </row>
    <row r="63" spans="1:14">
      <c r="A63" s="180" t="s">
        <v>178</v>
      </c>
      <c r="C63" s="168">
        <f t="shared" si="23"/>
        <v>-33.201090000000001</v>
      </c>
      <c r="D63" s="168">
        <f t="shared" si="23"/>
        <v>-58.20438</v>
      </c>
      <c r="E63" s="168">
        <f t="shared" si="24"/>
        <v>182.40105</v>
      </c>
      <c r="F63" s="168">
        <f t="shared" si="25"/>
        <v>-1292.3831700000001</v>
      </c>
      <c r="G63" s="168">
        <f t="shared" ref="G63:G67" si="27">(H4*G46)</f>
        <v>177.48236999999997</v>
      </c>
      <c r="H63" s="168">
        <f t="shared" ref="H63:H67" si="28">($F4*H46)+(I46*G4)</f>
        <v>59.132249999999999</v>
      </c>
      <c r="I63" s="168">
        <v>0</v>
      </c>
      <c r="J63" s="168">
        <f t="shared" si="26"/>
        <v>-13.936260000000001</v>
      </c>
      <c r="K63" s="168">
        <f t="shared" ref="K63:K72" si="29">SUM(C63:J63)</f>
        <v>-978.70923000000005</v>
      </c>
      <c r="N63" s="168"/>
    </row>
    <row r="64" spans="1:14">
      <c r="A64" s="180" t="s">
        <v>132</v>
      </c>
      <c r="C64" s="168">
        <f t="shared" si="23"/>
        <v>0</v>
      </c>
      <c r="D64" s="168">
        <f t="shared" si="23"/>
        <v>-7045.8451999999997</v>
      </c>
      <c r="E64" s="168">
        <f t="shared" si="24"/>
        <v>1499.116</v>
      </c>
      <c r="F64" s="168">
        <f t="shared" si="25"/>
        <v>0</v>
      </c>
      <c r="G64" s="168">
        <f t="shared" si="27"/>
        <v>22374.3063</v>
      </c>
      <c r="H64" s="168">
        <f t="shared" si="28"/>
        <v>9129.7032500000023</v>
      </c>
      <c r="I64" s="168">
        <v>0</v>
      </c>
      <c r="J64" s="168">
        <f t="shared" si="26"/>
        <v>-1349.2044000000001</v>
      </c>
      <c r="K64" s="168">
        <f t="shared" si="29"/>
        <v>24608.075950000006</v>
      </c>
      <c r="N64" s="168"/>
    </row>
    <row r="65" spans="1:14">
      <c r="A65" s="180" t="s">
        <v>133</v>
      </c>
      <c r="C65" s="168">
        <f t="shared" si="23"/>
        <v>-348.56243999999998</v>
      </c>
      <c r="D65" s="168">
        <f t="shared" si="23"/>
        <v>-809.00911999999994</v>
      </c>
      <c r="E65" s="168">
        <f t="shared" si="24"/>
        <v>172.12960000000001</v>
      </c>
      <c r="F65" s="168">
        <f t="shared" si="25"/>
        <v>0</v>
      </c>
      <c r="G65" s="168">
        <f t="shared" si="27"/>
        <v>2569.0342799999999</v>
      </c>
      <c r="H65" s="168">
        <f t="shared" si="28"/>
        <v>974.75167999999985</v>
      </c>
      <c r="I65" s="168">
        <v>0</v>
      </c>
      <c r="J65" s="168">
        <f t="shared" si="26"/>
        <v>-154.91664</v>
      </c>
      <c r="K65" s="168">
        <f t="shared" si="29"/>
        <v>2403.4273600000001</v>
      </c>
      <c r="N65" s="168"/>
    </row>
    <row r="66" spans="1:14">
      <c r="A66" s="180" t="s">
        <v>134</v>
      </c>
      <c r="C66" s="168">
        <f t="shared" si="23"/>
        <v>0</v>
      </c>
      <c r="D66" s="168">
        <f t="shared" si="23"/>
        <v>-16574.754240000002</v>
      </c>
      <c r="E66" s="168">
        <f t="shared" si="24"/>
        <v>4604.0983999999999</v>
      </c>
      <c r="F66" s="168">
        <f t="shared" si="25"/>
        <v>0</v>
      </c>
      <c r="G66" s="168">
        <f t="shared" si="27"/>
        <v>52947.131600000001</v>
      </c>
      <c r="H66" s="168">
        <f t="shared" si="28"/>
        <v>19174.776720000002</v>
      </c>
      <c r="I66" s="168">
        <v>0</v>
      </c>
      <c r="J66" s="168">
        <f t="shared" si="26"/>
        <v>-4143.6885600000005</v>
      </c>
      <c r="K66" s="168">
        <f t="shared" si="29"/>
        <v>56007.563920000001</v>
      </c>
      <c r="N66" s="168"/>
    </row>
    <row r="67" spans="1:14">
      <c r="A67" s="180" t="s">
        <v>135</v>
      </c>
      <c r="C67" s="168">
        <f t="shared" si="23"/>
        <v>-152.14634999999998</v>
      </c>
      <c r="D67" s="168">
        <f t="shared" si="23"/>
        <v>-270.48240000000004</v>
      </c>
      <c r="E67" s="168">
        <f t="shared" si="24"/>
        <v>75.134</v>
      </c>
      <c r="F67" s="168">
        <f t="shared" si="25"/>
        <v>0</v>
      </c>
      <c r="G67" s="168">
        <f t="shared" si="27"/>
        <v>864.04099999999994</v>
      </c>
      <c r="H67" s="168">
        <f t="shared" si="28"/>
        <v>344.92930999999976</v>
      </c>
      <c r="I67" s="168">
        <v>0</v>
      </c>
      <c r="J67" s="168">
        <f t="shared" si="26"/>
        <v>-67.62060000000001</v>
      </c>
      <c r="K67" s="168">
        <f t="shared" si="29"/>
        <v>793.85495999999966</v>
      </c>
      <c r="N67" s="168"/>
    </row>
    <row r="68" spans="1:14">
      <c r="A68" s="180" t="s">
        <v>136</v>
      </c>
      <c r="C68" s="168">
        <f t="shared" ref="C68:E68" si="30">$H9*C51+$H10*C52</f>
        <v>0</v>
      </c>
      <c r="D68" s="168">
        <f t="shared" si="30"/>
        <v>-4992.5831699999999</v>
      </c>
      <c r="E68" s="168">
        <f t="shared" si="30"/>
        <v>0</v>
      </c>
      <c r="F68" s="168">
        <f>$H9*F51+$H10*F52</f>
        <v>0</v>
      </c>
      <c r="G68" s="168">
        <f>$H9*G51+$H10*G52</f>
        <v>15944.05593</v>
      </c>
      <c r="H68" s="168">
        <f>($F9*H51)+(I51*G9)+(F10*H52)+(G10*I52)</f>
        <v>7925.3106200000038</v>
      </c>
      <c r="I68" s="168">
        <v>0</v>
      </c>
      <c r="J68" s="168">
        <f>$H9*J51+$H10*J52</f>
        <v>-1878.9291499999999</v>
      </c>
      <c r="K68" s="168">
        <f t="shared" si="29"/>
        <v>16997.854230000004</v>
      </c>
      <c r="N68" s="168"/>
    </row>
    <row r="69" spans="1:14">
      <c r="A69" s="180" t="s">
        <v>180</v>
      </c>
      <c r="C69" s="168">
        <f>$H11*C53</f>
        <v>0</v>
      </c>
      <c r="D69" s="168">
        <f>$H11*D53</f>
        <v>0</v>
      </c>
      <c r="E69" s="168">
        <f t="shared" ref="C69:F71" si="31">$H11*E53</f>
        <v>0</v>
      </c>
      <c r="F69" s="168">
        <f t="shared" si="31"/>
        <v>0</v>
      </c>
      <c r="G69" s="168">
        <f t="shared" ref="G69" si="32">$H11*G53</f>
        <v>0</v>
      </c>
      <c r="H69" s="168">
        <f>($F11*H52)+(I52*G11)</f>
        <v>0</v>
      </c>
      <c r="I69" s="168">
        <v>0</v>
      </c>
      <c r="J69" s="168">
        <f>$H11*J53</f>
        <v>0</v>
      </c>
      <c r="K69" s="168">
        <f t="shared" si="29"/>
        <v>0</v>
      </c>
      <c r="N69" s="168"/>
    </row>
    <row r="70" spans="1:14">
      <c r="A70" s="180" t="s">
        <v>137</v>
      </c>
      <c r="C70" s="168">
        <f t="shared" si="31"/>
        <v>0</v>
      </c>
      <c r="D70" s="168">
        <f t="shared" si="31"/>
        <v>2144.623</v>
      </c>
      <c r="E70" s="168">
        <f t="shared" si="31"/>
        <v>-659.88400000000001</v>
      </c>
      <c r="F70" s="168">
        <f t="shared" si="31"/>
        <v>0</v>
      </c>
      <c r="G70" s="168">
        <f t="shared" ref="G70" si="33">$H12*G54</f>
        <v>-7143.2442999999994</v>
      </c>
      <c r="H70" s="168">
        <f t="shared" ref="H70:H71" si="34">($F12*H53)+(I53*G12)</f>
        <v>-1197.7495800000006</v>
      </c>
      <c r="I70" s="168">
        <v>0</v>
      </c>
      <c r="J70" s="168">
        <f>$H12*J54</f>
        <v>610.39269999999999</v>
      </c>
      <c r="K70" s="168">
        <f t="shared" si="29"/>
        <v>-6245.8621799999992</v>
      </c>
      <c r="N70" s="168"/>
    </row>
    <row r="71" spans="1:14">
      <c r="A71" s="180" t="s">
        <v>138</v>
      </c>
      <c r="C71" s="168">
        <f t="shared" si="31"/>
        <v>115.29701999999999</v>
      </c>
      <c r="D71" s="168">
        <f t="shared" si="31"/>
        <v>185.0446</v>
      </c>
      <c r="E71" s="168">
        <f t="shared" si="31"/>
        <v>-56.936800000000005</v>
      </c>
      <c r="F71" s="168">
        <f t="shared" si="31"/>
        <v>0</v>
      </c>
      <c r="G71" s="168">
        <f t="shared" ref="G71" si="35">$H13*G55</f>
        <v>-616.34085999999991</v>
      </c>
      <c r="H71" s="168">
        <f t="shared" si="34"/>
        <v>-115.81458000000003</v>
      </c>
      <c r="I71" s="168">
        <v>0</v>
      </c>
      <c r="J71" s="168">
        <f>$H13*J55</f>
        <v>52.666539999999998</v>
      </c>
      <c r="K71" s="168">
        <f t="shared" si="29"/>
        <v>-436.08407999999997</v>
      </c>
      <c r="N71" s="168"/>
    </row>
    <row r="72" spans="1:14">
      <c r="A72" s="180" t="s">
        <v>192</v>
      </c>
      <c r="C72" s="168">
        <f>($H14+$H15)*C56+$H16*C57</f>
        <v>0</v>
      </c>
      <c r="D72" s="168">
        <f>($H14+$H15)*D56+$H16*D57</f>
        <v>0</v>
      </c>
      <c r="E72" s="168">
        <f>($H14+$H15)*E56+$H16*E57</f>
        <v>0</v>
      </c>
      <c r="F72" s="168">
        <f>($H14+$H15)*F56+$H16*F57</f>
        <v>0</v>
      </c>
      <c r="G72" s="168">
        <f>($H14+$H15)*G56+$H16*G57</f>
        <v>0</v>
      </c>
      <c r="H72" s="168">
        <v>0</v>
      </c>
      <c r="I72" s="168">
        <v>0</v>
      </c>
      <c r="J72" s="168">
        <f>($H14+$H15)*J56+$H16*J57</f>
        <v>0</v>
      </c>
      <c r="K72" s="168">
        <f t="shared" si="29"/>
        <v>0</v>
      </c>
    </row>
    <row r="73" spans="1:14">
      <c r="A73" s="157"/>
      <c r="C73" s="193">
        <f t="shared" ref="C73:J73" si="36">SUM(C62:C72)</f>
        <v>-9110.3761800000011</v>
      </c>
      <c r="D73" s="193">
        <f>SUM(D62:D72)</f>
        <v>-42658.623149999992</v>
      </c>
      <c r="E73" s="193">
        <f t="shared" si="36"/>
        <v>53567.103650000005</v>
      </c>
      <c r="F73" s="193">
        <f t="shared" si="36"/>
        <v>-1292.3831700000001</v>
      </c>
      <c r="G73" s="337">
        <f t="shared" si="36"/>
        <v>133579.84307999999</v>
      </c>
      <c r="H73" s="193">
        <f t="shared" si="36"/>
        <v>55778.537470000017</v>
      </c>
      <c r="I73" s="193">
        <f t="shared" si="36"/>
        <v>0</v>
      </c>
      <c r="J73" s="193">
        <f t="shared" si="36"/>
        <v>-10593.630850000001</v>
      </c>
      <c r="K73" s="193">
        <f>SUM(K62:K72)</f>
        <v>179270.47085000001</v>
      </c>
    </row>
    <row r="75" spans="1:14">
      <c r="A75" s="152" t="s">
        <v>19</v>
      </c>
      <c r="B75" s="152"/>
      <c r="C75" s="168">
        <f t="shared" ref="C75:J75" si="37">C62+C63</f>
        <v>-8724.9644100000005</v>
      </c>
      <c r="D75" s="168">
        <f t="shared" si="37"/>
        <v>-15295.616619999999</v>
      </c>
      <c r="E75" s="168">
        <f t="shared" si="37"/>
        <v>47933.446450000003</v>
      </c>
      <c r="F75" s="168">
        <f t="shared" si="37"/>
        <v>-1292.3831700000001</v>
      </c>
      <c r="G75" s="168">
        <f t="shared" si="37"/>
        <v>46640.859129999997</v>
      </c>
      <c r="H75" s="168">
        <f t="shared" si="37"/>
        <v>19542.630050000011</v>
      </c>
      <c r="I75" s="168">
        <f t="shared" si="37"/>
        <v>0</v>
      </c>
      <c r="J75" s="168">
        <f t="shared" si="37"/>
        <v>-3662.3307400000003</v>
      </c>
      <c r="K75" s="168">
        <f>K62+K63</f>
        <v>85141.640690000015</v>
      </c>
    </row>
    <row r="76" spans="1:14">
      <c r="A76" s="152"/>
      <c r="B76" s="152"/>
      <c r="C76" s="168"/>
      <c r="D76" s="168"/>
      <c r="E76" s="168"/>
      <c r="F76" s="168"/>
      <c r="G76" s="168"/>
      <c r="H76" s="168"/>
      <c r="I76" s="168"/>
      <c r="J76" s="168"/>
      <c r="K76" s="168"/>
    </row>
    <row r="77" spans="1:14" ht="15.75" customHeight="1">
      <c r="A77" s="152" t="s">
        <v>184</v>
      </c>
      <c r="B77" s="152"/>
      <c r="C77" s="176">
        <f t="shared" ref="C77:J77" si="38">SUM(C64:C67,C69:C71)</f>
        <v>-385.41176999999999</v>
      </c>
      <c r="D77" s="176">
        <f>SUM(D64:D67,D69:D71)</f>
        <v>-22370.423360000001</v>
      </c>
      <c r="E77" s="176">
        <f>SUM(E64:E67,E69:E71)</f>
        <v>5633.6571999999996</v>
      </c>
      <c r="F77" s="176">
        <f>SUM(F64:F67,F69:F71)</f>
        <v>0</v>
      </c>
      <c r="G77" s="176">
        <f t="shared" si="38"/>
        <v>70994.928019999992</v>
      </c>
      <c r="H77" s="176">
        <f t="shared" si="38"/>
        <v>28310.596800000003</v>
      </c>
      <c r="I77" s="176">
        <f t="shared" si="38"/>
        <v>0</v>
      </c>
      <c r="J77" s="176">
        <f t="shared" si="38"/>
        <v>-5052.3709600000002</v>
      </c>
      <c r="K77" s="176">
        <f>SUM(K64:K67,K69:K71)</f>
        <v>77130.975930000015</v>
      </c>
    </row>
    <row r="79" spans="1:14">
      <c r="A79" s="1" t="s">
        <v>215</v>
      </c>
    </row>
    <row r="80" spans="1:14">
      <c r="A80" s="1" t="s">
        <v>223</v>
      </c>
    </row>
    <row r="81" spans="1:14" ht="15.75" customHeight="1">
      <c r="A81" s="194" t="s">
        <v>222</v>
      </c>
      <c r="B81" s="194"/>
      <c r="C81" s="194"/>
      <c r="D81" s="194"/>
      <c r="E81" s="194"/>
    </row>
    <row r="82" spans="1:14" ht="27.6">
      <c r="A82" s="194"/>
      <c r="B82" s="357" t="s">
        <v>216</v>
      </c>
      <c r="C82" s="357" t="s">
        <v>217</v>
      </c>
      <c r="D82" s="357" t="s">
        <v>218</v>
      </c>
      <c r="E82" s="357" t="s">
        <v>221</v>
      </c>
      <c r="G82" s="402" t="s">
        <v>381</v>
      </c>
      <c r="H82" s="402"/>
      <c r="I82" s="402"/>
      <c r="J82" s="402"/>
      <c r="M82" s="358"/>
      <c r="N82" s="358"/>
    </row>
    <row r="83" spans="1:14">
      <c r="A83" s="359" t="s">
        <v>370</v>
      </c>
      <c r="B83" s="361">
        <v>1</v>
      </c>
      <c r="C83" s="362">
        <v>873927.6</v>
      </c>
      <c r="D83" s="358">
        <f>75508.54-C83*SUM(C51:G51,I51:J51)</f>
        <v>73367.417379999999</v>
      </c>
      <c r="E83" s="358">
        <f>500*B83</f>
        <v>500</v>
      </c>
      <c r="F83" s="360" t="s">
        <v>219</v>
      </c>
      <c r="H83" s="361"/>
      <c r="I83" s="362"/>
      <c r="J83" s="358"/>
      <c r="K83" s="358"/>
      <c r="L83" s="360"/>
    </row>
    <row r="84" spans="1:14">
      <c r="A84" s="363" t="s">
        <v>258</v>
      </c>
      <c r="B84" s="364">
        <f>SUM(B83:B83)</f>
        <v>1</v>
      </c>
      <c r="C84" s="365">
        <f>SUM(C83:C83)</f>
        <v>873927.6</v>
      </c>
      <c r="D84" s="366">
        <f>SUM(D83:D83)</f>
        <v>73367.417379999999</v>
      </c>
      <c r="E84" s="366">
        <f>SUM(E83:E83)</f>
        <v>500</v>
      </c>
    </row>
    <row r="85" spans="1:14">
      <c r="A85" s="194"/>
      <c r="B85" s="194"/>
      <c r="C85" s="194"/>
      <c r="D85" s="194"/>
      <c r="E85" s="194"/>
    </row>
    <row r="86" spans="1:14">
      <c r="A86" s="346"/>
      <c r="B86" s="361"/>
      <c r="C86" s="362"/>
      <c r="D86" s="358"/>
      <c r="E86" s="358"/>
    </row>
    <row r="87" spans="1:14">
      <c r="B87" s="361"/>
      <c r="C87" s="362"/>
      <c r="D87" s="358"/>
      <c r="E87" s="358"/>
    </row>
    <row r="88" spans="1:14" ht="9" customHeight="1"/>
  </sheetData>
  <mergeCells count="5">
    <mergeCell ref="A1:I1"/>
    <mergeCell ref="H56:H57"/>
    <mergeCell ref="G82:J82"/>
    <mergeCell ref="I56:I57"/>
    <mergeCell ref="J1:K1"/>
  </mergeCells>
  <printOptions horizontalCentered="1"/>
  <pageMargins left="0.45" right="0.45" top="0.5" bottom="0.5" header="0.3" footer="0.3"/>
  <pageSetup scale="75" orientation="landscape" r:id="rId1"/>
  <headerFooter>
    <oddFooter>&amp;L&amp;F / &amp;A&amp;RPage 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0.39997558519241921"/>
  </sheetPr>
  <dimension ref="A1:AE88"/>
  <sheetViews>
    <sheetView zoomScaleNormal="100" workbookViewId="0">
      <selection activeCell="J3" sqref="J3"/>
    </sheetView>
  </sheetViews>
  <sheetFormatPr defaultColWidth="9.109375" defaultRowHeight="13.8"/>
  <cols>
    <col min="1" max="1" width="14.6640625" style="1" customWidth="1"/>
    <col min="2" max="2" width="10.109375" style="1" customWidth="1"/>
    <col min="3" max="3" width="16.33203125" style="1" customWidth="1"/>
    <col min="4" max="4" width="18.6640625" style="1" customWidth="1"/>
    <col min="5" max="5" width="15.5546875" style="1" customWidth="1"/>
    <col min="6" max="6" width="14.6640625" style="1" bestFit="1" customWidth="1"/>
    <col min="7" max="7" width="15.5546875" style="1" customWidth="1"/>
    <col min="8" max="8" width="13.5546875" style="1" bestFit="1" customWidth="1"/>
    <col min="9" max="9" width="14.5546875" style="1" bestFit="1" customWidth="1"/>
    <col min="10" max="10" width="13.109375" style="1" bestFit="1" customWidth="1"/>
    <col min="11" max="11" width="14.5546875" style="1" customWidth="1"/>
    <col min="12" max="12" width="13.44140625" style="1" bestFit="1" customWidth="1"/>
    <col min="13" max="13" width="15.6640625" style="1" customWidth="1"/>
    <col min="14" max="14" width="10.88671875" style="1" customWidth="1"/>
    <col min="15" max="15" width="12.44140625" style="1" customWidth="1"/>
    <col min="16" max="16" width="13.33203125" style="1" customWidth="1"/>
    <col min="17" max="17" width="16" style="1" customWidth="1"/>
    <col min="18" max="18" width="10" style="1" customWidth="1"/>
    <col min="19" max="19" width="17.6640625" style="1" customWidth="1"/>
    <col min="20" max="20" width="13.44140625" style="1" customWidth="1"/>
    <col min="21" max="21" width="10.5546875" style="1" customWidth="1"/>
    <col min="22" max="22" width="13.88671875" style="1" customWidth="1"/>
    <col min="23" max="23" width="2.88671875" style="1" customWidth="1"/>
    <col min="24" max="24" width="13.6640625" style="1" customWidth="1"/>
    <col min="25" max="25" width="1.6640625" style="1" customWidth="1"/>
    <col min="26" max="27" width="13.6640625" style="1" customWidth="1"/>
    <col min="28" max="28" width="11.6640625" style="1" customWidth="1"/>
    <col min="29" max="29" width="13.6640625" style="1" customWidth="1"/>
    <col min="30" max="16384" width="9.109375" style="1"/>
  </cols>
  <sheetData>
    <row r="1" spans="1:31" ht="14.4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M1" s="151" t="s">
        <v>234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 t="s">
        <v>235</v>
      </c>
      <c r="AA1" s="224" t="s">
        <v>298</v>
      </c>
      <c r="AB1" s="151"/>
      <c r="AC1" s="151" t="s">
        <v>237</v>
      </c>
      <c r="AD1" s="224" t="s">
        <v>297</v>
      </c>
      <c r="AE1" s="151"/>
    </row>
    <row r="2" spans="1:31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M2" s="151"/>
      <c r="N2" s="151"/>
      <c r="O2" s="287" t="str">
        <f>AA1&amp;" Billed Schedule 75 Revenue"</f>
        <v>September Billed Schedule 75 Revenue</v>
      </c>
      <c r="P2" s="287" t="str">
        <f>AA1&amp;" Billed kWhs"</f>
        <v>September Billed kWhs</v>
      </c>
      <c r="Q2" s="287" t="str">
        <f>AA1&amp;" Unbilled kWhs"</f>
        <v>September Unbilled kWhs</v>
      </c>
      <c r="R2" s="287" t="s">
        <v>238</v>
      </c>
      <c r="S2" s="287" t="s">
        <v>239</v>
      </c>
      <c r="T2" s="287" t="str">
        <f>AD1&amp;" Unbilled kWhs reversal"</f>
        <v>August Unbilled kWhs reversal</v>
      </c>
      <c r="U2" s="287" t="s">
        <v>238</v>
      </c>
      <c r="V2" s="287" t="str">
        <f>AD1&amp;" Schedule 75 Unbilled Reversal"</f>
        <v>August Schedule 75 Unbilled Reversal</v>
      </c>
      <c r="W2" s="151"/>
      <c r="X2" s="287" t="str">
        <f>"Total "&amp;AA1&amp;" Schedule 75 Revenue"</f>
        <v>Total September Schedule 75 Revenue</v>
      </c>
      <c r="Y2" s="151"/>
      <c r="Z2" s="287" t="str">
        <f>"Calendar "&amp;AA1&amp;" Usage"</f>
        <v>Calendar September Usage</v>
      </c>
      <c r="AA2" s="287" t="str">
        <f>R2</f>
        <v>11/1/2017 rate</v>
      </c>
      <c r="AB2" s="287" t="s">
        <v>240</v>
      </c>
      <c r="AC2" s="287" t="s">
        <v>241</v>
      </c>
      <c r="AD2" s="287" t="str">
        <f>"implied "&amp;AD1&amp;" unbilled/Cancel-Rebill True-up kWhs"</f>
        <v>implied August unbilled/Cancel-Rebill True-up kWhs</v>
      </c>
      <c r="AE2" s="151"/>
    </row>
    <row r="3" spans="1:31" ht="14.4">
      <c r="A3" s="180" t="s">
        <v>131</v>
      </c>
      <c r="B3" s="152"/>
      <c r="C3" s="158">
        <v>213728</v>
      </c>
      <c r="D3" s="282"/>
      <c r="E3" s="182">
        <v>165623441.081</v>
      </c>
      <c r="F3" s="182">
        <v>-97955627</v>
      </c>
      <c r="G3" s="182">
        <v>71433400</v>
      </c>
      <c r="H3" s="189">
        <f>SUM(F3:G3)</f>
        <v>-26522227</v>
      </c>
      <c r="I3" s="159">
        <f>E3+H3</f>
        <v>139101214.081</v>
      </c>
      <c r="J3" s="282">
        <f>I3/C3</f>
        <v>650.83290013942951</v>
      </c>
      <c r="K3" s="341">
        <f>D24/E3</f>
        <v>9.1121886198579388E-2</v>
      </c>
      <c r="M3" s="151" t="s">
        <v>242</v>
      </c>
      <c r="N3" s="151"/>
      <c r="O3" s="214">
        <v>737048.88</v>
      </c>
      <c r="P3" s="225">
        <f t="shared" ref="P3:P8" si="0">E3</f>
        <v>165623441.081</v>
      </c>
      <c r="Q3" s="225">
        <f t="shared" ref="Q3:Q8" si="1">G3</f>
        <v>71433400</v>
      </c>
      <c r="R3" s="206">
        <v>4.45E-3</v>
      </c>
      <c r="S3" s="215">
        <f>Q3*R3</f>
        <v>317878.63</v>
      </c>
      <c r="T3" s="225">
        <f t="shared" ref="T3:T8" si="2">F3</f>
        <v>-97955627</v>
      </c>
      <c r="U3" s="206">
        <v>4.45E-3</v>
      </c>
      <c r="V3" s="216">
        <f>T3*U3</f>
        <v>-435902.54015000002</v>
      </c>
      <c r="W3" s="151"/>
      <c r="X3" s="150">
        <f>O3+S3+V3</f>
        <v>619024.96984999999</v>
      </c>
      <c r="Y3" s="151"/>
      <c r="Z3" s="95">
        <f>P3+Q3+T3</f>
        <v>139101214.081</v>
      </c>
      <c r="AA3" s="170">
        <f>R3</f>
        <v>4.45E-3</v>
      </c>
      <c r="AB3" s="217">
        <f>Z3*AA3</f>
        <v>619000.40266044997</v>
      </c>
      <c r="AC3" s="150">
        <f>X3-AB3</f>
        <v>24.567189550027251</v>
      </c>
      <c r="AD3" s="95">
        <f>AC3/AA3</f>
        <v>5520.7167528151131</v>
      </c>
      <c r="AE3" s="218">
        <f>AC3/X3</f>
        <v>3.968691207396737E-5</v>
      </c>
    </row>
    <row r="4" spans="1:31" ht="14.4">
      <c r="A4" s="180" t="s">
        <v>178</v>
      </c>
      <c r="B4" s="152"/>
      <c r="C4" s="158">
        <v>394</v>
      </c>
      <c r="D4" s="282"/>
      <c r="E4" s="182">
        <v>278108.527</v>
      </c>
      <c r="F4" s="182">
        <v>-160450</v>
      </c>
      <c r="G4" s="182">
        <v>119949</v>
      </c>
      <c r="H4" s="189">
        <f t="shared" ref="H4:H16" si="3">SUM(F4:G4)</f>
        <v>-40501</v>
      </c>
      <c r="I4" s="159">
        <f t="shared" ref="I4:I16" si="4">E4+H4</f>
        <v>237607.527</v>
      </c>
      <c r="J4" s="282">
        <f t="shared" ref="J4:J14" si="5">I4/C4</f>
        <v>603.06478934010158</v>
      </c>
      <c r="K4" s="341">
        <f t="shared" ref="K4:K8" si="6">D25/E4</f>
        <v>9.1305111259677413E-2</v>
      </c>
      <c r="M4" s="151" t="s">
        <v>243</v>
      </c>
      <c r="N4" s="151"/>
      <c r="O4" s="214">
        <v>1237.6099999999999</v>
      </c>
      <c r="P4" s="225">
        <f t="shared" si="0"/>
        <v>278108.527</v>
      </c>
      <c r="Q4" s="225">
        <f t="shared" si="1"/>
        <v>119949</v>
      </c>
      <c r="R4" s="206">
        <v>4.45E-3</v>
      </c>
      <c r="S4" s="215">
        <f>Q4*R4</f>
        <v>533.77305000000001</v>
      </c>
      <c r="T4" s="225">
        <f t="shared" si="2"/>
        <v>-160450</v>
      </c>
      <c r="U4" s="206">
        <v>4.45E-3</v>
      </c>
      <c r="V4" s="216">
        <f t="shared" ref="V4:V11" si="7">T4*U4</f>
        <v>-714.00249999999994</v>
      </c>
      <c r="W4" s="151"/>
      <c r="X4" s="150">
        <f t="shared" ref="X4:X11" si="8">O4+S4+V4</f>
        <v>1057.3805499999999</v>
      </c>
      <c r="Y4" s="151"/>
      <c r="Z4" s="95">
        <f t="shared" ref="Z4:Z11" si="9">P4+Q4+T4</f>
        <v>237607.527</v>
      </c>
      <c r="AA4" s="170">
        <f t="shared" ref="AA4:AA11" si="10">R4</f>
        <v>4.45E-3</v>
      </c>
      <c r="AB4" s="217">
        <f t="shared" ref="AB4:AB11" si="11">Z4*AA4</f>
        <v>1057.3534951500001</v>
      </c>
      <c r="AC4" s="150">
        <f t="shared" ref="AC4:AC11" si="12">X4-AB4</f>
        <v>2.7054849999785802E-2</v>
      </c>
      <c r="AD4" s="95">
        <f t="shared" ref="AD4:AD11" si="13">AC4/AA4</f>
        <v>6.0797415729855731</v>
      </c>
      <c r="AE4" s="218">
        <f t="shared" ref="AE4:AE12" si="14">AC4/X4</f>
        <v>2.5586672650433948E-5</v>
      </c>
    </row>
    <row r="5" spans="1:31" ht="14.4">
      <c r="A5" s="180" t="s">
        <v>132</v>
      </c>
      <c r="B5" s="152"/>
      <c r="C5" s="158">
        <v>22047</v>
      </c>
      <c r="D5" s="282"/>
      <c r="E5" s="182">
        <v>44553774.217</v>
      </c>
      <c r="F5" s="182">
        <v>-24350340</v>
      </c>
      <c r="G5" s="182">
        <v>19139293</v>
      </c>
      <c r="H5" s="189">
        <f t="shared" si="3"/>
        <v>-5211047</v>
      </c>
      <c r="I5" s="159">
        <f t="shared" si="4"/>
        <v>39342727.217</v>
      </c>
      <c r="J5" s="282">
        <f t="shared" si="5"/>
        <v>1784.4934556629021</v>
      </c>
      <c r="K5" s="341">
        <f t="shared" si="6"/>
        <v>0.11914979669611139</v>
      </c>
      <c r="M5" s="151" t="s">
        <v>244</v>
      </c>
      <c r="N5" s="151"/>
      <c r="O5" s="214">
        <v>17819.62</v>
      </c>
      <c r="P5" s="225">
        <f t="shared" si="0"/>
        <v>44553774.217</v>
      </c>
      <c r="Q5" s="225">
        <f t="shared" si="1"/>
        <v>19139293</v>
      </c>
      <c r="R5" s="219">
        <v>4.0000000000000002E-4</v>
      </c>
      <c r="S5" s="215">
        <f>Q5*R5</f>
        <v>7655.7172</v>
      </c>
      <c r="T5" s="225">
        <f t="shared" si="2"/>
        <v>-24350340</v>
      </c>
      <c r="U5" s="219">
        <v>4.0000000000000002E-4</v>
      </c>
      <c r="V5" s="216">
        <f t="shared" si="7"/>
        <v>-9740.1360000000004</v>
      </c>
      <c r="W5" s="151"/>
      <c r="X5" s="150">
        <f t="shared" si="8"/>
        <v>15735.201199999998</v>
      </c>
      <c r="Y5" s="151"/>
      <c r="Z5" s="95">
        <f t="shared" si="9"/>
        <v>39342727.217</v>
      </c>
      <c r="AA5" s="220">
        <f t="shared" si="10"/>
        <v>4.0000000000000002E-4</v>
      </c>
      <c r="AB5" s="217">
        <f t="shared" si="11"/>
        <v>15737.090886800001</v>
      </c>
      <c r="AC5" s="150">
        <f t="shared" si="12"/>
        <v>-1.8896868000028917</v>
      </c>
      <c r="AD5" s="95">
        <f t="shared" si="13"/>
        <v>-4724.2170000072292</v>
      </c>
      <c r="AE5" s="218">
        <f t="shared" si="14"/>
        <v>-1.2009295438833613E-4</v>
      </c>
    </row>
    <row r="6" spans="1:31" ht="14.4">
      <c r="A6" s="180" t="s">
        <v>133</v>
      </c>
      <c r="B6" s="152"/>
      <c r="C6" s="158">
        <v>9398</v>
      </c>
      <c r="D6" s="282"/>
      <c r="E6" s="182">
        <v>3958714.09</v>
      </c>
      <c r="F6" s="182">
        <v>-1988697</v>
      </c>
      <c r="G6" s="182">
        <v>1707404</v>
      </c>
      <c r="H6" s="189">
        <f t="shared" si="3"/>
        <v>-281293</v>
      </c>
      <c r="I6" s="159">
        <f t="shared" si="4"/>
        <v>3677421.09</v>
      </c>
      <c r="J6" s="282">
        <f t="shared" si="5"/>
        <v>391.29826452436686</v>
      </c>
      <c r="K6" s="341">
        <f t="shared" si="6"/>
        <v>0.15879991474706373</v>
      </c>
      <c r="M6" s="151" t="s">
        <v>245</v>
      </c>
      <c r="N6" s="151"/>
      <c r="O6" s="214">
        <v>1582.15</v>
      </c>
      <c r="P6" s="225">
        <f t="shared" si="0"/>
        <v>3958714.09</v>
      </c>
      <c r="Q6" s="225">
        <f t="shared" si="1"/>
        <v>1707404</v>
      </c>
      <c r="R6" s="219">
        <v>4.0000000000000002E-4</v>
      </c>
      <c r="S6" s="215">
        <f t="shared" ref="S6:S11" si="15">Q6*R6</f>
        <v>682.96160000000009</v>
      </c>
      <c r="T6" s="225">
        <f t="shared" si="2"/>
        <v>-1988697</v>
      </c>
      <c r="U6" s="219">
        <v>4.0000000000000002E-4</v>
      </c>
      <c r="V6" s="216">
        <f t="shared" si="7"/>
        <v>-795.47880000000009</v>
      </c>
      <c r="W6" s="151"/>
      <c r="X6" s="150">
        <f t="shared" si="8"/>
        <v>1469.6328000000001</v>
      </c>
      <c r="Y6" s="151"/>
      <c r="Z6" s="95">
        <f t="shared" si="9"/>
        <v>3677421.09</v>
      </c>
      <c r="AA6" s="220">
        <f t="shared" si="10"/>
        <v>4.0000000000000002E-4</v>
      </c>
      <c r="AB6" s="217">
        <f t="shared" si="11"/>
        <v>1470.9684360000001</v>
      </c>
      <c r="AC6" s="150">
        <f t="shared" si="12"/>
        <v>-1.3356360000000222</v>
      </c>
      <c r="AD6" s="95">
        <f t="shared" si="13"/>
        <v>-3339.0900000000556</v>
      </c>
      <c r="AE6" s="218">
        <f t="shared" si="14"/>
        <v>-9.0882293862794988E-4</v>
      </c>
    </row>
    <row r="7" spans="1:31" ht="14.4">
      <c r="A7" s="180" t="s">
        <v>134</v>
      </c>
      <c r="B7" s="152"/>
      <c r="C7" s="158">
        <v>1810</v>
      </c>
      <c r="D7" s="282"/>
      <c r="E7" s="182">
        <v>111231103.263</v>
      </c>
      <c r="F7" s="182">
        <v>-58149012</v>
      </c>
      <c r="G7" s="182">
        <v>47703446</v>
      </c>
      <c r="H7" s="189">
        <f t="shared" si="3"/>
        <v>-10445566</v>
      </c>
      <c r="I7" s="159">
        <f t="shared" si="4"/>
        <v>100785537.263</v>
      </c>
      <c r="J7" s="282">
        <f t="shared" si="5"/>
        <v>55682.61727237569</v>
      </c>
      <c r="K7" s="341">
        <f t="shared" si="6"/>
        <v>9.2546109928087053E-2</v>
      </c>
      <c r="M7" s="151" t="s">
        <v>246</v>
      </c>
      <c r="N7" s="151"/>
      <c r="O7" s="214">
        <v>44492.54</v>
      </c>
      <c r="P7" s="225">
        <f t="shared" si="0"/>
        <v>111231103.263</v>
      </c>
      <c r="Q7" s="225">
        <f t="shared" si="1"/>
        <v>47703446</v>
      </c>
      <c r="R7" s="219">
        <v>4.0000000000000002E-4</v>
      </c>
      <c r="S7" s="215">
        <f t="shared" si="15"/>
        <v>19081.378400000001</v>
      </c>
      <c r="T7" s="225">
        <f t="shared" si="2"/>
        <v>-58149012</v>
      </c>
      <c r="U7" s="219">
        <v>4.0000000000000002E-4</v>
      </c>
      <c r="V7" s="216">
        <f t="shared" si="7"/>
        <v>-23259.604800000001</v>
      </c>
      <c r="W7" s="151"/>
      <c r="X7" s="150">
        <f t="shared" si="8"/>
        <v>40314.313600000001</v>
      </c>
      <c r="Y7" s="151"/>
      <c r="Z7" s="95">
        <f t="shared" si="9"/>
        <v>100785537.26300001</v>
      </c>
      <c r="AA7" s="220">
        <f t="shared" si="10"/>
        <v>4.0000000000000002E-4</v>
      </c>
      <c r="AB7" s="217">
        <f t="shared" si="11"/>
        <v>40314.21490520001</v>
      </c>
      <c r="AC7" s="150">
        <f t="shared" si="12"/>
        <v>9.8694799991790205E-2</v>
      </c>
      <c r="AD7" s="95">
        <f t="shared" si="13"/>
        <v>246.73699997947551</v>
      </c>
      <c r="AE7" s="218">
        <f t="shared" si="14"/>
        <v>2.4481329626753265E-6</v>
      </c>
    </row>
    <row r="8" spans="1:31" ht="14.4">
      <c r="A8" s="180" t="s">
        <v>135</v>
      </c>
      <c r="B8" s="152"/>
      <c r="C8" s="158">
        <v>49</v>
      </c>
      <c r="D8" s="282"/>
      <c r="E8" s="182">
        <v>2479779.6800000002</v>
      </c>
      <c r="F8" s="182">
        <v>-1228440</v>
      </c>
      <c r="G8" s="182">
        <v>1069536</v>
      </c>
      <c r="H8" s="189">
        <f t="shared" si="3"/>
        <v>-158904</v>
      </c>
      <c r="I8" s="159">
        <f t="shared" si="4"/>
        <v>2320875.6800000002</v>
      </c>
      <c r="J8" s="282">
        <f t="shared" si="5"/>
        <v>47364.809795918372</v>
      </c>
      <c r="K8" s="341">
        <f t="shared" si="6"/>
        <v>9.1171970567965929E-2</v>
      </c>
      <c r="M8" s="151" t="s">
        <v>247</v>
      </c>
      <c r="N8" s="151"/>
      <c r="O8" s="214">
        <v>991.89</v>
      </c>
      <c r="P8" s="225">
        <f t="shared" si="0"/>
        <v>2479779.6800000002</v>
      </c>
      <c r="Q8" s="225">
        <f t="shared" si="1"/>
        <v>1069536</v>
      </c>
      <c r="R8" s="219">
        <v>4.0000000000000002E-4</v>
      </c>
      <c r="S8" s="215">
        <f t="shared" si="15"/>
        <v>427.81440000000003</v>
      </c>
      <c r="T8" s="225">
        <f t="shared" si="2"/>
        <v>-1228440</v>
      </c>
      <c r="U8" s="219">
        <v>4.0000000000000002E-4</v>
      </c>
      <c r="V8" s="216">
        <f t="shared" si="7"/>
        <v>-491.37600000000003</v>
      </c>
      <c r="W8" s="151"/>
      <c r="X8" s="150">
        <f t="shared" si="8"/>
        <v>928.3284000000001</v>
      </c>
      <c r="Y8" s="151"/>
      <c r="Z8" s="95">
        <f t="shared" si="9"/>
        <v>2320875.6800000002</v>
      </c>
      <c r="AA8" s="220">
        <f t="shared" si="10"/>
        <v>4.0000000000000002E-4</v>
      </c>
      <c r="AB8" s="217">
        <f t="shared" si="11"/>
        <v>928.35027200000013</v>
      </c>
      <c r="AC8" s="150">
        <f t="shared" si="12"/>
        <v>-2.1872000000030312E-2</v>
      </c>
      <c r="AD8" s="95">
        <f t="shared" si="13"/>
        <v>-54.680000000075779</v>
      </c>
      <c r="AE8" s="218">
        <f t="shared" si="14"/>
        <v>-2.356062789852202E-5</v>
      </c>
    </row>
    <row r="9" spans="1:31" ht="14.4">
      <c r="A9" s="180" t="s">
        <v>136</v>
      </c>
      <c r="B9" s="152"/>
      <c r="C9" s="158">
        <v>23</v>
      </c>
      <c r="D9" s="194"/>
      <c r="E9" s="182">
        <f>98727948.69-E10</f>
        <v>63279545.089999996</v>
      </c>
      <c r="F9" s="182">
        <v>-63894442</v>
      </c>
      <c r="G9" s="182">
        <f>89933574-G10</f>
        <v>54933574</v>
      </c>
      <c r="H9" s="189">
        <f t="shared" si="3"/>
        <v>-8960868</v>
      </c>
      <c r="I9" s="159">
        <f t="shared" si="4"/>
        <v>54318677.089999996</v>
      </c>
      <c r="J9" s="282">
        <f>(I9+I10)/C9</f>
        <v>3902916.5517391302</v>
      </c>
      <c r="K9" s="341">
        <f>I30/(I9+I10)</f>
        <v>6.1021759161988848E-2</v>
      </c>
      <c r="M9" s="151" t="s">
        <v>248</v>
      </c>
      <c r="N9" s="151"/>
      <c r="O9" s="214">
        <v>2303.09</v>
      </c>
      <c r="P9" s="225">
        <f>E11</f>
        <v>5757755.392</v>
      </c>
      <c r="Q9" s="225">
        <f>G11</f>
        <v>0</v>
      </c>
      <c r="R9" s="219">
        <v>4.0000000000000002E-4</v>
      </c>
      <c r="S9" s="215">
        <f t="shared" si="15"/>
        <v>0</v>
      </c>
      <c r="T9" s="225">
        <f>F11</f>
        <v>0</v>
      </c>
      <c r="U9" s="219">
        <v>4.0000000000000002E-4</v>
      </c>
      <c r="V9" s="216">
        <f t="shared" si="7"/>
        <v>0</v>
      </c>
      <c r="W9" s="151"/>
      <c r="X9" s="150">
        <f t="shared" si="8"/>
        <v>2303.09</v>
      </c>
      <c r="Y9" s="151"/>
      <c r="Z9" s="95">
        <f t="shared" si="9"/>
        <v>5757755.392</v>
      </c>
      <c r="AA9" s="220">
        <f t="shared" si="10"/>
        <v>4.0000000000000002E-4</v>
      </c>
      <c r="AB9" s="217">
        <f t="shared" si="11"/>
        <v>2303.1021568000001</v>
      </c>
      <c r="AC9" s="150">
        <f t="shared" si="12"/>
        <v>-1.2156799999957002E-2</v>
      </c>
      <c r="AD9" s="95">
        <f t="shared" si="13"/>
        <v>-30.391999999892505</v>
      </c>
      <c r="AE9" s="218">
        <f t="shared" si="14"/>
        <v>-5.2784737027024572E-6</v>
      </c>
    </row>
    <row r="10" spans="1:31" ht="14.4">
      <c r="A10" s="180" t="s">
        <v>179</v>
      </c>
      <c r="B10" s="152"/>
      <c r="C10" s="158"/>
      <c r="D10" s="194"/>
      <c r="E10" s="182">
        <v>35448403.600000001</v>
      </c>
      <c r="F10" s="182">
        <v>-35000000</v>
      </c>
      <c r="G10" s="182">
        <v>35000000</v>
      </c>
      <c r="H10" s="189">
        <f t="shared" si="3"/>
        <v>0</v>
      </c>
      <c r="I10" s="159">
        <f t="shared" si="4"/>
        <v>35448403.600000001</v>
      </c>
      <c r="J10" s="282"/>
      <c r="M10" s="151" t="s">
        <v>249</v>
      </c>
      <c r="N10" s="151"/>
      <c r="O10" s="214">
        <v>6713.83</v>
      </c>
      <c r="P10" s="225">
        <f>E12</f>
        <v>16784962.872000001</v>
      </c>
      <c r="Q10" s="225">
        <f>G12</f>
        <v>5938288</v>
      </c>
      <c r="R10" s="219">
        <v>4.0000000000000002E-4</v>
      </c>
      <c r="S10" s="215">
        <f t="shared" si="15"/>
        <v>2375.3152</v>
      </c>
      <c r="T10" s="225">
        <f>F12</f>
        <v>-7219225</v>
      </c>
      <c r="U10" s="219">
        <v>4.0000000000000002E-4</v>
      </c>
      <c r="V10" s="216">
        <f t="shared" si="7"/>
        <v>-2887.69</v>
      </c>
      <c r="W10" s="151"/>
      <c r="X10" s="150">
        <f>O10+S10+V10</f>
        <v>6201.4551999999985</v>
      </c>
      <c r="Y10" s="151"/>
      <c r="Z10" s="95">
        <f t="shared" si="9"/>
        <v>15504025.872000001</v>
      </c>
      <c r="AA10" s="220">
        <f t="shared" si="10"/>
        <v>4.0000000000000002E-4</v>
      </c>
      <c r="AB10" s="217">
        <f t="shared" si="11"/>
        <v>6201.6103488000008</v>
      </c>
      <c r="AC10" s="150">
        <f t="shared" si="12"/>
        <v>-0.15514880000228004</v>
      </c>
      <c r="AD10" s="95">
        <f t="shared" si="13"/>
        <v>-387.8720000057001</v>
      </c>
      <c r="AE10" s="218">
        <f t="shared" si="14"/>
        <v>-2.5018128003614391E-5</v>
      </c>
    </row>
    <row r="11" spans="1:31" ht="14.4">
      <c r="A11" s="180" t="s">
        <v>180</v>
      </c>
      <c r="B11" s="152"/>
      <c r="C11" s="158">
        <v>49</v>
      </c>
      <c r="D11" s="282"/>
      <c r="E11" s="182">
        <v>5757755.392</v>
      </c>
      <c r="F11" s="182">
        <v>0</v>
      </c>
      <c r="G11" s="182">
        <v>0</v>
      </c>
      <c r="H11" s="189">
        <f t="shared" si="3"/>
        <v>0</v>
      </c>
      <c r="I11" s="159">
        <f t="shared" si="4"/>
        <v>5757755.392</v>
      </c>
      <c r="J11" s="282">
        <f t="shared" si="5"/>
        <v>117505.21208163265</v>
      </c>
      <c r="K11" s="341">
        <f>I31/I11</f>
        <v>6.9530201049569001E-2</v>
      </c>
      <c r="M11" s="151" t="s">
        <v>250</v>
      </c>
      <c r="N11" s="151"/>
      <c r="O11" s="214">
        <v>502.44</v>
      </c>
      <c r="P11" s="225">
        <f>E13</f>
        <v>1256229.7250000001</v>
      </c>
      <c r="Q11" s="225">
        <f>G13</f>
        <v>373828</v>
      </c>
      <c r="R11" s="219">
        <v>4.0000000000000002E-4</v>
      </c>
      <c r="S11" s="215">
        <f t="shared" si="15"/>
        <v>149.53120000000001</v>
      </c>
      <c r="T11" s="225">
        <f>F13</f>
        <v>-623328</v>
      </c>
      <c r="U11" s="219">
        <v>4.0000000000000002E-4</v>
      </c>
      <c r="V11" s="216">
        <f t="shared" si="7"/>
        <v>-249.33120000000002</v>
      </c>
      <c r="W11" s="151"/>
      <c r="X11" s="150">
        <f t="shared" si="8"/>
        <v>402.63999999999993</v>
      </c>
      <c r="Y11" s="151"/>
      <c r="Z11" s="95">
        <f t="shared" si="9"/>
        <v>1006729.7250000001</v>
      </c>
      <c r="AA11" s="220">
        <f t="shared" si="10"/>
        <v>4.0000000000000002E-4</v>
      </c>
      <c r="AB11" s="217">
        <f t="shared" si="11"/>
        <v>402.69189000000006</v>
      </c>
      <c r="AC11" s="150">
        <f t="shared" si="12"/>
        <v>-5.1890000000128111E-2</v>
      </c>
      <c r="AD11" s="95">
        <f t="shared" si="13"/>
        <v>-129.72500000032028</v>
      </c>
      <c r="AE11" s="218">
        <f t="shared" si="14"/>
        <v>-1.2887442877043543E-4</v>
      </c>
    </row>
    <row r="12" spans="1:31" ht="14.4">
      <c r="A12" s="180" t="s">
        <v>137</v>
      </c>
      <c r="B12" s="152"/>
      <c r="C12" s="158">
        <v>1181</v>
      </c>
      <c r="D12" s="282"/>
      <c r="E12" s="182">
        <v>16784962.872000001</v>
      </c>
      <c r="F12" s="182">
        <v>-7219225</v>
      </c>
      <c r="G12" s="182">
        <v>5938288</v>
      </c>
      <c r="H12" s="189">
        <f t="shared" si="3"/>
        <v>-1280937</v>
      </c>
      <c r="I12" s="159">
        <f t="shared" si="4"/>
        <v>15504025.872000001</v>
      </c>
      <c r="J12" s="282">
        <f t="shared" si="5"/>
        <v>13127.879654530061</v>
      </c>
      <c r="K12" s="341">
        <f t="shared" ref="K12:K14" si="16">I32/I12</f>
        <v>8.2158344565228927E-2</v>
      </c>
      <c r="M12" s="151"/>
      <c r="N12" s="151"/>
      <c r="O12" s="221">
        <f>SUM(O3:O11)</f>
        <v>812692.04999999993</v>
      </c>
      <c r="P12" s="51">
        <f>SUM(P3:P11)</f>
        <v>351923868.84700006</v>
      </c>
      <c r="Q12" s="51">
        <f>SUM(Q3:Q11)</f>
        <v>147485144</v>
      </c>
      <c r="R12" s="151"/>
      <c r="S12" s="221">
        <f>SUM(S3:S11)</f>
        <v>348785.12105000002</v>
      </c>
      <c r="T12" s="51">
        <f>SUM(T3:T11)</f>
        <v>-191675119</v>
      </c>
      <c r="U12" s="151"/>
      <c r="V12" s="221">
        <f>SUM(V3:V11)</f>
        <v>-474040.15945000004</v>
      </c>
      <c r="W12" s="151"/>
      <c r="X12" s="221">
        <f>SUM(X3:X11)</f>
        <v>687437.01159999997</v>
      </c>
      <c r="Y12" s="151"/>
      <c r="Z12" s="51">
        <f>SUM(Z3:Z11)</f>
        <v>307733893.84700006</v>
      </c>
      <c r="AA12" s="151"/>
      <c r="AB12" s="51">
        <f>SUM(AB3:AB11)</f>
        <v>687415.78505119996</v>
      </c>
      <c r="AC12" s="221">
        <f>SUM(AC3:AC11)</f>
        <v>21.226548800013518</v>
      </c>
      <c r="AD12" s="51">
        <f>SUM(AD3:AD11)</f>
        <v>-2892.4425056456994</v>
      </c>
      <c r="AE12" s="218">
        <f t="shared" si="14"/>
        <v>3.087780908189541E-5</v>
      </c>
    </row>
    <row r="13" spans="1:31" ht="14.4">
      <c r="A13" s="180" t="s">
        <v>138</v>
      </c>
      <c r="B13" s="152"/>
      <c r="C13" s="158">
        <v>1184</v>
      </c>
      <c r="D13" s="282"/>
      <c r="E13" s="182">
        <v>1256229.7250000001</v>
      </c>
      <c r="F13" s="182">
        <v>-623328</v>
      </c>
      <c r="G13" s="182">
        <v>373828</v>
      </c>
      <c r="H13" s="189">
        <f t="shared" si="3"/>
        <v>-249500</v>
      </c>
      <c r="I13" s="159">
        <f t="shared" si="4"/>
        <v>1006729.7250000001</v>
      </c>
      <c r="J13" s="282">
        <f t="shared" si="5"/>
        <v>850.2784839527028</v>
      </c>
      <c r="K13" s="341">
        <f t="shared" si="16"/>
        <v>0.11085159250661838</v>
      </c>
      <c r="M13" s="151"/>
      <c r="N13" s="151"/>
      <c r="O13" s="151"/>
      <c r="P13" s="151"/>
      <c r="Q13" s="151"/>
      <c r="R13" s="151"/>
      <c r="S13" s="151"/>
      <c r="T13" s="151"/>
      <c r="U13" s="222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4">
      <c r="A14" s="180" t="s">
        <v>181</v>
      </c>
      <c r="B14" s="152"/>
      <c r="C14" s="158">
        <v>421</v>
      </c>
      <c r="D14" s="194"/>
      <c r="E14" s="182">
        <v>895809.2</v>
      </c>
      <c r="F14" s="182"/>
      <c r="G14" s="182"/>
      <c r="H14" s="189"/>
      <c r="I14" s="159">
        <f t="shared" si="4"/>
        <v>895809.2</v>
      </c>
      <c r="J14" s="282">
        <f t="shared" si="5"/>
        <v>2127.8128266033254</v>
      </c>
      <c r="K14" s="341">
        <f t="shared" si="16"/>
        <v>0.61627743943688007</v>
      </c>
      <c r="M14" s="151"/>
      <c r="N14" s="151"/>
      <c r="O14" s="151"/>
      <c r="P14" s="151"/>
      <c r="Q14" s="151"/>
      <c r="R14" s="151"/>
      <c r="S14" s="151"/>
      <c r="T14" s="151"/>
      <c r="U14" s="222" t="s">
        <v>251</v>
      </c>
      <c r="V14" s="151" t="s">
        <v>252</v>
      </c>
      <c r="W14" s="151"/>
      <c r="X14" s="170">
        <v>0.95332300000000003</v>
      </c>
      <c r="Y14" s="151"/>
      <c r="Z14" s="151"/>
      <c r="AA14" s="151" t="s">
        <v>253</v>
      </c>
      <c r="AB14" s="151" t="s">
        <v>254</v>
      </c>
      <c r="AC14" s="151"/>
      <c r="AD14" s="151" t="s">
        <v>255</v>
      </c>
      <c r="AE14" s="151"/>
    </row>
    <row r="15" spans="1:31" ht="14.4">
      <c r="A15" s="180" t="s">
        <v>182</v>
      </c>
      <c r="B15" s="152"/>
      <c r="C15" s="158"/>
      <c r="D15" s="194"/>
      <c r="E15" s="182">
        <v>422618.8</v>
      </c>
      <c r="F15" s="182"/>
      <c r="G15" s="182"/>
      <c r="H15" s="189">
        <f t="shared" si="3"/>
        <v>0</v>
      </c>
      <c r="I15" s="159">
        <f t="shared" si="4"/>
        <v>422618.8</v>
      </c>
      <c r="J15" s="282"/>
      <c r="M15" s="151"/>
      <c r="N15" s="151"/>
      <c r="O15" s="151"/>
      <c r="P15" s="151"/>
      <c r="Q15" s="151"/>
      <c r="R15" s="151"/>
      <c r="S15" s="151"/>
      <c r="T15" s="151" t="s">
        <v>142</v>
      </c>
      <c r="U15" s="151" t="s">
        <v>256</v>
      </c>
      <c r="V15" s="151"/>
      <c r="W15" s="151"/>
      <c r="X15" s="223">
        <f>(X3+X4)*X14</f>
        <v>591138.76653037919</v>
      </c>
      <c r="Y15" s="151"/>
      <c r="Z15" s="151" t="s">
        <v>19</v>
      </c>
      <c r="AA15" s="50">
        <f>P3+P4+Q3+Q4+T3+T4</f>
        <v>139338821.60800001</v>
      </c>
      <c r="AB15" s="170">
        <v>4.2399999999999998E-3</v>
      </c>
      <c r="AC15" s="150">
        <f>AA15*AB15</f>
        <v>590796.60361792007</v>
      </c>
      <c r="AD15" s="150">
        <f>X15-AC15</f>
        <v>342.1629124591127</v>
      </c>
      <c r="AE15" s="218">
        <f>AD15/X15</f>
        <v>5.7881995198419899E-4</v>
      </c>
    </row>
    <row r="16" spans="1:31" ht="14.4">
      <c r="A16" s="180" t="s">
        <v>183</v>
      </c>
      <c r="B16" s="152"/>
      <c r="C16" s="158"/>
      <c r="D16" s="195"/>
      <c r="E16" s="182">
        <v>217027.03</v>
      </c>
      <c r="F16" s="182"/>
      <c r="G16" s="182"/>
      <c r="H16" s="189">
        <f t="shared" si="3"/>
        <v>0</v>
      </c>
      <c r="I16" s="159">
        <f t="shared" si="4"/>
        <v>217027.03</v>
      </c>
      <c r="J16" s="282"/>
      <c r="M16" s="151"/>
      <c r="N16" s="151"/>
      <c r="O16" s="151"/>
      <c r="P16" s="151"/>
      <c r="Q16" s="151"/>
      <c r="R16" s="151"/>
      <c r="S16" s="151"/>
      <c r="T16" s="151" t="s">
        <v>142</v>
      </c>
      <c r="U16" s="151" t="s">
        <v>257</v>
      </c>
      <c r="V16" s="151"/>
      <c r="W16" s="151"/>
      <c r="X16" s="223">
        <f>SUM(X5:X11)*X14</f>
        <v>64210.747679167587</v>
      </c>
      <c r="Y16" s="151"/>
      <c r="Z16" s="151" t="s">
        <v>184</v>
      </c>
      <c r="AA16" s="50">
        <f>SUM(P5:Q11,T5:T11)</f>
        <v>168395072.23899999</v>
      </c>
      <c r="AB16" s="170">
        <v>3.8000000000000002E-4</v>
      </c>
      <c r="AC16" s="150">
        <f>AA16*AB16</f>
        <v>63990.12745082</v>
      </c>
      <c r="AD16" s="150">
        <f>X16-AC16</f>
        <v>220.62022834758682</v>
      </c>
      <c r="AE16" s="218">
        <f>AD16/X16</f>
        <v>3.4358769570777699E-3</v>
      </c>
    </row>
    <row r="17" spans="1:26" ht="14.4">
      <c r="A17" s="152"/>
      <c r="B17" s="152"/>
      <c r="C17" s="160">
        <f>SUM(C3:C16)</f>
        <v>250284</v>
      </c>
      <c r="E17" s="160">
        <f>SUM(E3:E16)</f>
        <v>452187272.56700003</v>
      </c>
      <c r="F17" s="160">
        <f>SUM(F3:F16)</f>
        <v>-290569561</v>
      </c>
      <c r="G17" s="160">
        <f>SUM(G3:G16)</f>
        <v>237418718</v>
      </c>
      <c r="H17" s="160">
        <f>SUM(H3:H16)</f>
        <v>-53150843</v>
      </c>
      <c r="I17" s="160">
        <f>SUM(I3:I16)</f>
        <v>399036429.56700003</v>
      </c>
      <c r="Z17" s="151" t="s">
        <v>236</v>
      </c>
    </row>
    <row r="18" spans="1:26" ht="14.4" thickBot="1">
      <c r="A18" s="152"/>
      <c r="B18" s="152"/>
      <c r="C18" s="152"/>
      <c r="E18" s="152"/>
      <c r="F18" s="152"/>
      <c r="G18" s="152"/>
      <c r="I18" s="152"/>
    </row>
    <row r="19" spans="1:26">
      <c r="A19" s="152" t="s">
        <v>19</v>
      </c>
      <c r="B19" s="152"/>
      <c r="C19" s="161">
        <f>C3+C4</f>
        <v>214122</v>
      </c>
      <c r="E19" s="162">
        <f>E3+E4</f>
        <v>165901549.60800001</v>
      </c>
      <c r="F19" s="162">
        <f>F3+F4</f>
        <v>-98116077</v>
      </c>
      <c r="G19" s="162">
        <f>G3+G4</f>
        <v>71553349</v>
      </c>
      <c r="H19" s="162">
        <f>H3+H4</f>
        <v>-26562728</v>
      </c>
      <c r="I19" s="161">
        <f>I3+I4</f>
        <v>139338821.60800001</v>
      </c>
    </row>
    <row r="20" spans="1:26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26" ht="14.4" thickBot="1">
      <c r="A21" s="152" t="s">
        <v>184</v>
      </c>
      <c r="B21" s="152"/>
      <c r="C21" s="177">
        <f>SUM(C5:C8,C11:C13)</f>
        <v>35718</v>
      </c>
      <c r="E21" s="178">
        <f>SUM(E5:E8,E11:E13)</f>
        <v>186022319.23899999</v>
      </c>
      <c r="F21" s="178">
        <f>SUM(F5:F8,F11:F13)</f>
        <v>-93559042</v>
      </c>
      <c r="G21" s="178">
        <f>SUM(G5:G8,G11:G13)</f>
        <v>75931795</v>
      </c>
      <c r="H21" s="178">
        <f>SUM(H5:H8,H11:H13)</f>
        <v>-17627247</v>
      </c>
      <c r="I21" s="177">
        <f>SUM(I5:I8,I11:I13)</f>
        <v>168395072.23899999</v>
      </c>
    </row>
    <row r="22" spans="1:26">
      <c r="A22" s="152"/>
      <c r="B22" s="152"/>
      <c r="C22" s="152"/>
      <c r="D22" s="152"/>
      <c r="E22" s="152"/>
    </row>
    <row r="23" spans="1:26" ht="53.4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26">
      <c r="A24" s="180" t="s">
        <v>131</v>
      </c>
      <c r="B24" s="152"/>
      <c r="C24" s="181">
        <v>1971933.5</v>
      </c>
      <c r="D24" s="181">
        <v>15091920.35</v>
      </c>
      <c r="E24" s="183">
        <v>-9325368</v>
      </c>
      <c r="F24" s="183">
        <v>7160987</v>
      </c>
      <c r="G24" s="174">
        <f>SUM(D24:F24)</f>
        <v>12927539.35</v>
      </c>
      <c r="H24" s="174">
        <f>-K62</f>
        <v>105370.85999</v>
      </c>
      <c r="I24" s="174">
        <f>SUM(G24:H24)</f>
        <v>13032910.20999</v>
      </c>
    </row>
    <row r="25" spans="1:26">
      <c r="A25" s="180" t="s">
        <v>178</v>
      </c>
      <c r="B25" s="152"/>
      <c r="C25" s="181">
        <v>3600</v>
      </c>
      <c r="D25" s="181">
        <v>25392.73</v>
      </c>
      <c r="E25" s="183">
        <v>-10431</v>
      </c>
      <c r="F25" s="183">
        <v>8415</v>
      </c>
      <c r="G25" s="174">
        <f t="shared" ref="G25:G33" si="17">SUM(D25:F25)</f>
        <v>23376.73</v>
      </c>
      <c r="H25" s="174">
        <f t="shared" ref="H25:H30" si="18">-K63</f>
        <v>-1125.7597700000001</v>
      </c>
      <c r="I25" s="174">
        <f t="shared" ref="I25:I34" si="19">SUM(G25:H25)</f>
        <v>22250.970229999999</v>
      </c>
    </row>
    <row r="26" spans="1:26">
      <c r="A26" s="180" t="s">
        <v>132</v>
      </c>
      <c r="B26" s="152"/>
      <c r="C26" s="181">
        <v>449658.68</v>
      </c>
      <c r="D26" s="181">
        <v>5308573.1399999997</v>
      </c>
      <c r="E26" s="183">
        <v>-2833870</v>
      </c>
      <c r="F26" s="183">
        <v>2301471</v>
      </c>
      <c r="G26" s="174">
        <f t="shared" si="17"/>
        <v>4776174.1399999997</v>
      </c>
      <c r="H26" s="174">
        <f t="shared" si="18"/>
        <v>-3187.0400500000078</v>
      </c>
      <c r="I26" s="174">
        <f t="shared" si="19"/>
        <v>4772987.0999499997</v>
      </c>
    </row>
    <row r="27" spans="1:26">
      <c r="A27" s="180" t="s">
        <v>133</v>
      </c>
      <c r="B27" s="152"/>
      <c r="C27" s="181">
        <v>189997.3</v>
      </c>
      <c r="D27" s="181">
        <v>628643.46</v>
      </c>
      <c r="E27" s="183">
        <v>-323447</v>
      </c>
      <c r="F27" s="183">
        <v>295992</v>
      </c>
      <c r="G27" s="174">
        <f t="shared" si="17"/>
        <v>601188.46</v>
      </c>
      <c r="H27" s="174">
        <f t="shared" si="18"/>
        <v>-1303.3958600000001</v>
      </c>
      <c r="I27" s="174">
        <f t="shared" si="19"/>
        <v>599885.06413999991</v>
      </c>
    </row>
    <row r="28" spans="1:26">
      <c r="A28" s="180" t="s">
        <v>134</v>
      </c>
      <c r="B28" s="152"/>
      <c r="C28" s="181">
        <v>906956.66</v>
      </c>
      <c r="D28" s="181">
        <v>10294005.91</v>
      </c>
      <c r="E28" s="183">
        <v>-4748079</v>
      </c>
      <c r="F28" s="183">
        <v>4029997</v>
      </c>
      <c r="G28" s="174">
        <f t="shared" si="17"/>
        <v>9575923.9100000001</v>
      </c>
      <c r="H28" s="174">
        <f t="shared" si="18"/>
        <v>-9744.1374800000012</v>
      </c>
      <c r="I28" s="174">
        <f t="shared" si="19"/>
        <v>9566179.7725200001</v>
      </c>
    </row>
    <row r="29" spans="1:26">
      <c r="A29" s="180" t="s">
        <v>135</v>
      </c>
      <c r="B29" s="152"/>
      <c r="C29" s="181">
        <v>24316.67</v>
      </c>
      <c r="D29" s="181">
        <v>226086.39999999999</v>
      </c>
      <c r="E29" s="183">
        <v>-102634</v>
      </c>
      <c r="F29" s="183">
        <v>92924</v>
      </c>
      <c r="G29" s="174">
        <f t="shared" si="17"/>
        <v>216376.4</v>
      </c>
      <c r="H29" s="174">
        <f t="shared" si="18"/>
        <v>-600.15863999999999</v>
      </c>
      <c r="I29" s="174">
        <f t="shared" si="19"/>
        <v>215776.24135999999</v>
      </c>
    </row>
    <row r="30" spans="1:26">
      <c r="A30" s="180" t="s">
        <v>136</v>
      </c>
      <c r="B30" s="152"/>
      <c r="C30" s="181">
        <v>552000</v>
      </c>
      <c r="D30" s="181">
        <f>5971730.13-82017.43</f>
        <v>5889712.7000000002</v>
      </c>
      <c r="E30" s="183">
        <v>-6159064</v>
      </c>
      <c r="F30" s="183">
        <v>5790051</v>
      </c>
      <c r="G30" s="174">
        <f t="shared" si="17"/>
        <v>5520699.7000000002</v>
      </c>
      <c r="H30" s="174">
        <f t="shared" si="18"/>
        <v>-42954.521459999996</v>
      </c>
      <c r="I30" s="174">
        <f t="shared" si="19"/>
        <v>5477745.1785399998</v>
      </c>
      <c r="J30" s="283"/>
    </row>
    <row r="31" spans="1:26">
      <c r="A31" s="180" t="s">
        <v>180</v>
      </c>
      <c r="B31" s="152"/>
      <c r="C31" s="181">
        <v>980</v>
      </c>
      <c r="D31" s="181">
        <v>400337.89</v>
      </c>
      <c r="E31" s="183">
        <v>0</v>
      </c>
      <c r="F31" s="183">
        <v>0</v>
      </c>
      <c r="G31" s="174">
        <f t="shared" si="17"/>
        <v>400337.89</v>
      </c>
      <c r="H31" s="174">
        <f>-K69</f>
        <v>0</v>
      </c>
      <c r="I31" s="174">
        <f t="shared" si="19"/>
        <v>400337.89</v>
      </c>
    </row>
    <row r="32" spans="1:26">
      <c r="A32" s="180" t="s">
        <v>137</v>
      </c>
      <c r="B32" s="152"/>
      <c r="C32" s="181">
        <v>23700</v>
      </c>
      <c r="D32" s="181">
        <v>1342462.42</v>
      </c>
      <c r="E32" s="183">
        <v>-422754</v>
      </c>
      <c r="F32" s="183">
        <v>355569</v>
      </c>
      <c r="G32" s="174">
        <f t="shared" si="17"/>
        <v>1275277.42</v>
      </c>
      <c r="H32" s="174">
        <f>-K70</f>
        <v>-1492.3202600000006</v>
      </c>
      <c r="I32" s="174">
        <f t="shared" si="19"/>
        <v>1273785.09974</v>
      </c>
    </row>
    <row r="33" spans="1:15">
      <c r="A33" s="180" t="s">
        <v>138</v>
      </c>
      <c r="B33" s="152"/>
      <c r="C33" s="181">
        <v>23880</v>
      </c>
      <c r="D33" s="181">
        <v>130157.16</v>
      </c>
      <c r="E33" s="183">
        <v>-61055</v>
      </c>
      <c r="F33" s="183">
        <v>42268</v>
      </c>
      <c r="G33" s="174">
        <f t="shared" si="17"/>
        <v>111370.16</v>
      </c>
      <c r="H33" s="174">
        <f>-K71</f>
        <v>227.43324000000024</v>
      </c>
      <c r="I33" s="174">
        <f t="shared" si="19"/>
        <v>111597.59324</v>
      </c>
    </row>
    <row r="34" spans="1:15">
      <c r="A34" s="180" t="s">
        <v>192</v>
      </c>
      <c r="B34" s="152"/>
      <c r="C34" s="174"/>
      <c r="D34" s="181">
        <v>552067</v>
      </c>
      <c r="E34" s="181"/>
      <c r="F34" s="181"/>
      <c r="G34" s="174">
        <f>SUM(D34:F34)</f>
        <v>552067</v>
      </c>
      <c r="H34" s="174"/>
      <c r="I34" s="174">
        <f t="shared" si="19"/>
        <v>552067</v>
      </c>
    </row>
    <row r="35" spans="1:15">
      <c r="A35" s="180" t="s">
        <v>193</v>
      </c>
      <c r="B35" s="152"/>
      <c r="C35" s="194"/>
      <c r="D35" s="181">
        <v>2015524.82</v>
      </c>
      <c r="E35" s="181"/>
      <c r="F35" s="181"/>
      <c r="G35" s="174"/>
      <c r="H35" s="174"/>
      <c r="I35" s="174"/>
    </row>
    <row r="36" spans="1:15">
      <c r="A36" s="180" t="s">
        <v>194</v>
      </c>
      <c r="B36" s="152"/>
      <c r="C36" s="194"/>
      <c r="D36" s="181">
        <v>1565796.01</v>
      </c>
      <c r="E36" s="181"/>
      <c r="F36" s="181"/>
      <c r="G36" s="174"/>
      <c r="H36" s="174"/>
      <c r="I36" s="174"/>
    </row>
    <row r="37" spans="1:15">
      <c r="A37" s="152"/>
      <c r="B37" s="152"/>
      <c r="C37" s="166">
        <f t="shared" ref="C37:I37" si="20">SUM(C24:C36)</f>
        <v>4147022.81</v>
      </c>
      <c r="D37" s="166">
        <f t="shared" si="20"/>
        <v>43470679.989999995</v>
      </c>
      <c r="E37" s="166">
        <f t="shared" si="20"/>
        <v>-23986702</v>
      </c>
      <c r="F37" s="166">
        <f t="shared" si="20"/>
        <v>20077674</v>
      </c>
      <c r="G37" s="166">
        <f t="shared" si="20"/>
        <v>35980331.159999996</v>
      </c>
      <c r="H37" s="166">
        <f t="shared" si="20"/>
        <v>45190.959709999981</v>
      </c>
      <c r="I37" s="166">
        <f t="shared" si="20"/>
        <v>36025522.119709998</v>
      </c>
    </row>
    <row r="38" spans="1:15" ht="14.4" thickBot="1">
      <c r="A38" s="152"/>
      <c r="B38" s="152"/>
      <c r="D38" s="167"/>
      <c r="E38" s="152"/>
      <c r="F38" s="152"/>
    </row>
    <row r="39" spans="1:15">
      <c r="A39" s="152" t="s">
        <v>19</v>
      </c>
      <c r="B39" s="152"/>
      <c r="C39" s="169">
        <f t="shared" ref="C39:I39" si="21">C24+C25</f>
        <v>1975533.5</v>
      </c>
      <c r="D39" s="168">
        <f t="shared" si="21"/>
        <v>15117313.08</v>
      </c>
      <c r="E39" s="168">
        <f t="shared" si="21"/>
        <v>-9335799</v>
      </c>
      <c r="F39" s="168">
        <f t="shared" si="21"/>
        <v>7169402</v>
      </c>
      <c r="G39" s="168">
        <f t="shared" si="21"/>
        <v>12950916.08</v>
      </c>
      <c r="H39" s="168">
        <f t="shared" si="21"/>
        <v>104245.10021999999</v>
      </c>
      <c r="I39" s="169">
        <f t="shared" si="21"/>
        <v>13055161.18022</v>
      </c>
    </row>
    <row r="40" spans="1:15" ht="6" customHeight="1">
      <c r="A40" s="152"/>
      <c r="B40" s="152"/>
      <c r="C40" s="173"/>
      <c r="D40" s="168"/>
      <c r="E40" s="152"/>
      <c r="F40" s="152"/>
      <c r="I40" s="190"/>
    </row>
    <row r="41" spans="1:15" ht="14.4" thickBot="1">
      <c r="A41" s="152" t="s">
        <v>184</v>
      </c>
      <c r="B41" s="152"/>
      <c r="C41" s="175">
        <f>SUM(C26:C29,C31:C33)</f>
        <v>1619489.31</v>
      </c>
      <c r="D41" s="176">
        <f t="shared" ref="D41:I41" si="22">SUM(D26:D29,D31:D33)</f>
        <v>18330266.379999999</v>
      </c>
      <c r="E41" s="176">
        <f t="shared" si="22"/>
        <v>-8491839</v>
      </c>
      <c r="F41" s="176">
        <f t="shared" si="22"/>
        <v>7118221</v>
      </c>
      <c r="G41" s="176">
        <f t="shared" si="22"/>
        <v>16956648.379999999</v>
      </c>
      <c r="H41" s="176">
        <f t="shared" si="22"/>
        <v>-16099.619050000008</v>
      </c>
      <c r="I41" s="175">
        <f t="shared" si="22"/>
        <v>16940548.760949999</v>
      </c>
    </row>
    <row r="42" spans="1:15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5">
      <c r="C43" s="191">
        <v>43040</v>
      </c>
      <c r="D43" s="191">
        <v>43252</v>
      </c>
      <c r="E43" s="196">
        <v>43040</v>
      </c>
      <c r="F43" s="192">
        <v>42278</v>
      </c>
      <c r="G43" s="191">
        <v>42948</v>
      </c>
      <c r="H43" s="191">
        <v>43344</v>
      </c>
      <c r="I43" s="191">
        <v>43009</v>
      </c>
      <c r="J43" s="191">
        <v>42380</v>
      </c>
      <c r="K43" s="191">
        <v>43282</v>
      </c>
      <c r="L43" s="191"/>
      <c r="M43" s="196"/>
    </row>
    <row r="44" spans="1:15" ht="39.6">
      <c r="A44" s="179" t="s">
        <v>195</v>
      </c>
      <c r="B44" s="154"/>
      <c r="C44" s="165" t="s">
        <v>196</v>
      </c>
      <c r="D44" s="165" t="s">
        <v>312</v>
      </c>
      <c r="E44" s="165" t="s">
        <v>213</v>
      </c>
      <c r="F44" s="165" t="s">
        <v>197</v>
      </c>
      <c r="G44" s="165" t="s">
        <v>198</v>
      </c>
      <c r="H44" s="165" t="s">
        <v>198</v>
      </c>
      <c r="I44" s="165" t="s">
        <v>199</v>
      </c>
      <c r="J44" s="165" t="s">
        <v>200</v>
      </c>
      <c r="K44" s="165" t="s">
        <v>201</v>
      </c>
      <c r="L44" s="165"/>
      <c r="N44" s="211" t="s">
        <v>229</v>
      </c>
      <c r="O44" s="194" t="s">
        <v>230</v>
      </c>
    </row>
    <row r="45" spans="1:15">
      <c r="A45" s="180" t="s">
        <v>131</v>
      </c>
      <c r="B45" s="152"/>
      <c r="C45" s="171">
        <v>-8.0999999999999996E-4</v>
      </c>
      <c r="D45" s="171">
        <v>-1.42E-3</v>
      </c>
      <c r="E45" s="171">
        <v>4.45E-3</v>
      </c>
      <c r="F45" s="171"/>
      <c r="G45" s="171">
        <v>3.4399999999999999E-3</v>
      </c>
      <c r="H45" s="171">
        <v>4.3299999999999996E-3</v>
      </c>
      <c r="I45" s="171">
        <v>1.0499999999999999E-3</v>
      </c>
      <c r="J45" s="171">
        <v>0</v>
      </c>
      <c r="K45" s="171">
        <v>-3.4000000000000002E-4</v>
      </c>
      <c r="L45" s="171"/>
      <c r="N45" s="171">
        <f>SUM(B45:K45)-G45-H45</f>
        <v>2.9299999999999994E-3</v>
      </c>
      <c r="O45" s="335">
        <f>N45*H3+F3*G45+G3*H45</f>
        <v>-105370.85998999997</v>
      </c>
    </row>
    <row r="46" spans="1:15">
      <c r="A46" s="180" t="s">
        <v>178</v>
      </c>
      <c r="B46" s="152"/>
      <c r="C46" s="171">
        <v>-8.0999999999999996E-4</v>
      </c>
      <c r="D46" s="171">
        <v>-1.42E-3</v>
      </c>
      <c r="E46" s="171">
        <v>4.45E-3</v>
      </c>
      <c r="F46" s="171">
        <v>-3.1530000000000002E-2</v>
      </c>
      <c r="G46" s="171">
        <v>3.4399999999999999E-3</v>
      </c>
      <c r="H46" s="171">
        <v>4.3299999999999996E-3</v>
      </c>
      <c r="I46" s="171">
        <v>1.0499999999999999E-3</v>
      </c>
      <c r="J46" s="171">
        <v>0</v>
      </c>
      <c r="K46" s="171">
        <v>-3.4000000000000002E-4</v>
      </c>
      <c r="L46" s="171"/>
      <c r="N46" s="171">
        <f t="shared" ref="N46:N57" si="23">SUM(B46:K46)-G46-H46</f>
        <v>-2.8600000000000004E-2</v>
      </c>
      <c r="O46" s="335">
        <f t="shared" ref="O46:O57" si="24">N46*H4+F4*G46+G4*H46</f>
        <v>1125.7597700000001</v>
      </c>
    </row>
    <row r="47" spans="1:15">
      <c r="A47" s="180" t="s">
        <v>132</v>
      </c>
      <c r="B47" s="152"/>
      <c r="C47" s="171">
        <v>0</v>
      </c>
      <c r="D47" s="171">
        <v>-1.8799999999999999E-3</v>
      </c>
      <c r="E47" s="171">
        <v>4.0000000000000002E-4</v>
      </c>
      <c r="F47" s="171"/>
      <c r="G47" s="171">
        <v>4.6299999999999996E-3</v>
      </c>
      <c r="H47" s="171">
        <v>5.9699999999999996E-3</v>
      </c>
      <c r="I47" s="171">
        <v>1.5200000000000001E-3</v>
      </c>
      <c r="J47" s="171">
        <v>0</v>
      </c>
      <c r="K47" s="171">
        <v>-3.6000000000000002E-4</v>
      </c>
      <c r="L47" s="171"/>
      <c r="N47" s="171">
        <f t="shared" si="23"/>
        <v>-3.1999999999999824E-4</v>
      </c>
      <c r="O47" s="335">
        <f t="shared" si="24"/>
        <v>3187.040049999996</v>
      </c>
    </row>
    <row r="48" spans="1:15">
      <c r="A48" s="180" t="s">
        <v>133</v>
      </c>
      <c r="B48" s="152"/>
      <c r="C48" s="171">
        <v>-8.0999999999999996E-4</v>
      </c>
      <c r="D48" s="171">
        <v>-1.8799999999999999E-3</v>
      </c>
      <c r="E48" s="171">
        <v>4.0000000000000002E-4</v>
      </c>
      <c r="F48" s="171"/>
      <c r="G48" s="171">
        <v>4.6299999999999996E-3</v>
      </c>
      <c r="H48" s="171">
        <v>5.9699999999999996E-3</v>
      </c>
      <c r="I48" s="171">
        <v>1.5200000000000001E-3</v>
      </c>
      <c r="J48" s="171">
        <v>0</v>
      </c>
      <c r="K48" s="171">
        <v>-3.6000000000000002E-4</v>
      </c>
      <c r="L48" s="171"/>
      <c r="N48" s="171">
        <f t="shared" si="23"/>
        <v>-1.1299999999999982E-3</v>
      </c>
      <c r="O48" s="335">
        <f t="shared" si="24"/>
        <v>1303.3958600000005</v>
      </c>
    </row>
    <row r="49" spans="1:15" ht="14.4" customHeight="1">
      <c r="A49" s="180" t="s">
        <v>134</v>
      </c>
      <c r="B49" s="152"/>
      <c r="C49" s="171">
        <v>0</v>
      </c>
      <c r="D49" s="171">
        <v>-1.4400000000000001E-3</v>
      </c>
      <c r="E49" s="171">
        <v>4.0000000000000002E-4</v>
      </c>
      <c r="F49" s="171"/>
      <c r="G49" s="171">
        <v>3.6600000000000001E-3</v>
      </c>
      <c r="H49" s="171">
        <v>4.5999999999999999E-3</v>
      </c>
      <c r="I49" s="171">
        <v>1.1000000000000001E-3</v>
      </c>
      <c r="J49" s="171">
        <v>0</v>
      </c>
      <c r="K49" s="171">
        <v>-3.6000000000000002E-4</v>
      </c>
      <c r="L49" s="171"/>
      <c r="N49" s="171">
        <f t="shared" si="23"/>
        <v>-2.9999999999999992E-4</v>
      </c>
      <c r="O49" s="335">
        <f t="shared" si="24"/>
        <v>9744.1374800000049</v>
      </c>
    </row>
    <row r="50" spans="1:15">
      <c r="A50" s="180" t="s">
        <v>135</v>
      </c>
      <c r="B50" s="152"/>
      <c r="C50" s="171">
        <v>-8.0999999999999996E-4</v>
      </c>
      <c r="D50" s="171">
        <v>-1.4400000000000001E-3</v>
      </c>
      <c r="E50" s="171">
        <v>4.0000000000000002E-4</v>
      </c>
      <c r="F50" s="171"/>
      <c r="G50" s="171">
        <v>3.6600000000000001E-3</v>
      </c>
      <c r="H50" s="171">
        <v>4.5999999999999999E-3</v>
      </c>
      <c r="I50" s="171">
        <v>1.1000000000000001E-3</v>
      </c>
      <c r="J50" s="171">
        <v>0</v>
      </c>
      <c r="K50" s="171">
        <v>-3.6000000000000002E-4</v>
      </c>
      <c r="L50" s="171"/>
      <c r="N50" s="171">
        <f t="shared" si="23"/>
        <v>-1.1099999999999999E-3</v>
      </c>
      <c r="O50" s="335">
        <f t="shared" si="24"/>
        <v>600.15863999999965</v>
      </c>
    </row>
    <row r="51" spans="1:15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/>
      <c r="G51" s="171">
        <v>2.32E-3</v>
      </c>
      <c r="H51" s="171">
        <v>2.97E-3</v>
      </c>
      <c r="I51" s="171">
        <v>6.8999999999999997E-4</v>
      </c>
      <c r="J51" s="171">
        <v>0</v>
      </c>
      <c r="K51" s="171">
        <v>-3.5E-4</v>
      </c>
      <c r="L51" s="171"/>
      <c r="N51" s="171">
        <f t="shared" si="23"/>
        <v>-5.8999999999999981E-4</v>
      </c>
      <c r="O51" s="335">
        <f t="shared" si="24"/>
        <v>20204.521459999989</v>
      </c>
    </row>
    <row r="52" spans="1:15">
      <c r="A52" s="180" t="s">
        <v>179</v>
      </c>
      <c r="B52" s="152"/>
      <c r="C52" s="171">
        <v>0</v>
      </c>
      <c r="D52" s="171">
        <v>0</v>
      </c>
      <c r="E52" s="171">
        <v>0</v>
      </c>
      <c r="F52" s="171"/>
      <c r="G52" s="171">
        <v>2.32E-3</v>
      </c>
      <c r="H52" s="171">
        <v>2.97E-3</v>
      </c>
      <c r="I52" s="171">
        <v>0</v>
      </c>
      <c r="J52" s="171">
        <v>0</v>
      </c>
      <c r="K52" s="171">
        <v>-3.5E-4</v>
      </c>
      <c r="L52" s="171"/>
      <c r="N52" s="171">
        <f t="shared" si="23"/>
        <v>-3.5000000000000005E-4</v>
      </c>
      <c r="O52" s="335">
        <f t="shared" si="24"/>
        <v>22750</v>
      </c>
    </row>
    <row r="53" spans="1:15">
      <c r="A53" s="180" t="s">
        <v>180</v>
      </c>
      <c r="B53" s="152"/>
      <c r="C53" s="171">
        <v>0</v>
      </c>
      <c r="D53" s="171">
        <v>-1.2999999999999999E-3</v>
      </c>
      <c r="E53" s="171">
        <v>4.0000000000000002E-4</v>
      </c>
      <c r="F53" s="171"/>
      <c r="G53" s="171">
        <v>3.4099999999999998E-3</v>
      </c>
      <c r="H53" s="171">
        <v>4.3299999999999996E-3</v>
      </c>
      <c r="I53" s="171">
        <v>9.6000000000000002E-4</v>
      </c>
      <c r="J53" s="171">
        <v>0</v>
      </c>
      <c r="K53" s="171">
        <v>-3.6999999999999999E-4</v>
      </c>
      <c r="L53" s="171"/>
      <c r="N53" s="171">
        <f t="shared" si="23"/>
        <v>-3.0999999999999951E-4</v>
      </c>
      <c r="O53" s="335">
        <f t="shared" si="24"/>
        <v>0</v>
      </c>
    </row>
    <row r="54" spans="1:15">
      <c r="A54" s="180" t="s">
        <v>137</v>
      </c>
      <c r="B54" s="152"/>
      <c r="C54" s="171">
        <v>0</v>
      </c>
      <c r="D54" s="171">
        <v>-1.2999999999999999E-3</v>
      </c>
      <c r="E54" s="171">
        <v>4.0000000000000002E-4</v>
      </c>
      <c r="F54" s="171"/>
      <c r="G54" s="171">
        <v>3.4099999999999998E-3</v>
      </c>
      <c r="H54" s="171">
        <v>4.3299999999999996E-3</v>
      </c>
      <c r="I54" s="171">
        <v>9.6000000000000002E-4</v>
      </c>
      <c r="J54" s="171">
        <v>0</v>
      </c>
      <c r="K54" s="171">
        <v>-3.6999999999999999E-4</v>
      </c>
      <c r="L54" s="171"/>
      <c r="N54" s="171">
        <f t="shared" si="23"/>
        <v>-3.0999999999999951E-4</v>
      </c>
      <c r="O54" s="335">
        <f t="shared" si="24"/>
        <v>1492.3202600000004</v>
      </c>
    </row>
    <row r="55" spans="1:15">
      <c r="A55" s="180" t="s">
        <v>138</v>
      </c>
      <c r="B55" s="152"/>
      <c r="C55" s="171">
        <v>-8.0999999999999996E-4</v>
      </c>
      <c r="D55" s="171">
        <v>-1.2999999999999999E-3</v>
      </c>
      <c r="E55" s="171">
        <v>4.0000000000000002E-4</v>
      </c>
      <c r="F55" s="171"/>
      <c r="G55" s="171">
        <v>3.4099999999999998E-3</v>
      </c>
      <c r="H55" s="171">
        <v>4.3299999999999996E-3</v>
      </c>
      <c r="I55" s="171">
        <v>9.6000000000000002E-4</v>
      </c>
      <c r="J55" s="171">
        <v>0</v>
      </c>
      <c r="K55" s="171">
        <v>-3.6999999999999999E-4</v>
      </c>
      <c r="L55" s="171"/>
      <c r="N55" s="171">
        <f t="shared" si="23"/>
        <v>-1.1199999999999995E-3</v>
      </c>
      <c r="O55" s="335">
        <f t="shared" si="24"/>
        <v>-227.4332400000003</v>
      </c>
    </row>
    <row r="56" spans="1:15">
      <c r="A56" s="180" t="s">
        <v>192</v>
      </c>
      <c r="B56" s="152"/>
      <c r="C56" s="171">
        <v>0</v>
      </c>
      <c r="D56" s="171">
        <v>0</v>
      </c>
      <c r="E56" s="171">
        <v>0</v>
      </c>
      <c r="F56" s="171"/>
      <c r="G56" s="186">
        <v>1.2149999999999999E-2</v>
      </c>
      <c r="H56" s="186">
        <v>1.013E-2</v>
      </c>
      <c r="I56" s="401" t="s">
        <v>214</v>
      </c>
      <c r="J56" s="171">
        <v>0</v>
      </c>
      <c r="K56" s="186">
        <v>-4.8000000000000001E-4</v>
      </c>
      <c r="L56" s="186"/>
      <c r="N56" s="171">
        <f t="shared" si="23"/>
        <v>-4.7999999999999952E-4</v>
      </c>
      <c r="O56" s="335">
        <f t="shared" si="24"/>
        <v>0</v>
      </c>
    </row>
    <row r="57" spans="1:15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/>
      <c r="G57" s="186">
        <v>1.2149999999999999E-2</v>
      </c>
      <c r="H57" s="186">
        <v>1.013E-2</v>
      </c>
      <c r="I57" s="401"/>
      <c r="J57" s="171">
        <v>0</v>
      </c>
      <c r="K57" s="186">
        <v>-4.8000000000000001E-4</v>
      </c>
      <c r="L57" s="186"/>
      <c r="N57" s="171">
        <f t="shared" si="23"/>
        <v>-1.2900000000000012E-3</v>
      </c>
      <c r="O57" s="335">
        <f t="shared" si="24"/>
        <v>0</v>
      </c>
    </row>
    <row r="58" spans="1:15">
      <c r="A58" s="180"/>
      <c r="B58" s="152"/>
      <c r="C58" s="171"/>
      <c r="D58" s="171"/>
      <c r="E58" s="171"/>
      <c r="F58" s="171"/>
      <c r="G58" s="186"/>
      <c r="H58" s="336"/>
      <c r="I58" s="171"/>
      <c r="J58" s="186"/>
      <c r="K58" s="171"/>
      <c r="L58" s="212"/>
      <c r="M58" s="335"/>
      <c r="N58" s="194"/>
    </row>
    <row r="59" spans="1:15">
      <c r="A59" s="180"/>
      <c r="B59" s="152"/>
      <c r="C59" s="171"/>
      <c r="D59" s="171"/>
      <c r="E59" s="171"/>
      <c r="F59" s="171"/>
      <c r="G59" s="186"/>
      <c r="H59" s="336"/>
      <c r="I59" s="171"/>
      <c r="J59" s="186"/>
      <c r="K59" s="171"/>
      <c r="L59" s="212"/>
      <c r="M59" s="335"/>
      <c r="N59" s="194"/>
    </row>
    <row r="60" spans="1:15">
      <c r="F60" s="152"/>
      <c r="M60" s="335"/>
      <c r="N60" s="335">
        <f>SUM(O45:O57)</f>
        <v>-45190.959709999974</v>
      </c>
    </row>
    <row r="61" spans="1:15" ht="41.4" customHeight="1">
      <c r="A61" s="179" t="s">
        <v>202</v>
      </c>
      <c r="B61" s="154"/>
      <c r="C61" s="172" t="s">
        <v>368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206</v>
      </c>
      <c r="J61" s="172" t="s">
        <v>207</v>
      </c>
      <c r="K61" s="172" t="s">
        <v>208</v>
      </c>
      <c r="N61" s="168"/>
    </row>
    <row r="62" spans="1:15">
      <c r="A62" s="180" t="s">
        <v>131</v>
      </c>
      <c r="C62" s="168">
        <f t="shared" ref="C62:D67" si="25">C45*$H3</f>
        <v>21483.00387</v>
      </c>
      <c r="D62" s="168">
        <f t="shared" si="25"/>
        <v>37661.562340000004</v>
      </c>
      <c r="E62" s="168">
        <f t="shared" ref="E62:E67" si="26">E45*H3</f>
        <v>-118023.91015</v>
      </c>
      <c r="F62" s="168">
        <f t="shared" ref="F62:F67" si="27">$H3*F45</f>
        <v>0</v>
      </c>
      <c r="G62" s="168">
        <f>($F3*G45)+(G3*H45)</f>
        <v>-27660.734880000004</v>
      </c>
      <c r="H62" s="168">
        <f t="shared" ref="H62:H67" si="28">($H3*I45)</f>
        <v>-27848.338349999998</v>
      </c>
      <c r="I62" s="168">
        <f t="shared" ref="I62:I67" si="29">$H3*J45</f>
        <v>0</v>
      </c>
      <c r="J62" s="168">
        <f t="shared" ref="J62:J67" si="30">K45*H3</f>
        <v>9017.5571799999998</v>
      </c>
      <c r="K62" s="168">
        <f>SUM(C62:J62)</f>
        <v>-105370.85999</v>
      </c>
      <c r="N62" s="168"/>
    </row>
    <row r="63" spans="1:15">
      <c r="A63" s="180" t="s">
        <v>178</v>
      </c>
      <c r="C63" s="168">
        <f t="shared" si="25"/>
        <v>32.805810000000001</v>
      </c>
      <c r="D63" s="168">
        <f t="shared" si="25"/>
        <v>57.511420000000001</v>
      </c>
      <c r="E63" s="168">
        <f t="shared" si="26"/>
        <v>-180.22944999999999</v>
      </c>
      <c r="F63" s="168">
        <f t="shared" si="27"/>
        <v>1276.9965300000001</v>
      </c>
      <c r="G63" s="168">
        <f t="shared" ref="G63:G67" si="31">($F4*G46)+(G4*H46)</f>
        <v>-32.568830000000048</v>
      </c>
      <c r="H63" s="168">
        <f t="shared" si="28"/>
        <v>-42.526049999999998</v>
      </c>
      <c r="I63" s="168">
        <f t="shared" si="29"/>
        <v>0</v>
      </c>
      <c r="J63" s="168">
        <f t="shared" si="30"/>
        <v>13.770340000000001</v>
      </c>
      <c r="K63" s="168">
        <f t="shared" ref="K63:K72" si="32">SUM(C63:J63)</f>
        <v>1125.7597700000001</v>
      </c>
      <c r="N63" s="168"/>
    </row>
    <row r="64" spans="1:15">
      <c r="A64" s="180" t="s">
        <v>132</v>
      </c>
      <c r="C64" s="168">
        <f t="shared" si="25"/>
        <v>0</v>
      </c>
      <c r="D64" s="168">
        <f t="shared" si="25"/>
        <v>9796.76836</v>
      </c>
      <c r="E64" s="168">
        <f t="shared" si="26"/>
        <v>-2084.4187999999999</v>
      </c>
      <c r="F64" s="168">
        <f t="shared" si="27"/>
        <v>0</v>
      </c>
      <c r="G64" s="168">
        <f t="shared" si="31"/>
        <v>1519.505010000008</v>
      </c>
      <c r="H64" s="168">
        <f t="shared" si="28"/>
        <v>-7920.7914400000009</v>
      </c>
      <c r="I64" s="168">
        <f t="shared" si="29"/>
        <v>0</v>
      </c>
      <c r="J64" s="168">
        <f t="shared" si="30"/>
        <v>1875.9769200000001</v>
      </c>
      <c r="K64" s="168">
        <f t="shared" si="32"/>
        <v>3187.0400500000078</v>
      </c>
      <c r="N64" s="168"/>
    </row>
    <row r="65" spans="1:14">
      <c r="A65" s="180" t="s">
        <v>133</v>
      </c>
      <c r="C65" s="168">
        <f t="shared" si="25"/>
        <v>227.84733</v>
      </c>
      <c r="D65" s="168">
        <f t="shared" si="25"/>
        <v>528.83083999999997</v>
      </c>
      <c r="E65" s="168">
        <f t="shared" si="26"/>
        <v>-112.5172</v>
      </c>
      <c r="F65" s="168">
        <f t="shared" si="27"/>
        <v>0</v>
      </c>
      <c r="G65" s="168">
        <f t="shared" si="31"/>
        <v>985.53477000000021</v>
      </c>
      <c r="H65" s="168">
        <f t="shared" si="28"/>
        <v>-427.56536</v>
      </c>
      <c r="I65" s="168">
        <f t="shared" si="29"/>
        <v>0</v>
      </c>
      <c r="J65" s="168">
        <f t="shared" si="30"/>
        <v>101.26548000000001</v>
      </c>
      <c r="K65" s="168">
        <f t="shared" si="32"/>
        <v>1303.3958600000001</v>
      </c>
      <c r="N65" s="168"/>
    </row>
    <row r="66" spans="1:14">
      <c r="A66" s="180" t="s">
        <v>134</v>
      </c>
      <c r="C66" s="168">
        <f t="shared" si="25"/>
        <v>0</v>
      </c>
      <c r="D66" s="168">
        <f t="shared" si="25"/>
        <v>15041.615040000001</v>
      </c>
      <c r="E66" s="168">
        <f t="shared" si="26"/>
        <v>-4178.2264000000005</v>
      </c>
      <c r="F66" s="168">
        <f t="shared" si="27"/>
        <v>0</v>
      </c>
      <c r="G66" s="168">
        <f t="shared" si="31"/>
        <v>6610.4676800000016</v>
      </c>
      <c r="H66" s="168">
        <f t="shared" si="28"/>
        <v>-11490.122600000001</v>
      </c>
      <c r="I66" s="168">
        <f t="shared" si="29"/>
        <v>0</v>
      </c>
      <c r="J66" s="168">
        <f t="shared" si="30"/>
        <v>3760.4037600000001</v>
      </c>
      <c r="K66" s="168">
        <f t="shared" si="32"/>
        <v>9744.1374800000012</v>
      </c>
      <c r="N66" s="168"/>
    </row>
    <row r="67" spans="1:14">
      <c r="A67" s="180" t="s">
        <v>135</v>
      </c>
      <c r="C67" s="168">
        <f t="shared" si="25"/>
        <v>128.71223999999998</v>
      </c>
      <c r="D67" s="168">
        <f t="shared" si="25"/>
        <v>228.82176000000001</v>
      </c>
      <c r="E67" s="168">
        <f t="shared" si="26"/>
        <v>-63.561600000000006</v>
      </c>
      <c r="F67" s="168">
        <f t="shared" si="27"/>
        <v>0</v>
      </c>
      <c r="G67" s="168">
        <f t="shared" si="31"/>
        <v>423.77520000000004</v>
      </c>
      <c r="H67" s="168">
        <f t="shared" si="28"/>
        <v>-174.79440000000002</v>
      </c>
      <c r="I67" s="168">
        <f t="shared" si="29"/>
        <v>0</v>
      </c>
      <c r="J67" s="168">
        <f t="shared" si="30"/>
        <v>57.205440000000003</v>
      </c>
      <c r="K67" s="168">
        <f t="shared" si="32"/>
        <v>600.15863999999999</v>
      </c>
      <c r="N67" s="168"/>
    </row>
    <row r="68" spans="1:14">
      <c r="A68" s="180" t="s">
        <v>136</v>
      </c>
      <c r="C68" s="168">
        <f t="shared" ref="C68:E68" si="33">$H9*C51+$H10*C52</f>
        <v>0</v>
      </c>
      <c r="D68" s="168">
        <f t="shared" si="33"/>
        <v>8333.6072400000012</v>
      </c>
      <c r="E68" s="168">
        <f t="shared" si="33"/>
        <v>0</v>
      </c>
      <c r="F68" s="168">
        <f>$H9*F51+$H10*F52</f>
        <v>0</v>
      </c>
      <c r="G68" s="168">
        <f>($F9*G51)+(G9*H51)+(F10*G52)+(G10*H52)</f>
        <v>37667.609339999995</v>
      </c>
      <c r="H68" s="168">
        <f>$H9*I51+$H10*I52</f>
        <v>-6182.99892</v>
      </c>
      <c r="I68" s="168">
        <f>$H9*J51+$H10*J52</f>
        <v>0</v>
      </c>
      <c r="J68" s="168">
        <f>$H9*K51+$H10*K52</f>
        <v>3136.3038000000001</v>
      </c>
      <c r="K68" s="168">
        <f t="shared" si="32"/>
        <v>42954.521459999996</v>
      </c>
      <c r="N68" s="168"/>
    </row>
    <row r="69" spans="1:14">
      <c r="A69" s="180" t="s">
        <v>180</v>
      </c>
      <c r="C69" s="168">
        <f>$H11*C53</f>
        <v>0</v>
      </c>
      <c r="D69" s="168">
        <f>$H11*D53</f>
        <v>0</v>
      </c>
      <c r="E69" s="168">
        <f t="shared" ref="C69:F71" si="34">$H11*E53</f>
        <v>0</v>
      </c>
      <c r="F69" s="168">
        <f t="shared" si="34"/>
        <v>0</v>
      </c>
      <c r="G69" s="168">
        <f>($F11*G53)+(G11*H53)</f>
        <v>0</v>
      </c>
      <c r="H69" s="168">
        <f>($H11*I53)</f>
        <v>0</v>
      </c>
      <c r="I69" s="168">
        <f t="shared" ref="I69:J71" si="35">$H11*J53</f>
        <v>0</v>
      </c>
      <c r="J69" s="168">
        <f t="shared" si="35"/>
        <v>0</v>
      </c>
      <c r="K69" s="168">
        <f t="shared" si="32"/>
        <v>0</v>
      </c>
      <c r="N69" s="168"/>
    </row>
    <row r="70" spans="1:14">
      <c r="A70" s="180" t="s">
        <v>137</v>
      </c>
      <c r="C70" s="168">
        <f t="shared" si="34"/>
        <v>0</v>
      </c>
      <c r="D70" s="168">
        <f t="shared" si="34"/>
        <v>1665.2180999999998</v>
      </c>
      <c r="E70" s="168">
        <f t="shared" si="34"/>
        <v>-512.37480000000005</v>
      </c>
      <c r="F70" s="168">
        <f t="shared" si="34"/>
        <v>0</v>
      </c>
      <c r="G70" s="168">
        <f t="shared" ref="G70" si="36">($F12*G54)+(G12*H54)</f>
        <v>1095.2297900000012</v>
      </c>
      <c r="H70" s="168">
        <f>($H12*I54)</f>
        <v>-1229.6995200000001</v>
      </c>
      <c r="I70" s="168">
        <f t="shared" si="35"/>
        <v>0</v>
      </c>
      <c r="J70" s="168">
        <f t="shared" si="35"/>
        <v>473.94668999999999</v>
      </c>
      <c r="K70" s="168">
        <f t="shared" si="32"/>
        <v>1492.3202600000006</v>
      </c>
      <c r="N70" s="168"/>
    </row>
    <row r="71" spans="1:14">
      <c r="A71" s="180" t="s">
        <v>138</v>
      </c>
      <c r="C71" s="168">
        <f t="shared" si="34"/>
        <v>202.095</v>
      </c>
      <c r="D71" s="168">
        <f t="shared" si="34"/>
        <v>324.34999999999997</v>
      </c>
      <c r="E71" s="168">
        <f t="shared" si="34"/>
        <v>-99.800000000000011</v>
      </c>
      <c r="F71" s="168">
        <f t="shared" si="34"/>
        <v>0</v>
      </c>
      <c r="G71" s="168">
        <f>($F13*G55)+(G13*H55)</f>
        <v>-506.87324000000012</v>
      </c>
      <c r="H71" s="168">
        <f>($H13*I55)</f>
        <v>-239.52</v>
      </c>
      <c r="I71" s="168">
        <f t="shared" si="35"/>
        <v>0</v>
      </c>
      <c r="J71" s="168">
        <f t="shared" si="35"/>
        <v>92.314999999999998</v>
      </c>
      <c r="K71" s="168">
        <f t="shared" si="32"/>
        <v>-227.43324000000024</v>
      </c>
      <c r="N71" s="168"/>
    </row>
    <row r="72" spans="1:14">
      <c r="A72" s="180" t="s">
        <v>192</v>
      </c>
      <c r="C72" s="168">
        <f>($H14+$H15)*C56+$H16*C57</f>
        <v>0</v>
      </c>
      <c r="D72" s="168">
        <f>($H14+$H15)*D56+$H16*D57</f>
        <v>0</v>
      </c>
      <c r="E72" s="168">
        <f>($H14+$H15)*E56+$H16*E57</f>
        <v>0</v>
      </c>
      <c r="F72" s="168">
        <f>($H14+$H15)*F56+$H16*F57</f>
        <v>0</v>
      </c>
      <c r="G72" s="168">
        <f>($F14*G56)+(G14*H56)</f>
        <v>0</v>
      </c>
      <c r="H72" s="168"/>
      <c r="I72" s="168">
        <f>($H14+$H15)*J56+$H16*J57</f>
        <v>0</v>
      </c>
      <c r="J72" s="168">
        <f>($H14+$H15)*K56+$H16*K57</f>
        <v>0</v>
      </c>
      <c r="K72" s="168">
        <f t="shared" si="32"/>
        <v>0</v>
      </c>
    </row>
    <row r="73" spans="1:14">
      <c r="A73" s="157"/>
      <c r="C73" s="193">
        <f t="shared" ref="C73:J73" si="37">SUM(C62:C72)</f>
        <v>22074.464250000005</v>
      </c>
      <c r="D73" s="193">
        <f>SUM(D62:D72)</f>
        <v>73638.285100000023</v>
      </c>
      <c r="E73" s="193">
        <f t="shared" si="37"/>
        <v>-125255.0384</v>
      </c>
      <c r="F73" s="193">
        <f t="shared" si="37"/>
        <v>1276.9965300000001</v>
      </c>
      <c r="G73" s="337">
        <f t="shared" si="37"/>
        <v>20101.944840000004</v>
      </c>
      <c r="H73" s="193">
        <f t="shared" si="37"/>
        <v>-55556.356639999998</v>
      </c>
      <c r="I73" s="193">
        <f t="shared" si="37"/>
        <v>0</v>
      </c>
      <c r="J73" s="193">
        <f t="shared" si="37"/>
        <v>18528.744609999998</v>
      </c>
      <c r="K73" s="193">
        <f>SUM(K62:K72)</f>
        <v>-45190.959709999981</v>
      </c>
    </row>
    <row r="75" spans="1:14">
      <c r="A75" s="152" t="s">
        <v>19</v>
      </c>
      <c r="B75" s="152"/>
      <c r="C75" s="168">
        <f t="shared" ref="C75:J75" si="38">C62+C63</f>
        <v>21515.809680000002</v>
      </c>
      <c r="D75" s="168">
        <f t="shared" si="38"/>
        <v>37719.073760000007</v>
      </c>
      <c r="E75" s="168">
        <f t="shared" si="38"/>
        <v>-118204.13959999999</v>
      </c>
      <c r="F75" s="168">
        <f t="shared" si="38"/>
        <v>1276.9965300000001</v>
      </c>
      <c r="G75" s="168">
        <f t="shared" si="38"/>
        <v>-27693.303710000004</v>
      </c>
      <c r="H75" s="168">
        <f t="shared" si="38"/>
        <v>-27890.864399999999</v>
      </c>
      <c r="I75" s="168">
        <f t="shared" si="38"/>
        <v>0</v>
      </c>
      <c r="J75" s="168">
        <f t="shared" si="38"/>
        <v>9031.3275199999989</v>
      </c>
      <c r="K75" s="168">
        <f>K62+K63</f>
        <v>-104245.10021999999</v>
      </c>
    </row>
    <row r="76" spans="1:14">
      <c r="A76" s="152"/>
      <c r="B76" s="152"/>
      <c r="C76" s="168"/>
      <c r="D76" s="168"/>
      <c r="E76" s="168"/>
      <c r="F76" s="168"/>
      <c r="G76" s="168"/>
      <c r="H76" s="168"/>
      <c r="I76" s="168"/>
      <c r="J76" s="168"/>
      <c r="K76" s="168"/>
    </row>
    <row r="77" spans="1:14" ht="15.75" customHeight="1">
      <c r="A77" s="152" t="s">
        <v>184</v>
      </c>
      <c r="B77" s="152"/>
      <c r="C77" s="176">
        <f t="shared" ref="C77:J77" si="39">SUM(C64:C67,C69:C71)</f>
        <v>558.65457000000004</v>
      </c>
      <c r="D77" s="176">
        <f>SUM(D64:D67,D69:D71)</f>
        <v>27585.604099999997</v>
      </c>
      <c r="E77" s="176">
        <f>SUM(E64:E67,E69:E71)</f>
        <v>-7050.8987999999999</v>
      </c>
      <c r="F77" s="176">
        <f>SUM(F64:F67,F69:F71)</f>
        <v>0</v>
      </c>
      <c r="G77" s="176">
        <f t="shared" si="39"/>
        <v>10127.63921000001</v>
      </c>
      <c r="H77" s="176">
        <f t="shared" si="39"/>
        <v>-21482.493320000005</v>
      </c>
      <c r="I77" s="176">
        <f t="shared" si="39"/>
        <v>0</v>
      </c>
      <c r="J77" s="176">
        <f t="shared" si="39"/>
        <v>6361.1132899999993</v>
      </c>
      <c r="K77" s="176">
        <f>SUM(K64:K67,K69:K71)</f>
        <v>16099.619050000008</v>
      </c>
    </row>
    <row r="79" spans="1:14" ht="14.4">
      <c r="A79" s="151" t="s">
        <v>215</v>
      </c>
      <c r="B79" s="151"/>
      <c r="C79" s="151"/>
      <c r="D79" s="151"/>
      <c r="E79" s="151"/>
      <c r="F79" s="151"/>
    </row>
    <row r="80" spans="1:14" ht="14.4">
      <c r="A80" s="151" t="s">
        <v>223</v>
      </c>
      <c r="B80" s="151"/>
      <c r="C80" s="151"/>
      <c r="D80" s="151"/>
      <c r="E80" s="151"/>
      <c r="F80" s="151"/>
    </row>
    <row r="81" spans="1:14" ht="15.75" customHeight="1">
      <c r="A81" s="170" t="s">
        <v>222</v>
      </c>
      <c r="B81" s="170"/>
      <c r="C81" s="170"/>
      <c r="D81" s="170"/>
      <c r="E81" s="170"/>
      <c r="F81" s="151"/>
    </row>
    <row r="82" spans="1:14" ht="28.8">
      <c r="A82" s="170"/>
      <c r="B82" s="197" t="s">
        <v>216</v>
      </c>
      <c r="C82" s="197" t="s">
        <v>217</v>
      </c>
      <c r="D82" s="197" t="s">
        <v>218</v>
      </c>
      <c r="E82" s="197" t="s">
        <v>221</v>
      </c>
      <c r="F82" s="151"/>
      <c r="G82" s="403" t="s">
        <v>374</v>
      </c>
      <c r="H82" s="403"/>
      <c r="I82" s="403"/>
      <c r="J82" s="403"/>
      <c r="M82" s="200"/>
      <c r="N82" s="200"/>
    </row>
    <row r="83" spans="1:14" ht="14.4">
      <c r="A83" s="329" t="s">
        <v>370</v>
      </c>
      <c r="B83" s="198">
        <v>1</v>
      </c>
      <c r="C83" s="199">
        <v>779045</v>
      </c>
      <c r="D83" s="200">
        <f>70547.97-C83*SUM(N51,H51)</f>
        <v>68693.842900000003</v>
      </c>
      <c r="E83" s="200">
        <f>500*B83</f>
        <v>500</v>
      </c>
      <c r="F83" s="201" t="s">
        <v>219</v>
      </c>
      <c r="H83" s="198"/>
      <c r="I83" s="199"/>
      <c r="J83" s="200"/>
      <c r="K83" s="200"/>
      <c r="L83" s="201"/>
    </row>
    <row r="84" spans="1:14" ht="14.4">
      <c r="A84" s="202" t="s">
        <v>258</v>
      </c>
      <c r="B84" s="203">
        <f>SUM(B83:B83)</f>
        <v>1</v>
      </c>
      <c r="C84" s="204">
        <f>SUM(C83:C83)</f>
        <v>779045</v>
      </c>
      <c r="D84" s="205">
        <f>SUM(D83:D83)</f>
        <v>68693.842900000003</v>
      </c>
      <c r="E84" s="205">
        <f>SUM(E83:E83)</f>
        <v>500</v>
      </c>
      <c r="F84" s="151"/>
    </row>
    <row r="85" spans="1:14" ht="14.4">
      <c r="A85" s="170"/>
      <c r="B85" s="170"/>
      <c r="C85" s="170"/>
      <c r="D85" s="170"/>
      <c r="E85" s="170"/>
      <c r="F85" s="151"/>
    </row>
    <row r="86" spans="1:14" ht="14.4">
      <c r="A86" s="206"/>
      <c r="B86" s="198"/>
      <c r="C86" s="199"/>
      <c r="D86" s="200"/>
      <c r="E86" s="200"/>
      <c r="F86" s="151"/>
    </row>
    <row r="87" spans="1:14" ht="14.4">
      <c r="B87" s="198"/>
      <c r="C87" s="199"/>
      <c r="D87" s="200"/>
      <c r="E87" s="200"/>
    </row>
    <row r="88" spans="1:14" ht="9" customHeight="1"/>
  </sheetData>
  <mergeCells count="3">
    <mergeCell ref="A1:I1"/>
    <mergeCell ref="I56:I57"/>
    <mergeCell ref="G82:J82"/>
  </mergeCells>
  <printOptions horizontalCentered="1"/>
  <pageMargins left="0.7" right="0.7" top="0.5" bottom="0.5" header="0.3" footer="0.3"/>
  <pageSetup scale="75" fitToHeight="3" orientation="landscape" r:id="rId1"/>
  <headerFooter>
    <oddFooter>&amp;L&amp;F / &amp;A&amp;RPage &amp;P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</sheetPr>
  <dimension ref="A1:AE88"/>
  <sheetViews>
    <sheetView zoomScaleNormal="100" workbookViewId="0">
      <selection activeCell="A35" sqref="A1:XFD1048576"/>
    </sheetView>
  </sheetViews>
  <sheetFormatPr defaultColWidth="9.109375" defaultRowHeight="13.8"/>
  <cols>
    <col min="1" max="1" width="14.6640625" style="1" customWidth="1"/>
    <col min="2" max="2" width="10.109375" style="1" customWidth="1"/>
    <col min="3" max="3" width="16.33203125" style="1" customWidth="1"/>
    <col min="4" max="4" width="18.6640625" style="1" customWidth="1"/>
    <col min="5" max="5" width="15.5546875" style="1" customWidth="1"/>
    <col min="6" max="6" width="14.6640625" style="1" bestFit="1" customWidth="1"/>
    <col min="7" max="7" width="15.5546875" style="1" customWidth="1"/>
    <col min="8" max="8" width="13.5546875" style="1" bestFit="1" customWidth="1"/>
    <col min="9" max="9" width="14.5546875" style="1" bestFit="1" customWidth="1"/>
    <col min="10" max="10" width="12.109375" style="1" bestFit="1" customWidth="1"/>
    <col min="11" max="11" width="12.6640625" style="1" customWidth="1"/>
    <col min="12" max="12" width="13.44140625" style="1" bestFit="1" customWidth="1"/>
    <col min="13" max="13" width="15.6640625" style="1" customWidth="1"/>
    <col min="14" max="14" width="10.88671875" style="1" customWidth="1"/>
    <col min="15" max="15" width="12.44140625" style="1" customWidth="1"/>
    <col min="16" max="16" width="13.33203125" style="1" customWidth="1"/>
    <col min="17" max="17" width="16" style="1" customWidth="1"/>
    <col min="18" max="18" width="10" style="1" customWidth="1"/>
    <col min="19" max="19" width="17.6640625" style="1" customWidth="1"/>
    <col min="20" max="20" width="13.44140625" style="1" customWidth="1"/>
    <col min="21" max="21" width="10.5546875" style="1" customWidth="1"/>
    <col min="22" max="22" width="13.88671875" style="1" customWidth="1"/>
    <col min="23" max="23" width="2.88671875" style="1" customWidth="1"/>
    <col min="24" max="24" width="13.6640625" style="1" customWidth="1"/>
    <col min="25" max="25" width="1.6640625" style="1" customWidth="1"/>
    <col min="26" max="27" width="13.6640625" style="1" customWidth="1"/>
    <col min="28" max="28" width="11.6640625" style="1" customWidth="1"/>
    <col min="29" max="29" width="13.6640625" style="1" customWidth="1"/>
    <col min="30" max="16384" width="9.109375" style="1"/>
  </cols>
  <sheetData>
    <row r="1" spans="1:31" ht="14.4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M1" s="151" t="s">
        <v>234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 t="s">
        <v>235</v>
      </c>
      <c r="AA1" s="224" t="s">
        <v>297</v>
      </c>
      <c r="AB1" s="151"/>
      <c r="AC1" s="151" t="s">
        <v>237</v>
      </c>
      <c r="AD1" s="224" t="s">
        <v>296</v>
      </c>
      <c r="AE1" s="151"/>
    </row>
    <row r="2" spans="1:31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M2" s="151"/>
      <c r="N2" s="151"/>
      <c r="O2" s="287" t="str">
        <f>AA1&amp;" Billed Schedule 75 Revenue"</f>
        <v>August Billed Schedule 75 Revenue</v>
      </c>
      <c r="P2" s="287" t="str">
        <f>AA1&amp;" Billed kWhs"</f>
        <v>August Billed kWhs</v>
      </c>
      <c r="Q2" s="287" t="str">
        <f>AA1&amp;" Unbilled kWhs"</f>
        <v>August Unbilled kWhs</v>
      </c>
      <c r="R2" s="287" t="s">
        <v>238</v>
      </c>
      <c r="S2" s="287" t="s">
        <v>239</v>
      </c>
      <c r="T2" s="287" t="str">
        <f>AD1&amp;" Unbilled kWhs reversal"</f>
        <v>July Unbilled kWhs reversal</v>
      </c>
      <c r="U2" s="287" t="s">
        <v>238</v>
      </c>
      <c r="V2" s="287" t="str">
        <f>AD1&amp;" Schedule 75 Unbilled Reversal"</f>
        <v>July Schedule 75 Unbilled Reversal</v>
      </c>
      <c r="W2" s="151"/>
      <c r="X2" s="287" t="str">
        <f>"Total "&amp;AA1&amp;" Schedule 75 Revenue"</f>
        <v>Total August Schedule 75 Revenue</v>
      </c>
      <c r="Y2" s="151"/>
      <c r="Z2" s="287" t="str">
        <f>"Calendar "&amp;AA1&amp;" Usage"</f>
        <v>Calendar August Usage</v>
      </c>
      <c r="AA2" s="287" t="str">
        <f>R2</f>
        <v>11/1/2017 rate</v>
      </c>
      <c r="AB2" s="287" t="s">
        <v>240</v>
      </c>
      <c r="AC2" s="287" t="s">
        <v>241</v>
      </c>
      <c r="AD2" s="287" t="str">
        <f>"implied "&amp;AD1&amp;" unbilled/Cancel-Rebill True-up kWhs"</f>
        <v>implied July unbilled/Cancel-Rebill True-up kWhs</v>
      </c>
      <c r="AE2" s="151"/>
    </row>
    <row r="3" spans="1:31" ht="14.4">
      <c r="A3" s="180" t="s">
        <v>131</v>
      </c>
      <c r="B3" s="152"/>
      <c r="C3" s="158">
        <v>215250</v>
      </c>
      <c r="D3" s="282"/>
      <c r="E3" s="182">
        <v>204769910.78900999</v>
      </c>
      <c r="F3" s="182">
        <v>-100822517</v>
      </c>
      <c r="G3" s="182">
        <f>103479910-5524283</f>
        <v>97955627</v>
      </c>
      <c r="H3" s="189">
        <f>SUM(F3:G3)</f>
        <v>-2866890</v>
      </c>
      <c r="I3" s="159">
        <f>E3+H3</f>
        <v>201903020.78900999</v>
      </c>
      <c r="J3" s="282"/>
      <c r="M3" s="151" t="s">
        <v>242</v>
      </c>
      <c r="N3" s="151"/>
      <c r="O3" s="214">
        <v>911249.75</v>
      </c>
      <c r="P3" s="225">
        <f t="shared" ref="P3:P8" si="0">E3</f>
        <v>204769910.78900999</v>
      </c>
      <c r="Q3" s="225">
        <f t="shared" ref="Q3:Q8" si="1">G3</f>
        <v>97955627</v>
      </c>
      <c r="R3" s="206">
        <v>4.45E-3</v>
      </c>
      <c r="S3" s="215">
        <f>Q3*R3</f>
        <v>435902.54015000002</v>
      </c>
      <c r="T3" s="225">
        <f t="shared" ref="T3:T8" si="2">F3</f>
        <v>-100822517</v>
      </c>
      <c r="U3" s="206">
        <v>4.45E-3</v>
      </c>
      <c r="V3" s="216">
        <f>T3*U3</f>
        <v>-448660.20065000001</v>
      </c>
      <c r="W3" s="151"/>
      <c r="X3" s="150">
        <f>O3+S3+V3</f>
        <v>898492.0895</v>
      </c>
      <c r="Y3" s="151"/>
      <c r="Z3" s="95">
        <f>P3+Q3+T3</f>
        <v>201903020.78900999</v>
      </c>
      <c r="AA3" s="170">
        <f>R3</f>
        <v>4.45E-3</v>
      </c>
      <c r="AB3" s="217">
        <f>Z3*AA3</f>
        <v>898468.44251109438</v>
      </c>
      <c r="AC3" s="150">
        <f>X3-AB3</f>
        <v>23.646988905617036</v>
      </c>
      <c r="AD3" s="95">
        <f>AC3/AA3</f>
        <v>5313.9300911498958</v>
      </c>
      <c r="AE3" s="218">
        <f>AC3/X3</f>
        <v>2.6318527655347863E-5</v>
      </c>
    </row>
    <row r="4" spans="1:31" ht="14.4">
      <c r="A4" s="180" t="s">
        <v>178</v>
      </c>
      <c r="B4" s="152"/>
      <c r="C4" s="158">
        <v>398</v>
      </c>
      <c r="D4" s="282"/>
      <c r="E4" s="182">
        <v>335409.13400000002</v>
      </c>
      <c r="F4" s="182">
        <v>-173265</v>
      </c>
      <c r="G4" s="182">
        <v>160450</v>
      </c>
      <c r="H4" s="189">
        <f t="shared" ref="H4:H16" si="3">SUM(F4:G4)</f>
        <v>-12815</v>
      </c>
      <c r="I4" s="159">
        <f t="shared" ref="I4:I16" si="4">E4+H4</f>
        <v>322594.13400000002</v>
      </c>
      <c r="J4" s="282"/>
      <c r="M4" s="151" t="s">
        <v>243</v>
      </c>
      <c r="N4" s="151"/>
      <c r="O4" s="214">
        <v>1492.65</v>
      </c>
      <c r="P4" s="225">
        <f t="shared" si="0"/>
        <v>335409.13400000002</v>
      </c>
      <c r="Q4" s="225">
        <f t="shared" si="1"/>
        <v>160450</v>
      </c>
      <c r="R4" s="206">
        <v>4.45E-3</v>
      </c>
      <c r="S4" s="215">
        <f>Q4*R4</f>
        <v>714.00249999999994</v>
      </c>
      <c r="T4" s="225">
        <f t="shared" si="2"/>
        <v>-173265</v>
      </c>
      <c r="U4" s="206">
        <v>4.45E-3</v>
      </c>
      <c r="V4" s="216">
        <f t="shared" ref="V4:V11" si="5">T4*U4</f>
        <v>-771.02925000000005</v>
      </c>
      <c r="W4" s="151"/>
      <c r="X4" s="150">
        <f t="shared" ref="X4:X11" si="6">O4+S4+V4</f>
        <v>1435.6232500000001</v>
      </c>
      <c r="Y4" s="151"/>
      <c r="Z4" s="95">
        <f t="shared" ref="Z4:Z11" si="7">P4+Q4+T4</f>
        <v>322594.13400000002</v>
      </c>
      <c r="AA4" s="170">
        <f t="shared" ref="AA4:AA11" si="8">R4</f>
        <v>4.45E-3</v>
      </c>
      <c r="AB4" s="217">
        <f t="shared" ref="AB4:AB11" si="9">Z4*AA4</f>
        <v>1435.5438963000001</v>
      </c>
      <c r="AC4" s="150">
        <f t="shared" ref="AC4:AC11" si="10">X4-AB4</f>
        <v>7.9353699999956007E-2</v>
      </c>
      <c r="AD4" s="95">
        <f t="shared" ref="AD4:AD11" si="11">AC4/AA4</f>
        <v>17.832292134821575</v>
      </c>
      <c r="AE4" s="218">
        <f t="shared" ref="AE4:AE12" si="12">AC4/X4</f>
        <v>5.5274738689245941E-5</v>
      </c>
    </row>
    <row r="5" spans="1:31" ht="14.4">
      <c r="A5" s="180" t="s">
        <v>132</v>
      </c>
      <c r="B5" s="152"/>
      <c r="C5" s="158">
        <v>22870</v>
      </c>
      <c r="D5" s="282"/>
      <c r="E5" s="182">
        <v>51053201.441</v>
      </c>
      <c r="F5" s="182">
        <v>-27487278</v>
      </c>
      <c r="G5" s="182">
        <v>24350340</v>
      </c>
      <c r="H5" s="189">
        <f t="shared" si="3"/>
        <v>-3136938</v>
      </c>
      <c r="I5" s="159">
        <f t="shared" si="4"/>
        <v>47916263.441</v>
      </c>
      <c r="J5" s="282"/>
      <c r="M5" s="151" t="s">
        <v>244</v>
      </c>
      <c r="N5" s="151"/>
      <c r="O5" s="214">
        <v>20420.080000000002</v>
      </c>
      <c r="P5" s="225">
        <f t="shared" si="0"/>
        <v>51053201.441</v>
      </c>
      <c r="Q5" s="225">
        <f t="shared" si="1"/>
        <v>24350340</v>
      </c>
      <c r="R5" s="219">
        <v>4.0000000000000002E-4</v>
      </c>
      <c r="S5" s="215">
        <f>Q5*R5</f>
        <v>9740.1360000000004</v>
      </c>
      <c r="T5" s="225">
        <f t="shared" si="2"/>
        <v>-27487278</v>
      </c>
      <c r="U5" s="219">
        <v>4.0000000000000002E-4</v>
      </c>
      <c r="V5" s="216">
        <f t="shared" si="5"/>
        <v>-10994.9112</v>
      </c>
      <c r="W5" s="151"/>
      <c r="X5" s="150">
        <f t="shared" si="6"/>
        <v>19165.304799999998</v>
      </c>
      <c r="Y5" s="151"/>
      <c r="Z5" s="95">
        <f t="shared" si="7"/>
        <v>47916263.441</v>
      </c>
      <c r="AA5" s="220">
        <f t="shared" si="8"/>
        <v>4.0000000000000002E-4</v>
      </c>
      <c r="AB5" s="217">
        <f t="shared" si="9"/>
        <v>19166.5053764</v>
      </c>
      <c r="AC5" s="150">
        <f t="shared" si="10"/>
        <v>-1.2005764000023191</v>
      </c>
      <c r="AD5" s="95">
        <f t="shared" si="11"/>
        <v>-3001.4410000057978</v>
      </c>
      <c r="AE5" s="218">
        <f t="shared" si="12"/>
        <v>-6.2643219741661461E-5</v>
      </c>
    </row>
    <row r="6" spans="1:31" ht="14.4">
      <c r="A6" s="180" t="s">
        <v>133</v>
      </c>
      <c r="B6" s="152"/>
      <c r="C6" s="158">
        <v>9482</v>
      </c>
      <c r="D6" s="282"/>
      <c r="E6" s="182">
        <v>4157216.8590000002</v>
      </c>
      <c r="F6" s="182">
        <v>-2278873</v>
      </c>
      <c r="G6" s="182">
        <v>1988697</v>
      </c>
      <c r="H6" s="189">
        <f t="shared" si="3"/>
        <v>-290176</v>
      </c>
      <c r="I6" s="159">
        <f t="shared" si="4"/>
        <v>3867040.8590000002</v>
      </c>
      <c r="J6" s="282"/>
      <c r="M6" s="151" t="s">
        <v>245</v>
      </c>
      <c r="N6" s="151"/>
      <c r="O6" s="214">
        <v>1662.17</v>
      </c>
      <c r="P6" s="225">
        <f t="shared" si="0"/>
        <v>4157216.8590000002</v>
      </c>
      <c r="Q6" s="225">
        <f t="shared" si="1"/>
        <v>1988697</v>
      </c>
      <c r="R6" s="219">
        <v>4.0000000000000002E-4</v>
      </c>
      <c r="S6" s="215">
        <f t="shared" ref="S6:S11" si="13">Q6*R6</f>
        <v>795.47880000000009</v>
      </c>
      <c r="T6" s="225">
        <f t="shared" si="2"/>
        <v>-2278873</v>
      </c>
      <c r="U6" s="219">
        <v>4.0000000000000002E-4</v>
      </c>
      <c r="V6" s="216">
        <f t="shared" si="5"/>
        <v>-911.54920000000004</v>
      </c>
      <c r="W6" s="151"/>
      <c r="X6" s="150">
        <f t="shared" si="6"/>
        <v>1546.0996</v>
      </c>
      <c r="Y6" s="151"/>
      <c r="Z6" s="95">
        <f t="shared" si="7"/>
        <v>3867040.8590000002</v>
      </c>
      <c r="AA6" s="220">
        <f t="shared" si="8"/>
        <v>4.0000000000000002E-4</v>
      </c>
      <c r="AB6" s="217">
        <f t="shared" si="9"/>
        <v>1546.8163436000002</v>
      </c>
      <c r="AC6" s="150">
        <f t="shared" si="10"/>
        <v>-0.71674360000019988</v>
      </c>
      <c r="AD6" s="95">
        <f t="shared" si="11"/>
        <v>-1791.8590000004997</v>
      </c>
      <c r="AE6" s="218">
        <f t="shared" si="12"/>
        <v>-4.6358177700854449E-4</v>
      </c>
    </row>
    <row r="7" spans="1:31" ht="14.4">
      <c r="A7" s="180" t="s">
        <v>134</v>
      </c>
      <c r="B7" s="152"/>
      <c r="C7" s="158">
        <v>1857</v>
      </c>
      <c r="D7" s="282"/>
      <c r="E7" s="182">
        <v>122191477.355</v>
      </c>
      <c r="F7" s="182">
        <v>-69470717</v>
      </c>
      <c r="G7" s="182">
        <v>58149012</v>
      </c>
      <c r="H7" s="189">
        <f t="shared" si="3"/>
        <v>-11321705</v>
      </c>
      <c r="I7" s="159">
        <f t="shared" si="4"/>
        <v>110869772.355</v>
      </c>
      <c r="J7" s="282"/>
      <c r="M7" s="151" t="s">
        <v>246</v>
      </c>
      <c r="N7" s="151"/>
      <c r="O7" s="214">
        <v>48876.46</v>
      </c>
      <c r="P7" s="225">
        <f t="shared" si="0"/>
        <v>122191477.355</v>
      </c>
      <c r="Q7" s="225">
        <f t="shared" si="1"/>
        <v>58149012</v>
      </c>
      <c r="R7" s="219">
        <v>4.0000000000000002E-4</v>
      </c>
      <c r="S7" s="215">
        <f t="shared" si="13"/>
        <v>23259.604800000001</v>
      </c>
      <c r="T7" s="225">
        <f t="shared" si="2"/>
        <v>-69470717</v>
      </c>
      <c r="U7" s="219">
        <v>4.0000000000000002E-4</v>
      </c>
      <c r="V7" s="216">
        <f t="shared" si="5"/>
        <v>-27788.286800000002</v>
      </c>
      <c r="W7" s="151"/>
      <c r="X7" s="150">
        <f t="shared" si="6"/>
        <v>44347.777999999991</v>
      </c>
      <c r="Y7" s="151"/>
      <c r="Z7" s="95">
        <f t="shared" si="7"/>
        <v>110869772.35500002</v>
      </c>
      <c r="AA7" s="220">
        <f t="shared" si="8"/>
        <v>4.0000000000000002E-4</v>
      </c>
      <c r="AB7" s="217">
        <f t="shared" si="9"/>
        <v>44347.908942000009</v>
      </c>
      <c r="AC7" s="150">
        <f t="shared" si="10"/>
        <v>-0.13094200001796708</v>
      </c>
      <c r="AD7" s="95">
        <f t="shared" si="11"/>
        <v>-327.35500004491769</v>
      </c>
      <c r="AE7" s="218">
        <f t="shared" si="12"/>
        <v>-2.9526169274583973E-6</v>
      </c>
    </row>
    <row r="8" spans="1:31" ht="14.4">
      <c r="A8" s="180" t="s">
        <v>135</v>
      </c>
      <c r="B8" s="152"/>
      <c r="C8" s="158">
        <v>47</v>
      </c>
      <c r="D8" s="282"/>
      <c r="E8" s="182">
        <v>2567959.92</v>
      </c>
      <c r="F8" s="182">
        <v>-1380771</v>
      </c>
      <c r="G8" s="182">
        <v>1228440</v>
      </c>
      <c r="H8" s="189">
        <f t="shared" si="3"/>
        <v>-152331</v>
      </c>
      <c r="I8" s="159">
        <f t="shared" si="4"/>
        <v>2415628.92</v>
      </c>
      <c r="J8" s="282"/>
      <c r="M8" s="151" t="s">
        <v>247</v>
      </c>
      <c r="N8" s="151"/>
      <c r="O8" s="214">
        <v>1027.19</v>
      </c>
      <c r="P8" s="225">
        <f t="shared" si="0"/>
        <v>2567959.92</v>
      </c>
      <c r="Q8" s="225">
        <f t="shared" si="1"/>
        <v>1228440</v>
      </c>
      <c r="R8" s="219">
        <v>4.0000000000000002E-4</v>
      </c>
      <c r="S8" s="215">
        <f t="shared" si="13"/>
        <v>491.37600000000003</v>
      </c>
      <c r="T8" s="225">
        <f t="shared" si="2"/>
        <v>-1380771</v>
      </c>
      <c r="U8" s="219">
        <v>4.0000000000000002E-4</v>
      </c>
      <c r="V8" s="216">
        <f t="shared" si="5"/>
        <v>-552.30840000000001</v>
      </c>
      <c r="W8" s="151"/>
      <c r="X8" s="150">
        <f t="shared" si="6"/>
        <v>966.25760000000002</v>
      </c>
      <c r="Y8" s="151"/>
      <c r="Z8" s="95">
        <f t="shared" si="7"/>
        <v>2415628.92</v>
      </c>
      <c r="AA8" s="220">
        <f t="shared" si="8"/>
        <v>4.0000000000000002E-4</v>
      </c>
      <c r="AB8" s="217">
        <f t="shared" si="9"/>
        <v>966.25156800000002</v>
      </c>
      <c r="AC8" s="150">
        <f t="shared" si="10"/>
        <v>6.0320000000047003E-3</v>
      </c>
      <c r="AD8" s="95">
        <f t="shared" si="11"/>
        <v>15.080000000011751</v>
      </c>
      <c r="AE8" s="218">
        <f t="shared" si="12"/>
        <v>6.2426417137673222E-6</v>
      </c>
    </row>
    <row r="9" spans="1:31" ht="14.4">
      <c r="A9" s="180" t="s">
        <v>136</v>
      </c>
      <c r="B9" s="152"/>
      <c r="C9" s="158">
        <v>23</v>
      </c>
      <c r="D9" s="194"/>
      <c r="E9" s="182">
        <f>95462593.19-E10</f>
        <v>60685021.189999998</v>
      </c>
      <c r="F9" s="182">
        <f>-95141639-F10</f>
        <v>-60141639</v>
      </c>
      <c r="G9" s="182">
        <f>98894442-G10</f>
        <v>63894442</v>
      </c>
      <c r="H9" s="189">
        <f t="shared" si="3"/>
        <v>3752803</v>
      </c>
      <c r="I9" s="159">
        <f t="shared" si="4"/>
        <v>64437824.189999998</v>
      </c>
      <c r="J9" s="282"/>
      <c r="M9" s="151" t="s">
        <v>248</v>
      </c>
      <c r="N9" s="151"/>
      <c r="O9" s="214">
        <v>2525.34</v>
      </c>
      <c r="P9" s="225">
        <f>E11</f>
        <v>6313288.5669999998</v>
      </c>
      <c r="Q9" s="225">
        <f>G11</f>
        <v>0</v>
      </c>
      <c r="R9" s="219">
        <v>4.0000000000000002E-4</v>
      </c>
      <c r="S9" s="215">
        <f t="shared" si="13"/>
        <v>0</v>
      </c>
      <c r="T9" s="225">
        <f>F11</f>
        <v>0</v>
      </c>
      <c r="U9" s="219">
        <v>4.0000000000000002E-4</v>
      </c>
      <c r="V9" s="216">
        <f t="shared" si="5"/>
        <v>0</v>
      </c>
      <c r="W9" s="151"/>
      <c r="X9" s="150">
        <f t="shared" si="6"/>
        <v>2525.34</v>
      </c>
      <c r="Y9" s="151"/>
      <c r="Z9" s="95">
        <f t="shared" si="7"/>
        <v>6313288.5669999998</v>
      </c>
      <c r="AA9" s="220">
        <f t="shared" si="8"/>
        <v>4.0000000000000002E-4</v>
      </c>
      <c r="AB9" s="217">
        <f t="shared" si="9"/>
        <v>2525.3154267999998</v>
      </c>
      <c r="AC9" s="150">
        <f t="shared" si="10"/>
        <v>2.4573200000304496E-2</v>
      </c>
      <c r="AD9" s="95">
        <f t="shared" si="11"/>
        <v>61.43300000076124</v>
      </c>
      <c r="AE9" s="218">
        <f t="shared" si="12"/>
        <v>9.730650130400063E-6</v>
      </c>
    </row>
    <row r="10" spans="1:31" ht="14.4">
      <c r="A10" s="180" t="s">
        <v>179</v>
      </c>
      <c r="B10" s="152"/>
      <c r="C10" s="158"/>
      <c r="D10" s="194"/>
      <c r="E10" s="182">
        <v>34777572</v>
      </c>
      <c r="F10" s="182">
        <v>-35000000</v>
      </c>
      <c r="G10" s="182">
        <v>35000000</v>
      </c>
      <c r="H10" s="189">
        <f t="shared" si="3"/>
        <v>0</v>
      </c>
      <c r="I10" s="159">
        <f t="shared" si="4"/>
        <v>34777572</v>
      </c>
      <c r="J10" s="282"/>
      <c r="M10" s="151" t="s">
        <v>249</v>
      </c>
      <c r="N10" s="151"/>
      <c r="O10" s="214">
        <v>7928.43</v>
      </c>
      <c r="P10" s="225">
        <f>E12</f>
        <v>19821419.405000001</v>
      </c>
      <c r="Q10" s="225">
        <f>G12</f>
        <v>7219225</v>
      </c>
      <c r="R10" s="219">
        <v>4.0000000000000002E-4</v>
      </c>
      <c r="S10" s="215">
        <f t="shared" si="13"/>
        <v>2887.69</v>
      </c>
      <c r="T10" s="225">
        <f>F12</f>
        <v>-6510007</v>
      </c>
      <c r="U10" s="219">
        <v>4.0000000000000002E-4</v>
      </c>
      <c r="V10" s="216">
        <f t="shared" si="5"/>
        <v>-2604.0028000000002</v>
      </c>
      <c r="W10" s="151"/>
      <c r="X10" s="150">
        <f>O10+S10+V10</f>
        <v>8212.1172000000006</v>
      </c>
      <c r="Y10" s="151"/>
      <c r="Z10" s="95">
        <f t="shared" si="7"/>
        <v>20530637.405000001</v>
      </c>
      <c r="AA10" s="220">
        <f t="shared" si="8"/>
        <v>4.0000000000000002E-4</v>
      </c>
      <c r="AB10" s="217">
        <f t="shared" si="9"/>
        <v>8212.2549620000009</v>
      </c>
      <c r="AC10" s="150">
        <f t="shared" si="10"/>
        <v>-0.13776200000029348</v>
      </c>
      <c r="AD10" s="95">
        <f t="shared" si="11"/>
        <v>-344.40500000073371</v>
      </c>
      <c r="AE10" s="218">
        <f t="shared" si="12"/>
        <v>-1.6775454690331682E-5</v>
      </c>
    </row>
    <row r="11" spans="1:31" ht="14.4">
      <c r="A11" s="180" t="s">
        <v>180</v>
      </c>
      <c r="B11" s="152"/>
      <c r="C11" s="158">
        <v>50</v>
      </c>
      <c r="D11" s="282"/>
      <c r="E11" s="182">
        <v>6313288.5669999998</v>
      </c>
      <c r="F11" s="182">
        <v>0</v>
      </c>
      <c r="G11" s="182">
        <v>0</v>
      </c>
      <c r="H11" s="189">
        <f t="shared" si="3"/>
        <v>0</v>
      </c>
      <c r="I11" s="159">
        <f t="shared" si="4"/>
        <v>6313288.5669999998</v>
      </c>
      <c r="J11" s="282"/>
      <c r="M11" s="151" t="s">
        <v>250</v>
      </c>
      <c r="N11" s="151"/>
      <c r="O11" s="214">
        <v>752.44</v>
      </c>
      <c r="P11" s="225">
        <f>E13</f>
        <v>1881129.7009999999</v>
      </c>
      <c r="Q11" s="225">
        <f>G13</f>
        <v>623328</v>
      </c>
      <c r="R11" s="219">
        <v>4.0000000000000002E-4</v>
      </c>
      <c r="S11" s="215">
        <f t="shared" si="13"/>
        <v>249.33120000000002</v>
      </c>
      <c r="T11" s="225">
        <f>F13</f>
        <v>-605650</v>
      </c>
      <c r="U11" s="219">
        <v>4.0000000000000002E-4</v>
      </c>
      <c r="V11" s="216">
        <f t="shared" si="5"/>
        <v>-242.26000000000002</v>
      </c>
      <c r="W11" s="151"/>
      <c r="X11" s="150">
        <f t="shared" si="6"/>
        <v>759.51120000000014</v>
      </c>
      <c r="Y11" s="151"/>
      <c r="Z11" s="95">
        <f t="shared" si="7"/>
        <v>1898807.7009999999</v>
      </c>
      <c r="AA11" s="220">
        <f t="shared" si="8"/>
        <v>4.0000000000000002E-4</v>
      </c>
      <c r="AB11" s="217">
        <f t="shared" si="9"/>
        <v>759.52308040000003</v>
      </c>
      <c r="AC11" s="150">
        <f t="shared" si="10"/>
        <v>-1.1880399999881774E-2</v>
      </c>
      <c r="AD11" s="95">
        <f t="shared" si="11"/>
        <v>-29.700999999704436</v>
      </c>
      <c r="AE11" s="218">
        <f t="shared" si="12"/>
        <v>-1.5642165645327906E-5</v>
      </c>
    </row>
    <row r="12" spans="1:31" ht="14.4">
      <c r="A12" s="180" t="s">
        <v>137</v>
      </c>
      <c r="B12" s="152"/>
      <c r="C12" s="158">
        <v>1214</v>
      </c>
      <c r="D12" s="282"/>
      <c r="E12" s="182">
        <v>19821419.405000001</v>
      </c>
      <c r="F12" s="182">
        <v>-6510007</v>
      </c>
      <c r="G12" s="182">
        <v>7219225</v>
      </c>
      <c r="H12" s="189">
        <f t="shared" si="3"/>
        <v>709218</v>
      </c>
      <c r="I12" s="159">
        <f t="shared" si="4"/>
        <v>20530637.405000001</v>
      </c>
      <c r="J12" s="282"/>
      <c r="M12" s="151"/>
      <c r="N12" s="151"/>
      <c r="O12" s="221">
        <f>SUM(O3:O11)</f>
        <v>995934.50999999989</v>
      </c>
      <c r="P12" s="51">
        <f>SUM(P3:P11)</f>
        <v>413091013.1710099</v>
      </c>
      <c r="Q12" s="51">
        <f>SUM(Q3:Q11)</f>
        <v>191675119</v>
      </c>
      <c r="R12" s="151"/>
      <c r="S12" s="221">
        <f>SUM(S3:S11)</f>
        <v>474040.15945000004</v>
      </c>
      <c r="T12" s="51">
        <f>SUM(T3:T11)</f>
        <v>-208729078</v>
      </c>
      <c r="U12" s="151"/>
      <c r="V12" s="221">
        <f>SUM(V3:V11)</f>
        <v>-492524.54830000002</v>
      </c>
      <c r="W12" s="151"/>
      <c r="X12" s="221">
        <f>SUM(X3:X11)</f>
        <v>977450.1211499999</v>
      </c>
      <c r="Y12" s="151"/>
      <c r="Z12" s="51">
        <f>SUM(Z3:Z11)</f>
        <v>396037054.1710099</v>
      </c>
      <c r="AA12" s="151"/>
      <c r="AB12" s="51">
        <f>SUM(AB3:AB11)</f>
        <v>977428.56210659433</v>
      </c>
      <c r="AC12" s="221">
        <f>SUM(AC3:AC11)</f>
        <v>21.55904340559664</v>
      </c>
      <c r="AD12" s="51">
        <f>SUM(AD3:AD11)</f>
        <v>-86.485616766162821</v>
      </c>
      <c r="AE12" s="218">
        <f t="shared" si="12"/>
        <v>2.2056412843073533E-5</v>
      </c>
    </row>
    <row r="13" spans="1:31" ht="14.4">
      <c r="A13" s="180" t="s">
        <v>138</v>
      </c>
      <c r="B13" s="152"/>
      <c r="C13" s="158">
        <v>1209</v>
      </c>
      <c r="D13" s="282"/>
      <c r="E13" s="182">
        <v>1881129.7009999999</v>
      </c>
      <c r="F13" s="182">
        <v>-605650</v>
      </c>
      <c r="G13" s="182">
        <v>623328</v>
      </c>
      <c r="H13" s="189">
        <f t="shared" si="3"/>
        <v>17678</v>
      </c>
      <c r="I13" s="159">
        <f t="shared" si="4"/>
        <v>1898807.7009999999</v>
      </c>
      <c r="J13" s="282"/>
      <c r="M13" s="151"/>
      <c r="N13" s="151"/>
      <c r="O13" s="151"/>
      <c r="P13" s="151"/>
      <c r="Q13" s="151"/>
      <c r="R13" s="151"/>
      <c r="S13" s="151"/>
      <c r="T13" s="151"/>
      <c r="U13" s="222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4">
      <c r="A14" s="180" t="s">
        <v>181</v>
      </c>
      <c r="B14" s="152"/>
      <c r="C14" s="158">
        <v>416</v>
      </c>
      <c r="D14" s="194"/>
      <c r="E14" s="182">
        <v>944989.42</v>
      </c>
      <c r="F14" s="182"/>
      <c r="G14" s="182"/>
      <c r="H14" s="189"/>
      <c r="I14" s="159">
        <f t="shared" si="4"/>
        <v>944989.42</v>
      </c>
      <c r="M14" s="151"/>
      <c r="N14" s="151"/>
      <c r="O14" s="151"/>
      <c r="P14" s="151"/>
      <c r="Q14" s="151"/>
      <c r="R14" s="151"/>
      <c r="S14" s="151"/>
      <c r="T14" s="151"/>
      <c r="U14" s="222" t="s">
        <v>251</v>
      </c>
      <c r="V14" s="151" t="s">
        <v>252</v>
      </c>
      <c r="W14" s="151"/>
      <c r="X14" s="170">
        <v>0.95332300000000003</v>
      </c>
      <c r="Y14" s="151"/>
      <c r="Z14" s="151"/>
      <c r="AA14" s="151" t="s">
        <v>253</v>
      </c>
      <c r="AB14" s="151" t="s">
        <v>254</v>
      </c>
      <c r="AC14" s="151"/>
      <c r="AD14" s="151" t="s">
        <v>255</v>
      </c>
      <c r="AE14" s="151"/>
    </row>
    <row r="15" spans="1:31" ht="14.4">
      <c r="A15" s="180" t="s">
        <v>182</v>
      </c>
      <c r="B15" s="152"/>
      <c r="C15" s="158"/>
      <c r="D15" s="194"/>
      <c r="E15" s="182">
        <v>415332.44</v>
      </c>
      <c r="F15" s="182"/>
      <c r="G15" s="182"/>
      <c r="H15" s="189">
        <f t="shared" si="3"/>
        <v>0</v>
      </c>
      <c r="I15" s="159">
        <f t="shared" si="4"/>
        <v>415332.44</v>
      </c>
      <c r="M15" s="151"/>
      <c r="N15" s="151"/>
      <c r="O15" s="151"/>
      <c r="P15" s="151"/>
      <c r="Q15" s="151"/>
      <c r="R15" s="151"/>
      <c r="S15" s="151"/>
      <c r="T15" s="151" t="s">
        <v>142</v>
      </c>
      <c r="U15" s="151" t="s">
        <v>256</v>
      </c>
      <c r="V15" s="151"/>
      <c r="W15" s="151"/>
      <c r="X15" s="223">
        <f>(X3+X4)*X14</f>
        <v>857921.78690196818</v>
      </c>
      <c r="Y15" s="151"/>
      <c r="Z15" s="151" t="s">
        <v>19</v>
      </c>
      <c r="AA15" s="50">
        <f>P3+P4+Q3+Q4+T3+T4</f>
        <v>202225614.92300999</v>
      </c>
      <c r="AB15" s="170">
        <v>4.2399999999999998E-3</v>
      </c>
      <c r="AC15" s="150">
        <f>AA15*AB15</f>
        <v>857436.60727356235</v>
      </c>
      <c r="AD15" s="150">
        <f>X15-AC15</f>
        <v>485.17962840583641</v>
      </c>
      <c r="AE15" s="218">
        <f>AD15/X15</f>
        <v>5.6552897456755723E-4</v>
      </c>
    </row>
    <row r="16" spans="1:31" ht="14.4">
      <c r="A16" s="180" t="s">
        <v>183</v>
      </c>
      <c r="B16" s="152"/>
      <c r="C16" s="158"/>
      <c r="D16" s="195"/>
      <c r="E16" s="182">
        <v>218547.3</v>
      </c>
      <c r="F16" s="182"/>
      <c r="G16" s="182"/>
      <c r="H16" s="189">
        <f t="shared" si="3"/>
        <v>0</v>
      </c>
      <c r="I16" s="159">
        <f t="shared" si="4"/>
        <v>218547.3</v>
      </c>
      <c r="M16" s="151"/>
      <c r="N16" s="151"/>
      <c r="O16" s="151"/>
      <c r="P16" s="151"/>
      <c r="Q16" s="151"/>
      <c r="R16" s="151"/>
      <c r="S16" s="151"/>
      <c r="T16" s="151" t="s">
        <v>142</v>
      </c>
      <c r="U16" s="151" t="s">
        <v>257</v>
      </c>
      <c r="V16" s="151"/>
      <c r="W16" s="151"/>
      <c r="X16" s="223">
        <f>SUM(X5:X11)*X14</f>
        <v>73903.894943113177</v>
      </c>
      <c r="Y16" s="151"/>
      <c r="Z16" s="151" t="s">
        <v>184</v>
      </c>
      <c r="AA16" s="50">
        <f>SUM(P5:Q11,T5:T11)</f>
        <v>193811439.24799991</v>
      </c>
      <c r="AB16" s="170">
        <v>3.8000000000000002E-4</v>
      </c>
      <c r="AC16" s="150">
        <f>AA16*AB16</f>
        <v>73648.34691423997</v>
      </c>
      <c r="AD16" s="150">
        <f>X16-AC16</f>
        <v>255.54802887320693</v>
      </c>
      <c r="AE16" s="218">
        <f>AD16/X16</f>
        <v>3.4578425003162906E-3</v>
      </c>
    </row>
    <row r="17" spans="1:26" ht="14.4">
      <c r="A17" s="152"/>
      <c r="B17" s="152"/>
      <c r="C17" s="160">
        <f>SUM(C3:C16)</f>
        <v>252816</v>
      </c>
      <c r="E17" s="160">
        <f>SUM(E3:E16)</f>
        <v>510132475.52100998</v>
      </c>
      <c r="F17" s="160">
        <f>SUM(F3:F16)</f>
        <v>-303870717</v>
      </c>
      <c r="G17" s="160">
        <f>SUM(G3:G16)</f>
        <v>290569561</v>
      </c>
      <c r="H17" s="160">
        <f>SUM(H3:H16)</f>
        <v>-13301156</v>
      </c>
      <c r="I17" s="160">
        <f>SUM(I3:I16)</f>
        <v>496831319.52100998</v>
      </c>
      <c r="Z17" s="151" t="s">
        <v>236</v>
      </c>
    </row>
    <row r="18" spans="1:26" ht="14.4" thickBot="1">
      <c r="A18" s="152"/>
      <c r="B18" s="152"/>
      <c r="C18" s="152"/>
      <c r="E18" s="152"/>
      <c r="F18" s="152"/>
      <c r="G18" s="152"/>
      <c r="I18" s="152"/>
    </row>
    <row r="19" spans="1:26">
      <c r="A19" s="152" t="s">
        <v>19</v>
      </c>
      <c r="B19" s="152"/>
      <c r="C19" s="161">
        <f>C3+C4</f>
        <v>215648</v>
      </c>
      <c r="E19" s="162">
        <f>E3+E4</f>
        <v>205105319.92300999</v>
      </c>
      <c r="F19" s="162">
        <f>F3+F4</f>
        <v>-100995782</v>
      </c>
      <c r="G19" s="162">
        <f>G3+G4</f>
        <v>98116077</v>
      </c>
      <c r="H19" s="162">
        <f>H3+H4</f>
        <v>-2879705</v>
      </c>
      <c r="I19" s="161">
        <f>I3+I4</f>
        <v>202225614.92300999</v>
      </c>
    </row>
    <row r="20" spans="1:26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26" ht="14.4" thickBot="1">
      <c r="A21" s="152" t="s">
        <v>184</v>
      </c>
      <c r="B21" s="152"/>
      <c r="C21" s="177">
        <f>SUM(C5:C8,C11:C13)</f>
        <v>36729</v>
      </c>
      <c r="E21" s="178">
        <f>SUM(E5:E8,E11:E13)</f>
        <v>207985693.248</v>
      </c>
      <c r="F21" s="178">
        <f>SUM(F5:F8,F11:F13)</f>
        <v>-107733296</v>
      </c>
      <c r="G21" s="178">
        <f>SUM(G5:G8,G11:G13)</f>
        <v>93559042</v>
      </c>
      <c r="H21" s="178">
        <f>SUM(H5:H8,H11:H13)</f>
        <v>-14174254</v>
      </c>
      <c r="I21" s="177">
        <f>SUM(I5:I8,I11:I13)</f>
        <v>193811439.248</v>
      </c>
    </row>
    <row r="22" spans="1:26">
      <c r="A22" s="152"/>
      <c r="B22" s="152"/>
      <c r="C22" s="152"/>
      <c r="D22" s="152"/>
      <c r="E22" s="152"/>
    </row>
    <row r="23" spans="1:26" ht="53.4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26">
      <c r="A24" s="180" t="s">
        <v>131</v>
      </c>
      <c r="B24" s="152"/>
      <c r="C24" s="181">
        <v>2005822</v>
      </c>
      <c r="D24" s="181">
        <v>18569826.27</v>
      </c>
      <c r="E24" s="183">
        <v>-9462718</v>
      </c>
      <c r="F24" s="183">
        <f>9793551-468183</f>
        <v>9325368</v>
      </c>
      <c r="G24" s="174">
        <f>SUM(D24:F24)</f>
        <v>18432476.27</v>
      </c>
      <c r="H24" s="174">
        <f>-K62</f>
        <v>18262.0893</v>
      </c>
      <c r="I24" s="174">
        <f>SUM(G24:H24)</f>
        <v>18450738.359299999</v>
      </c>
    </row>
    <row r="25" spans="1:26">
      <c r="A25" s="180" t="s">
        <v>178</v>
      </c>
      <c r="B25" s="152"/>
      <c r="C25" s="181">
        <v>3627</v>
      </c>
      <c r="D25" s="181">
        <v>30271.19</v>
      </c>
      <c r="E25" s="183">
        <v>-10940</v>
      </c>
      <c r="F25" s="183">
        <v>10431</v>
      </c>
      <c r="G25" s="174">
        <f t="shared" ref="G25:G33" si="14">SUM(D25:F25)</f>
        <v>29762.19</v>
      </c>
      <c r="H25" s="174">
        <f t="shared" ref="H25:H30" si="15">-K63</f>
        <v>-322.42540000000002</v>
      </c>
      <c r="I25" s="174">
        <f t="shared" ref="I25:I34" si="16">SUM(G25:H25)</f>
        <v>29439.764599999999</v>
      </c>
    </row>
    <row r="26" spans="1:26">
      <c r="A26" s="180" t="s">
        <v>132</v>
      </c>
      <c r="B26" s="152"/>
      <c r="C26" s="181">
        <v>464821.38</v>
      </c>
      <c r="D26" s="181">
        <v>5952898.5599999996</v>
      </c>
      <c r="E26" s="183">
        <v>-3169019</v>
      </c>
      <c r="F26" s="183">
        <v>2833870</v>
      </c>
      <c r="G26" s="174">
        <f t="shared" si="14"/>
        <v>5617749.5599999996</v>
      </c>
      <c r="H26" s="174">
        <f t="shared" si="15"/>
        <v>13520.20278</v>
      </c>
      <c r="I26" s="174">
        <f t="shared" si="16"/>
        <v>5631269.7627799995</v>
      </c>
    </row>
    <row r="27" spans="1:26">
      <c r="A27" s="180" t="s">
        <v>133</v>
      </c>
      <c r="B27" s="152"/>
      <c r="C27" s="181">
        <v>192259.85</v>
      </c>
      <c r="D27" s="181">
        <v>652570.77</v>
      </c>
      <c r="E27" s="183">
        <v>-356004</v>
      </c>
      <c r="F27" s="183">
        <v>323447</v>
      </c>
      <c r="G27" s="174">
        <f t="shared" si="14"/>
        <v>620013.77</v>
      </c>
      <c r="H27" s="174">
        <f t="shared" si="15"/>
        <v>1015.616</v>
      </c>
      <c r="I27" s="174">
        <f t="shared" si="16"/>
        <v>621029.38600000006</v>
      </c>
    </row>
    <row r="28" spans="1:26">
      <c r="A28" s="180" t="s">
        <v>134</v>
      </c>
      <c r="B28" s="152"/>
      <c r="C28" s="181">
        <v>932206.69</v>
      </c>
      <c r="D28" s="181">
        <v>11170765.199999999</v>
      </c>
      <c r="E28" s="183">
        <v>-5550104</v>
      </c>
      <c r="F28" s="183">
        <v>4748079</v>
      </c>
      <c r="G28" s="174">
        <f t="shared" si="14"/>
        <v>10368740.199999999</v>
      </c>
      <c r="H28" s="174">
        <f t="shared" si="15"/>
        <v>38040.928799999994</v>
      </c>
      <c r="I28" s="174">
        <f t="shared" si="16"/>
        <v>10406781.128799999</v>
      </c>
    </row>
    <row r="29" spans="1:26">
      <c r="A29" s="180" t="s">
        <v>135</v>
      </c>
      <c r="B29" s="152"/>
      <c r="C29" s="181">
        <v>23500</v>
      </c>
      <c r="D29" s="181">
        <v>231940.55</v>
      </c>
      <c r="E29" s="183">
        <v>-113215</v>
      </c>
      <c r="F29" s="183">
        <v>102634</v>
      </c>
      <c r="G29" s="174">
        <f t="shared" si="14"/>
        <v>221359.55</v>
      </c>
      <c r="H29" s="174">
        <f t="shared" si="15"/>
        <v>388.44405</v>
      </c>
      <c r="I29" s="174">
        <f t="shared" si="16"/>
        <v>221747.99404999998</v>
      </c>
    </row>
    <row r="30" spans="1:26">
      <c r="A30" s="180" t="s">
        <v>136</v>
      </c>
      <c r="B30" s="152"/>
      <c r="C30" s="181">
        <v>552000</v>
      </c>
      <c r="D30" s="181">
        <f>5810299.37-83842.56</f>
        <v>5726456.8100000005</v>
      </c>
      <c r="E30" s="183">
        <v>-5944302</v>
      </c>
      <c r="F30" s="183">
        <v>6159064</v>
      </c>
      <c r="G30" s="174">
        <f t="shared" si="14"/>
        <v>5941218.8100000005</v>
      </c>
      <c r="H30" s="174">
        <f t="shared" si="15"/>
        <v>-6492.349189999999</v>
      </c>
      <c r="I30" s="174">
        <f t="shared" si="16"/>
        <v>5934726.4608100001</v>
      </c>
      <c r="J30" s="283"/>
    </row>
    <row r="31" spans="1:26">
      <c r="A31" s="180" t="s">
        <v>180</v>
      </c>
      <c r="B31" s="152"/>
      <c r="C31" s="181">
        <v>1000</v>
      </c>
      <c r="D31" s="181">
        <v>438933.13</v>
      </c>
      <c r="E31" s="183">
        <v>0</v>
      </c>
      <c r="F31" s="183">
        <v>0</v>
      </c>
      <c r="G31" s="174">
        <f t="shared" si="14"/>
        <v>438933.13</v>
      </c>
      <c r="H31" s="174">
        <f>-K69</f>
        <v>0</v>
      </c>
      <c r="I31" s="174">
        <f t="shared" si="16"/>
        <v>438933.13</v>
      </c>
    </row>
    <row r="32" spans="1:26">
      <c r="A32" s="180" t="s">
        <v>137</v>
      </c>
      <c r="B32" s="152"/>
      <c r="C32" s="181">
        <v>24320</v>
      </c>
      <c r="D32" s="181">
        <v>1565156.87</v>
      </c>
      <c r="E32" s="183">
        <v>-373901</v>
      </c>
      <c r="F32" s="183">
        <v>422754</v>
      </c>
      <c r="G32" s="174">
        <f t="shared" si="14"/>
        <v>1614009.87</v>
      </c>
      <c r="H32" s="174">
        <f>-K70</f>
        <v>-2198.5758000000001</v>
      </c>
      <c r="I32" s="174">
        <f t="shared" si="16"/>
        <v>1611811.2942000001</v>
      </c>
    </row>
    <row r="33" spans="1:14">
      <c r="A33" s="180" t="s">
        <v>138</v>
      </c>
      <c r="B33" s="152"/>
      <c r="C33" s="181">
        <v>24360</v>
      </c>
      <c r="D33" s="181">
        <v>178504.25</v>
      </c>
      <c r="E33" s="183">
        <v>-60038</v>
      </c>
      <c r="F33" s="183">
        <v>61055</v>
      </c>
      <c r="G33" s="174">
        <f t="shared" si="14"/>
        <v>179521.25</v>
      </c>
      <c r="H33" s="174">
        <f>-K71</f>
        <v>-40.482620000000004</v>
      </c>
      <c r="I33" s="174">
        <f t="shared" si="16"/>
        <v>179480.76738</v>
      </c>
    </row>
    <row r="34" spans="1:14">
      <c r="A34" s="180" t="s">
        <v>192</v>
      </c>
      <c r="B34" s="152"/>
      <c r="C34" s="174"/>
      <c r="D34" s="181">
        <v>562542.55000000005</v>
      </c>
      <c r="E34" s="181"/>
      <c r="F34" s="181"/>
      <c r="G34" s="174">
        <f>SUM(D34:F34)</f>
        <v>562542.55000000005</v>
      </c>
      <c r="H34" s="174"/>
      <c r="I34" s="174">
        <f t="shared" si="16"/>
        <v>562542.55000000005</v>
      </c>
    </row>
    <row r="35" spans="1:14">
      <c r="A35" s="180" t="s">
        <v>193</v>
      </c>
      <c r="B35" s="152"/>
      <c r="C35" s="194"/>
      <c r="D35" s="181">
        <v>2190910.1</v>
      </c>
      <c r="E35" s="181"/>
      <c r="F35" s="181"/>
      <c r="G35" s="174"/>
      <c r="H35" s="174"/>
      <c r="I35" s="174"/>
    </row>
    <row r="36" spans="1:14">
      <c r="A36" s="180" t="s">
        <v>194</v>
      </c>
      <c r="B36" s="152"/>
      <c r="C36" s="194"/>
      <c r="D36" s="181">
        <v>1745180.94</v>
      </c>
      <c r="E36" s="181"/>
      <c r="F36" s="181"/>
      <c r="G36" s="174"/>
      <c r="H36" s="174"/>
      <c r="I36" s="174"/>
    </row>
    <row r="37" spans="1:14">
      <c r="A37" s="152"/>
      <c r="B37" s="152"/>
      <c r="C37" s="166">
        <f t="shared" ref="C37:I37" si="17">SUM(C24:C36)</f>
        <v>4223916.92</v>
      </c>
      <c r="D37" s="166">
        <f t="shared" si="17"/>
        <v>49015957.18999999</v>
      </c>
      <c r="E37" s="166">
        <f t="shared" si="17"/>
        <v>-25040241</v>
      </c>
      <c r="F37" s="166">
        <f t="shared" si="17"/>
        <v>23986702</v>
      </c>
      <c r="G37" s="166">
        <f t="shared" si="17"/>
        <v>44026327.149999991</v>
      </c>
      <c r="H37" s="166">
        <f t="shared" si="17"/>
        <v>62173.447919999999</v>
      </c>
      <c r="I37" s="166">
        <f t="shared" si="17"/>
        <v>44088500.597920001</v>
      </c>
    </row>
    <row r="38" spans="1:14" ht="14.4" thickBot="1">
      <c r="A38" s="152"/>
      <c r="B38" s="152"/>
      <c r="D38" s="167"/>
      <c r="E38" s="152"/>
      <c r="F38" s="152"/>
    </row>
    <row r="39" spans="1:14">
      <c r="A39" s="152" t="s">
        <v>19</v>
      </c>
      <c r="B39" s="152"/>
      <c r="C39" s="169">
        <f t="shared" ref="C39:I39" si="18">C24+C25</f>
        <v>2009449</v>
      </c>
      <c r="D39" s="168">
        <f t="shared" si="18"/>
        <v>18600097.460000001</v>
      </c>
      <c r="E39" s="168">
        <f t="shared" si="18"/>
        <v>-9473658</v>
      </c>
      <c r="F39" s="168">
        <f t="shared" si="18"/>
        <v>9335799</v>
      </c>
      <c r="G39" s="168">
        <f t="shared" si="18"/>
        <v>18462238.460000001</v>
      </c>
      <c r="H39" s="168">
        <f t="shared" si="18"/>
        <v>17939.6639</v>
      </c>
      <c r="I39" s="169">
        <f t="shared" si="18"/>
        <v>18480178.1239</v>
      </c>
    </row>
    <row r="40" spans="1:14" ht="6" customHeight="1">
      <c r="A40" s="152"/>
      <c r="B40" s="152"/>
      <c r="C40" s="173"/>
      <c r="D40" s="168"/>
      <c r="E40" s="152"/>
      <c r="F40" s="152"/>
      <c r="I40" s="190"/>
    </row>
    <row r="41" spans="1:14" ht="14.4" thickBot="1">
      <c r="A41" s="152" t="s">
        <v>184</v>
      </c>
      <c r="B41" s="152"/>
      <c r="C41" s="175">
        <f>SUM(C26:C29,C31:C33)</f>
        <v>1662467.92</v>
      </c>
      <c r="D41" s="176">
        <f t="shared" ref="D41:I41" si="19">SUM(D26:D29,D31:D33)</f>
        <v>20190769.330000002</v>
      </c>
      <c r="E41" s="176">
        <f t="shared" si="19"/>
        <v>-9622281</v>
      </c>
      <c r="F41" s="176">
        <f t="shared" si="19"/>
        <v>8491839</v>
      </c>
      <c r="G41" s="176">
        <f t="shared" si="19"/>
        <v>19060327.329999998</v>
      </c>
      <c r="H41" s="176">
        <f t="shared" si="19"/>
        <v>50726.133209999993</v>
      </c>
      <c r="I41" s="175">
        <f t="shared" si="19"/>
        <v>19111053.463209998</v>
      </c>
    </row>
    <row r="42" spans="1:14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4">
      <c r="C43" s="191">
        <v>43040</v>
      </c>
      <c r="D43" s="191">
        <v>43252</v>
      </c>
      <c r="E43" s="196">
        <v>43040</v>
      </c>
      <c r="F43" s="192">
        <v>42278</v>
      </c>
      <c r="G43" s="191">
        <v>42948</v>
      </c>
      <c r="H43" s="191">
        <v>43009</v>
      </c>
      <c r="I43" s="191">
        <v>42380</v>
      </c>
      <c r="J43" s="191">
        <v>43282</v>
      </c>
      <c r="K43" s="191"/>
      <c r="L43" s="196"/>
    </row>
    <row r="44" spans="1:14" ht="39.6">
      <c r="A44" s="179" t="s">
        <v>195</v>
      </c>
      <c r="B44" s="154"/>
      <c r="C44" s="165" t="s">
        <v>196</v>
      </c>
      <c r="D44" s="165" t="s">
        <v>312</v>
      </c>
      <c r="E44" s="165" t="s">
        <v>213</v>
      </c>
      <c r="F44" s="165" t="s">
        <v>197</v>
      </c>
      <c r="G44" s="165" t="s">
        <v>198</v>
      </c>
      <c r="H44" s="165" t="s">
        <v>199</v>
      </c>
      <c r="I44" s="165" t="s">
        <v>200</v>
      </c>
      <c r="J44" s="165" t="s">
        <v>201</v>
      </c>
      <c r="K44" s="165"/>
      <c r="M44" s="211" t="s">
        <v>229</v>
      </c>
      <c r="N44" s="194" t="s">
        <v>230</v>
      </c>
    </row>
    <row r="45" spans="1:14">
      <c r="A45" s="180" t="s">
        <v>131</v>
      </c>
      <c r="B45" s="152"/>
      <c r="C45" s="171">
        <v>-8.0999999999999996E-4</v>
      </c>
      <c r="D45" s="171">
        <v>-1.42E-3</v>
      </c>
      <c r="E45" s="171">
        <v>4.45E-3</v>
      </c>
      <c r="F45" s="171"/>
      <c r="G45" s="171">
        <v>3.4399999999999999E-3</v>
      </c>
      <c r="H45" s="171">
        <v>1.0499999999999999E-3</v>
      </c>
      <c r="I45" s="171">
        <v>0</v>
      </c>
      <c r="J45" s="171">
        <v>-3.4000000000000002E-4</v>
      </c>
      <c r="K45" s="171"/>
      <c r="M45" s="171">
        <f>SUM(B45:J45)</f>
        <v>6.3699999999999998E-3</v>
      </c>
      <c r="N45" s="335">
        <f>M45*H3</f>
        <v>-18262.0893</v>
      </c>
    </row>
    <row r="46" spans="1:14">
      <c r="A46" s="180" t="s">
        <v>178</v>
      </c>
      <c r="B46" s="152"/>
      <c r="C46" s="171">
        <v>-8.0999999999999996E-4</v>
      </c>
      <c r="D46" s="171">
        <v>-1.42E-3</v>
      </c>
      <c r="E46" s="171">
        <v>4.45E-3</v>
      </c>
      <c r="F46" s="171">
        <v>-3.1530000000000002E-2</v>
      </c>
      <c r="G46" s="171">
        <v>3.4399999999999999E-3</v>
      </c>
      <c r="H46" s="171">
        <v>1.0499999999999999E-3</v>
      </c>
      <c r="I46" s="171">
        <v>0</v>
      </c>
      <c r="J46" s="171">
        <v>-3.4000000000000002E-4</v>
      </c>
      <c r="K46" s="171"/>
      <c r="M46" s="171">
        <f t="shared" ref="M46:M57" si="20">SUM(B46:J46)</f>
        <v>-2.5160000000000005E-2</v>
      </c>
      <c r="N46" s="335">
        <f t="shared" ref="N46:N57" si="21">M46*H4</f>
        <v>322.42540000000008</v>
      </c>
    </row>
    <row r="47" spans="1:14">
      <c r="A47" s="180" t="s">
        <v>132</v>
      </c>
      <c r="B47" s="152"/>
      <c r="C47" s="171">
        <v>0</v>
      </c>
      <c r="D47" s="171">
        <v>-1.8799999999999999E-3</v>
      </c>
      <c r="E47" s="171">
        <v>4.0000000000000002E-4</v>
      </c>
      <c r="F47" s="171"/>
      <c r="G47" s="171">
        <v>4.6299999999999996E-3</v>
      </c>
      <c r="H47" s="171">
        <v>1.5200000000000001E-3</v>
      </c>
      <c r="I47" s="171">
        <v>0</v>
      </c>
      <c r="J47" s="171">
        <v>-3.6000000000000002E-4</v>
      </c>
      <c r="K47" s="171"/>
      <c r="M47" s="171">
        <f t="shared" si="20"/>
        <v>4.3099999999999996E-3</v>
      </c>
      <c r="N47" s="335">
        <f t="shared" si="21"/>
        <v>-13520.20278</v>
      </c>
    </row>
    <row r="48" spans="1:14">
      <c r="A48" s="180" t="s">
        <v>133</v>
      </c>
      <c r="B48" s="152"/>
      <c r="C48" s="171">
        <v>-8.0999999999999996E-4</v>
      </c>
      <c r="D48" s="171">
        <v>-1.8799999999999999E-3</v>
      </c>
      <c r="E48" s="171">
        <v>4.0000000000000002E-4</v>
      </c>
      <c r="F48" s="171"/>
      <c r="G48" s="171">
        <v>4.6299999999999996E-3</v>
      </c>
      <c r="H48" s="171">
        <v>1.5200000000000001E-3</v>
      </c>
      <c r="I48" s="171">
        <v>0</v>
      </c>
      <c r="J48" s="171">
        <v>-3.6000000000000002E-4</v>
      </c>
      <c r="K48" s="171"/>
      <c r="M48" s="171">
        <f t="shared" si="20"/>
        <v>3.5000000000000001E-3</v>
      </c>
      <c r="N48" s="335">
        <f t="shared" si="21"/>
        <v>-1015.616</v>
      </c>
    </row>
    <row r="49" spans="1:14" ht="14.4" customHeight="1">
      <c r="A49" s="180" t="s">
        <v>134</v>
      </c>
      <c r="B49" s="152"/>
      <c r="C49" s="171">
        <v>0</v>
      </c>
      <c r="D49" s="171">
        <v>-1.4400000000000001E-3</v>
      </c>
      <c r="E49" s="171">
        <v>4.0000000000000002E-4</v>
      </c>
      <c r="F49" s="171"/>
      <c r="G49" s="171">
        <v>3.6600000000000001E-3</v>
      </c>
      <c r="H49" s="171">
        <v>1.1000000000000001E-3</v>
      </c>
      <c r="I49" s="171">
        <v>0</v>
      </c>
      <c r="J49" s="171">
        <v>-3.6000000000000002E-4</v>
      </c>
      <c r="K49" s="171"/>
      <c r="M49" s="171">
        <f t="shared" si="20"/>
        <v>3.3600000000000001E-3</v>
      </c>
      <c r="N49" s="335">
        <f t="shared" si="21"/>
        <v>-38040.928800000002</v>
      </c>
    </row>
    <row r="50" spans="1:14">
      <c r="A50" s="180" t="s">
        <v>135</v>
      </c>
      <c r="B50" s="152"/>
      <c r="C50" s="171">
        <v>-8.0999999999999996E-4</v>
      </c>
      <c r="D50" s="171">
        <v>-1.4400000000000001E-3</v>
      </c>
      <c r="E50" s="171">
        <v>4.0000000000000002E-4</v>
      </c>
      <c r="F50" s="171"/>
      <c r="G50" s="171">
        <v>3.6600000000000001E-3</v>
      </c>
      <c r="H50" s="171">
        <v>1.1000000000000001E-3</v>
      </c>
      <c r="I50" s="171">
        <v>0</v>
      </c>
      <c r="J50" s="171">
        <v>-3.6000000000000002E-4</v>
      </c>
      <c r="K50" s="171"/>
      <c r="M50" s="171">
        <f t="shared" si="20"/>
        <v>2.5499999999999997E-3</v>
      </c>
      <c r="N50" s="335">
        <f t="shared" si="21"/>
        <v>-388.44404999999995</v>
      </c>
    </row>
    <row r="51" spans="1:14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/>
      <c r="G51" s="171">
        <v>2.32E-3</v>
      </c>
      <c r="H51" s="171">
        <v>6.8999999999999997E-4</v>
      </c>
      <c r="I51" s="171">
        <v>0</v>
      </c>
      <c r="J51" s="171">
        <v>-3.5E-4</v>
      </c>
      <c r="K51" s="171"/>
      <c r="M51" s="171">
        <f t="shared" si="20"/>
        <v>1.7299999999999998E-3</v>
      </c>
      <c r="N51" s="335">
        <f t="shared" si="21"/>
        <v>6492.349189999999</v>
      </c>
    </row>
    <row r="52" spans="1:14">
      <c r="A52" s="180" t="s">
        <v>179</v>
      </c>
      <c r="B52" s="152"/>
      <c r="C52" s="171">
        <v>0</v>
      </c>
      <c r="D52" s="171">
        <v>0</v>
      </c>
      <c r="E52" s="171">
        <v>0</v>
      </c>
      <c r="F52" s="171"/>
      <c r="G52" s="171">
        <v>2.32E-3</v>
      </c>
      <c r="H52" s="171">
        <v>0</v>
      </c>
      <c r="I52" s="171">
        <v>0</v>
      </c>
      <c r="J52" s="171">
        <v>-3.5E-4</v>
      </c>
      <c r="K52" s="171"/>
      <c r="M52" s="171">
        <f t="shared" si="20"/>
        <v>1.97E-3</v>
      </c>
      <c r="N52" s="335">
        <f t="shared" si="21"/>
        <v>0</v>
      </c>
    </row>
    <row r="53" spans="1:14">
      <c r="A53" s="180" t="s">
        <v>180</v>
      </c>
      <c r="B53" s="152"/>
      <c r="C53" s="171">
        <v>0</v>
      </c>
      <c r="D53" s="171">
        <v>-1.2999999999999999E-3</v>
      </c>
      <c r="E53" s="171">
        <v>4.0000000000000002E-4</v>
      </c>
      <c r="F53" s="171"/>
      <c r="G53" s="171">
        <v>3.4099999999999998E-3</v>
      </c>
      <c r="H53" s="171">
        <v>9.6000000000000002E-4</v>
      </c>
      <c r="I53" s="171">
        <v>0</v>
      </c>
      <c r="J53" s="171">
        <v>-3.6999999999999999E-4</v>
      </c>
      <c r="K53" s="171"/>
      <c r="M53" s="171">
        <f t="shared" si="20"/>
        <v>3.0999999999999999E-3</v>
      </c>
      <c r="N53" s="335">
        <f t="shared" si="21"/>
        <v>0</v>
      </c>
    </row>
    <row r="54" spans="1:14">
      <c r="A54" s="180" t="s">
        <v>137</v>
      </c>
      <c r="B54" s="152"/>
      <c r="C54" s="171">
        <v>0</v>
      </c>
      <c r="D54" s="171">
        <v>-1.2999999999999999E-3</v>
      </c>
      <c r="E54" s="171">
        <v>4.0000000000000002E-4</v>
      </c>
      <c r="F54" s="171"/>
      <c r="G54" s="171">
        <v>3.4099999999999998E-3</v>
      </c>
      <c r="H54" s="171">
        <v>9.6000000000000002E-4</v>
      </c>
      <c r="I54" s="171">
        <v>0</v>
      </c>
      <c r="J54" s="171">
        <v>-3.6999999999999999E-4</v>
      </c>
      <c r="K54" s="171"/>
      <c r="M54" s="171">
        <f t="shared" si="20"/>
        <v>3.0999999999999999E-3</v>
      </c>
      <c r="N54" s="335">
        <f t="shared" si="21"/>
        <v>2198.5758000000001</v>
      </c>
    </row>
    <row r="55" spans="1:14">
      <c r="A55" s="180" t="s">
        <v>138</v>
      </c>
      <c r="B55" s="152"/>
      <c r="C55" s="171">
        <v>-8.0999999999999996E-4</v>
      </c>
      <c r="D55" s="171">
        <v>-1.2999999999999999E-3</v>
      </c>
      <c r="E55" s="171">
        <v>4.0000000000000002E-4</v>
      </c>
      <c r="F55" s="171"/>
      <c r="G55" s="171">
        <v>3.4099999999999998E-3</v>
      </c>
      <c r="H55" s="171">
        <v>9.6000000000000002E-4</v>
      </c>
      <c r="I55" s="171">
        <v>0</v>
      </c>
      <c r="J55" s="171">
        <v>-3.6999999999999999E-4</v>
      </c>
      <c r="K55" s="171"/>
      <c r="M55" s="171">
        <f t="shared" si="20"/>
        <v>2.2899999999999999E-3</v>
      </c>
      <c r="N55" s="335">
        <f t="shared" si="21"/>
        <v>40.482619999999997</v>
      </c>
    </row>
    <row r="56" spans="1:14">
      <c r="A56" s="180" t="s">
        <v>192</v>
      </c>
      <c r="B56" s="152"/>
      <c r="C56" s="171">
        <v>0</v>
      </c>
      <c r="D56" s="171">
        <v>0</v>
      </c>
      <c r="E56" s="171">
        <v>0</v>
      </c>
      <c r="F56" s="171"/>
      <c r="G56" s="186">
        <v>1.2149999999999999E-2</v>
      </c>
      <c r="H56" s="401" t="s">
        <v>214</v>
      </c>
      <c r="I56" s="171">
        <v>0</v>
      </c>
      <c r="J56" s="186">
        <v>-4.8000000000000001E-4</v>
      </c>
      <c r="K56" s="186"/>
      <c r="M56" s="171">
        <f t="shared" si="20"/>
        <v>1.167E-2</v>
      </c>
      <c r="N56" s="335">
        <f t="shared" si="21"/>
        <v>0</v>
      </c>
    </row>
    <row r="57" spans="1:14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/>
      <c r="G57" s="186">
        <v>1.2149999999999999E-2</v>
      </c>
      <c r="H57" s="401"/>
      <c r="I57" s="171">
        <v>0</v>
      </c>
      <c r="J57" s="186">
        <v>-4.8000000000000001E-4</v>
      </c>
      <c r="K57" s="186"/>
      <c r="M57" s="171">
        <f t="shared" si="20"/>
        <v>1.086E-2</v>
      </c>
      <c r="N57" s="335">
        <f t="shared" si="21"/>
        <v>0</v>
      </c>
    </row>
    <row r="58" spans="1:14">
      <c r="A58" s="180"/>
      <c r="B58" s="152"/>
      <c r="C58" s="171"/>
      <c r="D58" s="171"/>
      <c r="E58" s="171"/>
      <c r="F58" s="171"/>
      <c r="G58" s="186"/>
      <c r="H58" s="333"/>
      <c r="I58" s="171"/>
      <c r="J58" s="186"/>
      <c r="K58" s="171"/>
      <c r="L58" s="212"/>
      <c r="M58" s="335"/>
      <c r="N58" s="194"/>
    </row>
    <row r="59" spans="1:14">
      <c r="A59" s="180"/>
      <c r="B59" s="152"/>
      <c r="C59" s="171"/>
      <c r="D59" s="171"/>
      <c r="E59" s="171"/>
      <c r="F59" s="171"/>
      <c r="G59" s="186"/>
      <c r="H59" s="333"/>
      <c r="I59" s="171"/>
      <c r="J59" s="186"/>
      <c r="K59" s="171"/>
      <c r="L59" s="212"/>
      <c r="M59" s="335"/>
      <c r="N59" s="194"/>
    </row>
    <row r="60" spans="1:14">
      <c r="F60" s="152"/>
      <c r="M60" s="335"/>
      <c r="N60" s="335">
        <f>SUM(N45:N57)</f>
        <v>-62173.447920000013</v>
      </c>
    </row>
    <row r="61" spans="1:14" ht="41.4" customHeight="1">
      <c r="A61" s="179" t="s">
        <v>202</v>
      </c>
      <c r="B61" s="154"/>
      <c r="C61" s="172" t="s">
        <v>368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206</v>
      </c>
      <c r="J61" s="172" t="s">
        <v>207</v>
      </c>
      <c r="K61" s="172" t="s">
        <v>208</v>
      </c>
      <c r="N61" s="168"/>
    </row>
    <row r="62" spans="1:14">
      <c r="A62" s="180" t="s">
        <v>131</v>
      </c>
      <c r="C62" s="168">
        <f t="shared" ref="C62:D67" si="22">C45*$H3</f>
        <v>2322.1808999999998</v>
      </c>
      <c r="D62" s="168">
        <f t="shared" si="22"/>
        <v>4070.9838</v>
      </c>
      <c r="E62" s="168">
        <f t="shared" ref="E62:E67" si="23">E45*H3</f>
        <v>-12757.6605</v>
      </c>
      <c r="F62" s="168">
        <f t="shared" ref="F62:F67" si="24">$H3*F45</f>
        <v>0</v>
      </c>
      <c r="G62" s="168">
        <f t="shared" ref="G62:H67" si="25">($H3*G45)</f>
        <v>-9862.1016</v>
      </c>
      <c r="H62" s="168">
        <f>($H3*H45)</f>
        <v>-3010.2345</v>
      </c>
      <c r="I62" s="168">
        <f t="shared" ref="I62:I67" si="26">$H3*I45</f>
        <v>0</v>
      </c>
      <c r="J62" s="168">
        <f>J45*H3</f>
        <v>974.74260000000004</v>
      </c>
      <c r="K62" s="168">
        <f>SUM(C62:J62)</f>
        <v>-18262.0893</v>
      </c>
      <c r="N62" s="168"/>
    </row>
    <row r="63" spans="1:14">
      <c r="A63" s="180" t="s">
        <v>178</v>
      </c>
      <c r="C63" s="168">
        <f t="shared" si="22"/>
        <v>10.380149999999999</v>
      </c>
      <c r="D63" s="168">
        <f t="shared" si="22"/>
        <v>18.197300000000002</v>
      </c>
      <c r="E63" s="168">
        <f t="shared" si="23"/>
        <v>-57.02675</v>
      </c>
      <c r="F63" s="168">
        <f t="shared" si="24"/>
        <v>404.05695000000003</v>
      </c>
      <c r="G63" s="168">
        <f t="shared" si="25"/>
        <v>-44.083599999999997</v>
      </c>
      <c r="H63" s="168">
        <f t="shared" si="25"/>
        <v>-13.455749999999998</v>
      </c>
      <c r="I63" s="168">
        <f t="shared" si="26"/>
        <v>0</v>
      </c>
      <c r="J63" s="168">
        <f t="shared" ref="J63:J67" si="27">J46*H4</f>
        <v>4.3571</v>
      </c>
      <c r="K63" s="168">
        <f t="shared" ref="K63:K72" si="28">SUM(C63:J63)</f>
        <v>322.42540000000002</v>
      </c>
      <c r="N63" s="168"/>
    </row>
    <row r="64" spans="1:14">
      <c r="A64" s="180" t="s">
        <v>132</v>
      </c>
      <c r="C64" s="168">
        <f t="shared" si="22"/>
        <v>0</v>
      </c>
      <c r="D64" s="168">
        <f t="shared" si="22"/>
        <v>5897.44344</v>
      </c>
      <c r="E64" s="168">
        <f t="shared" si="23"/>
        <v>-1254.7752</v>
      </c>
      <c r="F64" s="168">
        <f t="shared" si="24"/>
        <v>0</v>
      </c>
      <c r="G64" s="168">
        <f t="shared" si="25"/>
        <v>-14524.022939999999</v>
      </c>
      <c r="H64" s="168">
        <f t="shared" si="25"/>
        <v>-4768.1457600000003</v>
      </c>
      <c r="I64" s="168">
        <f t="shared" si="26"/>
        <v>0</v>
      </c>
      <c r="J64" s="168">
        <f t="shared" si="27"/>
        <v>1129.2976800000001</v>
      </c>
      <c r="K64" s="168">
        <f t="shared" si="28"/>
        <v>-13520.20278</v>
      </c>
      <c r="N64" s="168"/>
    </row>
    <row r="65" spans="1:14">
      <c r="A65" s="180" t="s">
        <v>133</v>
      </c>
      <c r="C65" s="168">
        <f t="shared" si="22"/>
        <v>235.04255999999998</v>
      </c>
      <c r="D65" s="168">
        <f t="shared" si="22"/>
        <v>545.53088000000002</v>
      </c>
      <c r="E65" s="168">
        <f t="shared" si="23"/>
        <v>-116.07040000000001</v>
      </c>
      <c r="F65" s="168">
        <f t="shared" si="24"/>
        <v>0</v>
      </c>
      <c r="G65" s="168">
        <f t="shared" si="25"/>
        <v>-1343.5148799999999</v>
      </c>
      <c r="H65" s="168">
        <f t="shared" si="25"/>
        <v>-441.06752</v>
      </c>
      <c r="I65" s="168">
        <f t="shared" si="26"/>
        <v>0</v>
      </c>
      <c r="J65" s="168">
        <f t="shared" si="27"/>
        <v>104.46336000000001</v>
      </c>
      <c r="K65" s="168">
        <f t="shared" si="28"/>
        <v>-1015.616</v>
      </c>
      <c r="N65" s="168"/>
    </row>
    <row r="66" spans="1:14">
      <c r="A66" s="180" t="s">
        <v>134</v>
      </c>
      <c r="C66" s="168">
        <f t="shared" si="22"/>
        <v>0</v>
      </c>
      <c r="D66" s="168">
        <f t="shared" si="22"/>
        <v>16303.255200000001</v>
      </c>
      <c r="E66" s="168">
        <f t="shared" si="23"/>
        <v>-4528.6819999999998</v>
      </c>
      <c r="F66" s="168">
        <f t="shared" si="24"/>
        <v>0</v>
      </c>
      <c r="G66" s="168">
        <f t="shared" si="25"/>
        <v>-41437.440300000002</v>
      </c>
      <c r="H66" s="168">
        <f t="shared" si="25"/>
        <v>-12453.8755</v>
      </c>
      <c r="I66" s="168">
        <f t="shared" si="26"/>
        <v>0</v>
      </c>
      <c r="J66" s="168">
        <f t="shared" si="27"/>
        <v>4075.8138000000004</v>
      </c>
      <c r="K66" s="168">
        <f t="shared" si="28"/>
        <v>-38040.928799999994</v>
      </c>
      <c r="N66" s="168"/>
    </row>
    <row r="67" spans="1:14">
      <c r="A67" s="180" t="s">
        <v>135</v>
      </c>
      <c r="C67" s="168">
        <f t="shared" si="22"/>
        <v>123.38811</v>
      </c>
      <c r="D67" s="168">
        <f t="shared" si="22"/>
        <v>219.35664000000003</v>
      </c>
      <c r="E67" s="168">
        <f t="shared" si="23"/>
        <v>-60.932400000000001</v>
      </c>
      <c r="F67" s="168">
        <f t="shared" si="24"/>
        <v>0</v>
      </c>
      <c r="G67" s="168">
        <f t="shared" si="25"/>
        <v>-557.53146000000004</v>
      </c>
      <c r="H67" s="168">
        <f t="shared" si="25"/>
        <v>-167.5641</v>
      </c>
      <c r="I67" s="168">
        <f t="shared" si="26"/>
        <v>0</v>
      </c>
      <c r="J67" s="168">
        <f t="shared" si="27"/>
        <v>54.839160000000007</v>
      </c>
      <c r="K67" s="168">
        <f t="shared" si="28"/>
        <v>-388.44405</v>
      </c>
      <c r="N67" s="168"/>
    </row>
    <row r="68" spans="1:14">
      <c r="A68" s="180" t="s">
        <v>136</v>
      </c>
      <c r="C68" s="168">
        <f t="shared" ref="C68:J68" si="29">$H9*C51+$H10*C52</f>
        <v>0</v>
      </c>
      <c r="D68" s="168">
        <f t="shared" si="29"/>
        <v>-3490.1067900000003</v>
      </c>
      <c r="E68" s="168">
        <f t="shared" si="29"/>
        <v>0</v>
      </c>
      <c r="F68" s="168">
        <f t="shared" si="29"/>
        <v>0</v>
      </c>
      <c r="G68" s="168">
        <f t="shared" si="29"/>
        <v>8706.5029599999998</v>
      </c>
      <c r="H68" s="168">
        <f t="shared" si="29"/>
        <v>2589.4340699999998</v>
      </c>
      <c r="I68" s="168">
        <f t="shared" si="29"/>
        <v>0</v>
      </c>
      <c r="J68" s="168">
        <f t="shared" si="29"/>
        <v>-1313.4810500000001</v>
      </c>
      <c r="K68" s="168">
        <f t="shared" si="28"/>
        <v>6492.349189999999</v>
      </c>
      <c r="N68" s="168"/>
    </row>
    <row r="69" spans="1:14">
      <c r="A69" s="180" t="s">
        <v>180</v>
      </c>
      <c r="C69" s="168">
        <f>$H11*C53</f>
        <v>0</v>
      </c>
      <c r="D69" s="168">
        <f>$H11*D53</f>
        <v>0</v>
      </c>
      <c r="E69" s="168">
        <f t="shared" ref="C69:F71" si="30">$H11*E53</f>
        <v>0</v>
      </c>
      <c r="F69" s="168">
        <f t="shared" si="30"/>
        <v>0</v>
      </c>
      <c r="G69" s="168">
        <f t="shared" ref="G69:H71" si="31">($H11*G53)</f>
        <v>0</v>
      </c>
      <c r="H69" s="168">
        <f t="shared" si="31"/>
        <v>0</v>
      </c>
      <c r="I69" s="168">
        <f t="shared" ref="I69:J71" si="32">$H11*I53</f>
        <v>0</v>
      </c>
      <c r="J69" s="168">
        <f t="shared" si="32"/>
        <v>0</v>
      </c>
      <c r="K69" s="168">
        <f t="shared" si="28"/>
        <v>0</v>
      </c>
      <c r="N69" s="168"/>
    </row>
    <row r="70" spans="1:14">
      <c r="A70" s="180" t="s">
        <v>137</v>
      </c>
      <c r="C70" s="168">
        <f t="shared" si="30"/>
        <v>0</v>
      </c>
      <c r="D70" s="168">
        <f t="shared" si="30"/>
        <v>-921.98339999999996</v>
      </c>
      <c r="E70" s="168">
        <f t="shared" si="30"/>
        <v>283.68720000000002</v>
      </c>
      <c r="F70" s="168">
        <f t="shared" si="30"/>
        <v>0</v>
      </c>
      <c r="G70" s="168">
        <f t="shared" si="31"/>
        <v>2418.4333799999999</v>
      </c>
      <c r="H70" s="168">
        <f t="shared" si="31"/>
        <v>680.84928000000002</v>
      </c>
      <c r="I70" s="168">
        <f t="shared" si="32"/>
        <v>0</v>
      </c>
      <c r="J70" s="168">
        <f t="shared" si="32"/>
        <v>-262.41066000000001</v>
      </c>
      <c r="K70" s="168">
        <f t="shared" si="28"/>
        <v>2198.5758000000001</v>
      </c>
      <c r="N70" s="168"/>
    </row>
    <row r="71" spans="1:14">
      <c r="A71" s="180" t="s">
        <v>138</v>
      </c>
      <c r="C71" s="168">
        <f t="shared" si="30"/>
        <v>-14.319179999999999</v>
      </c>
      <c r="D71" s="168">
        <f t="shared" si="30"/>
        <v>-22.981400000000001</v>
      </c>
      <c r="E71" s="168">
        <f t="shared" si="30"/>
        <v>7.0712000000000002</v>
      </c>
      <c r="F71" s="168">
        <f t="shared" si="30"/>
        <v>0</v>
      </c>
      <c r="G71" s="168">
        <f t="shared" si="31"/>
        <v>60.281979999999997</v>
      </c>
      <c r="H71" s="168">
        <f t="shared" si="31"/>
        <v>16.970880000000001</v>
      </c>
      <c r="I71" s="168">
        <f t="shared" si="32"/>
        <v>0</v>
      </c>
      <c r="J71" s="168">
        <f t="shared" si="32"/>
        <v>-6.5408600000000003</v>
      </c>
      <c r="K71" s="168">
        <f t="shared" si="28"/>
        <v>40.482620000000004</v>
      </c>
      <c r="N71" s="168"/>
    </row>
    <row r="72" spans="1:14">
      <c r="A72" s="180" t="s">
        <v>192</v>
      </c>
      <c r="C72" s="168">
        <f>($H14+$H15)*C56+$H16*C57</f>
        <v>0</v>
      </c>
      <c r="D72" s="168">
        <f>($H14+$H15)*D56+$H16*D57</f>
        <v>0</v>
      </c>
      <c r="E72" s="168">
        <f>($H14+$H15)*E56+$H16*E57</f>
        <v>0</v>
      </c>
      <c r="F72" s="168">
        <f>($H14+$H15)*F56+$H16*F57</f>
        <v>0</v>
      </c>
      <c r="G72" s="168">
        <f>($H14+$H15)*G56+$H16*G57</f>
        <v>0</v>
      </c>
      <c r="H72" s="168"/>
      <c r="I72" s="168">
        <f>($H14+$H15)*I56+$H16*I57</f>
        <v>0</v>
      </c>
      <c r="J72" s="168">
        <f>($H14+$H15)*J56+$H16*J57</f>
        <v>0</v>
      </c>
      <c r="K72" s="168">
        <f t="shared" si="28"/>
        <v>0</v>
      </c>
    </row>
    <row r="73" spans="1:14">
      <c r="A73" s="157"/>
      <c r="C73" s="193">
        <f t="shared" ref="C73:J73" si="33">SUM(C62:C72)</f>
        <v>2676.6725399999996</v>
      </c>
      <c r="D73" s="193">
        <f>SUM(D62:D72)</f>
        <v>22619.695670000001</v>
      </c>
      <c r="E73" s="193">
        <f t="shared" si="33"/>
        <v>-18484.388850000003</v>
      </c>
      <c r="F73" s="193">
        <f t="shared" si="33"/>
        <v>404.05695000000003</v>
      </c>
      <c r="G73" s="193">
        <f t="shared" si="33"/>
        <v>-56583.476459999991</v>
      </c>
      <c r="H73" s="193">
        <f t="shared" si="33"/>
        <v>-17567.088900000002</v>
      </c>
      <c r="I73" s="193">
        <f t="shared" si="33"/>
        <v>0</v>
      </c>
      <c r="J73" s="193">
        <f t="shared" si="33"/>
        <v>4761.0811300000014</v>
      </c>
      <c r="K73" s="193">
        <f>SUM(K62:K72)</f>
        <v>-62173.447919999999</v>
      </c>
    </row>
    <row r="75" spans="1:14">
      <c r="A75" s="152" t="s">
        <v>19</v>
      </c>
      <c r="B75" s="152"/>
      <c r="C75" s="168">
        <f t="shared" ref="C75:J75" si="34">C62+C63</f>
        <v>2332.5610499999998</v>
      </c>
      <c r="D75" s="168">
        <f t="shared" si="34"/>
        <v>4089.1810999999998</v>
      </c>
      <c r="E75" s="168">
        <f t="shared" si="34"/>
        <v>-12814.687250000001</v>
      </c>
      <c r="F75" s="168">
        <f t="shared" si="34"/>
        <v>404.05695000000003</v>
      </c>
      <c r="G75" s="168">
        <f t="shared" si="34"/>
        <v>-9906.1851999999999</v>
      </c>
      <c r="H75" s="168">
        <f t="shared" si="34"/>
        <v>-3023.6902500000001</v>
      </c>
      <c r="I75" s="168">
        <f t="shared" si="34"/>
        <v>0</v>
      </c>
      <c r="J75" s="168">
        <f t="shared" si="34"/>
        <v>979.09969999999998</v>
      </c>
      <c r="K75" s="168">
        <f>K62+K63</f>
        <v>-17939.6639</v>
      </c>
    </row>
    <row r="76" spans="1:14">
      <c r="A76" s="152"/>
      <c r="B76" s="152"/>
      <c r="C76" s="168"/>
      <c r="D76" s="168"/>
      <c r="E76" s="168"/>
      <c r="F76" s="168"/>
      <c r="G76" s="168"/>
      <c r="H76" s="168"/>
      <c r="I76" s="168"/>
      <c r="J76" s="168"/>
      <c r="K76" s="168"/>
    </row>
    <row r="77" spans="1:14" ht="15.75" customHeight="1">
      <c r="A77" s="152" t="s">
        <v>184</v>
      </c>
      <c r="B77" s="152"/>
      <c r="C77" s="176">
        <f t="shared" ref="C77:J77" si="35">SUM(C64:C67,C69:C71)</f>
        <v>344.11148999999995</v>
      </c>
      <c r="D77" s="176">
        <f>SUM(D64:D67,D69:D71)</f>
        <v>22020.621360000001</v>
      </c>
      <c r="E77" s="176">
        <f>SUM(E64:E67,E69:E71)</f>
        <v>-5669.7015999999985</v>
      </c>
      <c r="F77" s="176">
        <f>SUM(F64:F67,F69:F71)</f>
        <v>0</v>
      </c>
      <c r="G77" s="176">
        <f t="shared" si="35"/>
        <v>-55383.794219999996</v>
      </c>
      <c r="H77" s="176">
        <f t="shared" si="35"/>
        <v>-17132.832719999999</v>
      </c>
      <c r="I77" s="176">
        <f t="shared" si="35"/>
        <v>0</v>
      </c>
      <c r="J77" s="176">
        <f t="shared" si="35"/>
        <v>5095.4624800000011</v>
      </c>
      <c r="K77" s="176">
        <f>SUM(K64:K67,K69:K71)</f>
        <v>-50726.133209999993</v>
      </c>
    </row>
    <row r="79" spans="1:14" ht="14.4">
      <c r="A79" s="151" t="s">
        <v>215</v>
      </c>
      <c r="B79" s="151"/>
      <c r="C79" s="151"/>
      <c r="D79" s="151"/>
      <c r="E79" s="151"/>
      <c r="F79" s="151"/>
    </row>
    <row r="80" spans="1:14" ht="14.4">
      <c r="A80" s="151" t="s">
        <v>223</v>
      </c>
      <c r="B80" s="151"/>
      <c r="C80" s="151"/>
      <c r="D80" s="151"/>
      <c r="E80" s="151"/>
      <c r="F80" s="151"/>
    </row>
    <row r="81" spans="1:14" ht="15.75" customHeight="1">
      <c r="A81" s="170" t="s">
        <v>222</v>
      </c>
      <c r="B81" s="170"/>
      <c r="C81" s="170"/>
      <c r="D81" s="170"/>
      <c r="E81" s="170"/>
      <c r="F81" s="151"/>
    </row>
    <row r="82" spans="1:14" ht="28.8">
      <c r="A82" s="170"/>
      <c r="B82" s="197" t="s">
        <v>216</v>
      </c>
      <c r="C82" s="197" t="s">
        <v>217</v>
      </c>
      <c r="D82" s="197" t="s">
        <v>218</v>
      </c>
      <c r="E82" s="197" t="s">
        <v>221</v>
      </c>
      <c r="F82" s="151"/>
      <c r="G82" s="403" t="s">
        <v>369</v>
      </c>
      <c r="H82" s="403"/>
      <c r="I82" s="403"/>
      <c r="J82" s="403"/>
      <c r="M82" s="200"/>
      <c r="N82" s="200"/>
    </row>
    <row r="83" spans="1:14" ht="14.4">
      <c r="A83" s="329" t="s">
        <v>367</v>
      </c>
      <c r="B83" s="198">
        <v>1</v>
      </c>
      <c r="C83" s="199">
        <v>831365</v>
      </c>
      <c r="D83" s="200">
        <f>72530.53-C83*SUM(M51)</f>
        <v>71092.268549999993</v>
      </c>
      <c r="E83" s="200">
        <f>500*B83</f>
        <v>500</v>
      </c>
      <c r="F83" s="201" t="s">
        <v>219</v>
      </c>
      <c r="H83" s="198"/>
      <c r="I83" s="199"/>
      <c r="J83" s="200"/>
      <c r="K83" s="200"/>
      <c r="L83" s="201"/>
    </row>
    <row r="84" spans="1:14" ht="14.4">
      <c r="A84" s="202" t="s">
        <v>258</v>
      </c>
      <c r="B84" s="203">
        <f>SUM(B83:B83)</f>
        <v>1</v>
      </c>
      <c r="C84" s="204">
        <f>SUM(C83:C83)</f>
        <v>831365</v>
      </c>
      <c r="D84" s="205">
        <f>SUM(D83:D83)</f>
        <v>71092.268549999993</v>
      </c>
      <c r="E84" s="205">
        <f>SUM(E83:E83)</f>
        <v>500</v>
      </c>
      <c r="F84" s="151"/>
    </row>
    <row r="85" spans="1:14" ht="14.4">
      <c r="A85" s="170"/>
      <c r="B85" s="170"/>
      <c r="C85" s="170"/>
      <c r="D85" s="170"/>
      <c r="E85" s="170"/>
      <c r="F85" s="151"/>
    </row>
    <row r="86" spans="1:14" ht="14.4">
      <c r="A86" s="206"/>
      <c r="B86" s="198"/>
      <c r="C86" s="199"/>
      <c r="D86" s="200"/>
      <c r="E86" s="200"/>
      <c r="F86" s="151"/>
    </row>
    <row r="88" spans="1:14" ht="9" customHeight="1"/>
  </sheetData>
  <mergeCells count="3">
    <mergeCell ref="A1:I1"/>
    <mergeCell ref="H56:H57"/>
    <mergeCell ref="G82:J82"/>
  </mergeCells>
  <printOptions horizontalCentered="1"/>
  <pageMargins left="0.45" right="0.45" top="0.5" bottom="0.5" header="0.3" footer="0.3"/>
  <pageSetup scale="81" fitToHeight="2" orientation="landscape" r:id="rId1"/>
  <headerFooter>
    <oddFooter>&amp;L&amp;F / &amp;A&amp;RPage &amp;P</oddFooter>
  </headerFooter>
  <rowBreaks count="1" manualBreakCount="1">
    <brk id="42" max="10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0.39997558519241921"/>
  </sheetPr>
  <dimension ref="A1:AE88"/>
  <sheetViews>
    <sheetView zoomScaleNormal="100" workbookViewId="0">
      <selection activeCell="G44" sqref="G44"/>
    </sheetView>
  </sheetViews>
  <sheetFormatPr defaultColWidth="9.109375" defaultRowHeight="13.8"/>
  <cols>
    <col min="1" max="1" width="14.6640625" style="1" customWidth="1"/>
    <col min="2" max="2" width="10.109375" style="1" customWidth="1"/>
    <col min="3" max="3" width="16.33203125" style="1" customWidth="1"/>
    <col min="4" max="4" width="18.6640625" style="1" customWidth="1"/>
    <col min="5" max="5" width="15.5546875" style="1" customWidth="1"/>
    <col min="6" max="6" width="14.6640625" style="1" bestFit="1" customWidth="1"/>
    <col min="7" max="7" width="15.5546875" style="1" customWidth="1"/>
    <col min="8" max="8" width="13.5546875" style="1" bestFit="1" customWidth="1"/>
    <col min="9" max="9" width="14.5546875" style="1" bestFit="1" customWidth="1"/>
    <col min="10" max="10" width="11.6640625" style="1" customWidth="1"/>
    <col min="11" max="11" width="12.6640625" style="1" customWidth="1"/>
    <col min="12" max="12" width="13.44140625" style="1" bestFit="1" customWidth="1"/>
    <col min="13" max="13" width="15.6640625" style="1" customWidth="1"/>
    <col min="14" max="14" width="12.5546875" style="1" customWidth="1"/>
    <col min="15" max="15" width="12.44140625" style="1" customWidth="1"/>
    <col min="16" max="16" width="13.33203125" style="1" customWidth="1"/>
    <col min="17" max="17" width="16" style="1" customWidth="1"/>
    <col min="18" max="18" width="9.109375" style="1"/>
    <col min="19" max="19" width="17.6640625" style="1" customWidth="1"/>
    <col min="20" max="20" width="13.44140625" style="1" customWidth="1"/>
    <col min="21" max="21" width="9.109375" style="1"/>
    <col min="22" max="22" width="13.88671875" style="1" customWidth="1"/>
    <col min="23" max="23" width="2.88671875" style="1" customWidth="1"/>
    <col min="24" max="24" width="13" style="1" customWidth="1"/>
    <col min="25" max="25" width="1.6640625" style="1" customWidth="1"/>
    <col min="26" max="27" width="13.6640625" style="1" customWidth="1"/>
    <col min="28" max="28" width="11.6640625" style="1" customWidth="1"/>
    <col min="29" max="29" width="13.6640625" style="1" customWidth="1"/>
    <col min="30" max="16384" width="9.109375" style="1"/>
  </cols>
  <sheetData>
    <row r="1" spans="1:31" ht="14.4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M1" s="151" t="s">
        <v>234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 t="s">
        <v>235</v>
      </c>
      <c r="AA1" s="224" t="s">
        <v>296</v>
      </c>
      <c r="AB1" s="151"/>
      <c r="AC1" s="151" t="s">
        <v>237</v>
      </c>
      <c r="AD1" s="224" t="s">
        <v>295</v>
      </c>
      <c r="AE1" s="151"/>
    </row>
    <row r="2" spans="1:31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M2" s="151"/>
      <c r="N2" s="151"/>
      <c r="O2" s="287" t="str">
        <f>AA1&amp;" Billed Schedule 75 Revenue"</f>
        <v>July Billed Schedule 75 Revenue</v>
      </c>
      <c r="P2" s="287" t="str">
        <f>AA1&amp;" Billed kWhs"</f>
        <v>July Billed kWhs</v>
      </c>
      <c r="Q2" s="287" t="str">
        <f>AA1&amp;" Unbilled kWhs"</f>
        <v>July Unbilled kWhs</v>
      </c>
      <c r="R2" s="287" t="s">
        <v>238</v>
      </c>
      <c r="S2" s="287" t="s">
        <v>239</v>
      </c>
      <c r="T2" s="287" t="str">
        <f>AD1&amp;" Unbilled kWhs reversal"</f>
        <v>June Unbilled kWhs reversal</v>
      </c>
      <c r="U2" s="287" t="s">
        <v>238</v>
      </c>
      <c r="V2" s="287" t="str">
        <f>AD1&amp;" Schedule 75 Unbilled Reversal"</f>
        <v>June Schedule 75 Unbilled Reversal</v>
      </c>
      <c r="W2" s="151"/>
      <c r="X2" s="287" t="str">
        <f>"Total "&amp;AA1&amp;" Schedule 75 Revenue"</f>
        <v>Total July Schedule 75 Revenue</v>
      </c>
      <c r="Y2" s="151"/>
      <c r="Z2" s="287" t="str">
        <f>"Calendar "&amp;AA1&amp;" Usage"</f>
        <v>Calendar July Usage</v>
      </c>
      <c r="AA2" s="287" t="str">
        <f>R2</f>
        <v>11/1/2017 rate</v>
      </c>
      <c r="AB2" s="287" t="s">
        <v>240</v>
      </c>
      <c r="AC2" s="287" t="s">
        <v>241</v>
      </c>
      <c r="AD2" s="287" t="str">
        <f>"implied "&amp;AD1&amp;" unbilled/Cancel-Rebill True-up kWhs"</f>
        <v>implied June unbilled/Cancel-Rebill True-up kWhs</v>
      </c>
      <c r="AE2" s="151"/>
    </row>
    <row r="3" spans="1:31" ht="14.4">
      <c r="A3" s="180" t="s">
        <v>131</v>
      </c>
      <c r="B3" s="152"/>
      <c r="C3" s="158">
        <v>215008</v>
      </c>
      <c r="D3" s="282"/>
      <c r="E3" s="182">
        <v>162685830.90099001</v>
      </c>
      <c r="F3" s="182">
        <v>-78586377</v>
      </c>
      <c r="G3" s="182">
        <v>100822517</v>
      </c>
      <c r="H3" s="189">
        <f>SUM(F3:G3)</f>
        <v>22236140</v>
      </c>
      <c r="I3" s="159">
        <f>E3+H3</f>
        <v>184921970.90099001</v>
      </c>
      <c r="J3" s="282"/>
      <c r="M3" s="151" t="s">
        <v>242</v>
      </c>
      <c r="N3" s="151"/>
      <c r="O3" s="214">
        <v>724000.78</v>
      </c>
      <c r="P3" s="225">
        <f t="shared" ref="P3:P8" si="0">E3</f>
        <v>162685830.90099001</v>
      </c>
      <c r="Q3" s="225">
        <f t="shared" ref="Q3:Q8" si="1">G3</f>
        <v>100822517</v>
      </c>
      <c r="R3" s="206">
        <v>4.45E-3</v>
      </c>
      <c r="S3" s="215">
        <f>Q3*R3</f>
        <v>448660.20065000001</v>
      </c>
      <c r="T3" s="225">
        <f t="shared" ref="T3:T8" si="2">F3</f>
        <v>-78586377</v>
      </c>
      <c r="U3" s="206">
        <v>4.45E-3</v>
      </c>
      <c r="V3" s="216">
        <f>T3*U3</f>
        <v>-349709.37764999998</v>
      </c>
      <c r="W3" s="151"/>
      <c r="X3" s="150">
        <f>O3+S3+V3</f>
        <v>822951.60300000012</v>
      </c>
      <c r="Y3" s="151"/>
      <c r="Z3" s="95">
        <f>P3+Q3+T3</f>
        <v>184921970.90099001</v>
      </c>
      <c r="AA3" s="170">
        <f>R3</f>
        <v>4.45E-3</v>
      </c>
      <c r="AB3" s="217">
        <f>Z3*AA3</f>
        <v>822902.77050940553</v>
      </c>
      <c r="AC3" s="150">
        <f>X3-AB3</f>
        <v>48.832490594591945</v>
      </c>
      <c r="AD3" s="95">
        <f>AC3/AA3</f>
        <v>10973.593392043134</v>
      </c>
      <c r="AE3" s="218">
        <f>AC3/X3</f>
        <v>5.9338228902619854E-5</v>
      </c>
    </row>
    <row r="4" spans="1:31" ht="14.4">
      <c r="A4" s="180" t="s">
        <v>178</v>
      </c>
      <c r="B4" s="152"/>
      <c r="C4" s="158">
        <v>400</v>
      </c>
      <c r="D4" s="282"/>
      <c r="E4" s="182">
        <v>279567.73</v>
      </c>
      <c r="F4" s="182">
        <v>-140329</v>
      </c>
      <c r="G4" s="182">
        <v>173265</v>
      </c>
      <c r="H4" s="189">
        <f t="shared" ref="H4:H16" si="3">SUM(F4:G4)</f>
        <v>32936</v>
      </c>
      <c r="I4" s="159">
        <f t="shared" ref="I4:I16" si="4">E4+H4</f>
        <v>312503.73</v>
      </c>
      <c r="J4" s="282"/>
      <c r="M4" s="151" t="s">
        <v>243</v>
      </c>
      <c r="N4" s="151"/>
      <c r="O4" s="214">
        <v>1244.05</v>
      </c>
      <c r="P4" s="225">
        <f t="shared" si="0"/>
        <v>279567.73</v>
      </c>
      <c r="Q4" s="225">
        <f t="shared" si="1"/>
        <v>173265</v>
      </c>
      <c r="R4" s="206">
        <v>4.45E-3</v>
      </c>
      <c r="S4" s="215">
        <f>Q4*R4</f>
        <v>771.02925000000005</v>
      </c>
      <c r="T4" s="225">
        <f t="shared" si="2"/>
        <v>-140329</v>
      </c>
      <c r="U4" s="206">
        <v>4.45E-3</v>
      </c>
      <c r="V4" s="216">
        <f t="shared" ref="V4:V11" si="5">T4*U4</f>
        <v>-624.46405000000004</v>
      </c>
      <c r="W4" s="151"/>
      <c r="X4" s="150">
        <f t="shared" ref="X4:X11" si="6">O4+S4+V4</f>
        <v>1390.6152</v>
      </c>
      <c r="Y4" s="151"/>
      <c r="Z4" s="95">
        <f t="shared" ref="Z4:Z11" si="7">P4+Q4+T4</f>
        <v>312503.73</v>
      </c>
      <c r="AA4" s="170">
        <f t="shared" ref="AA4:AA11" si="8">R4</f>
        <v>4.45E-3</v>
      </c>
      <c r="AB4" s="217">
        <f t="shared" ref="AB4:AB11" si="9">Z4*AA4</f>
        <v>1390.6415984999999</v>
      </c>
      <c r="AC4" s="150">
        <f t="shared" ref="AC4:AC11" si="10">X4-AB4</f>
        <v>-2.6398499999913838E-2</v>
      </c>
      <c r="AD4" s="95">
        <f t="shared" ref="AD4:AD11" si="11">AC4/AA4</f>
        <v>-5.9322471909918741</v>
      </c>
      <c r="AE4" s="218">
        <f t="shared" ref="AE4:AE12" si="12">AC4/X4</f>
        <v>-1.8983324790289821E-5</v>
      </c>
    </row>
    <row r="5" spans="1:31" ht="14.4">
      <c r="A5" s="180" t="s">
        <v>132</v>
      </c>
      <c r="B5" s="152"/>
      <c r="C5" s="158">
        <v>22723</v>
      </c>
      <c r="D5" s="282"/>
      <c r="E5" s="182">
        <v>44491315.207999997</v>
      </c>
      <c r="F5" s="182">
        <v>-22318280</v>
      </c>
      <c r="G5" s="182">
        <v>27487278</v>
      </c>
      <c r="H5" s="189">
        <f t="shared" si="3"/>
        <v>5168998</v>
      </c>
      <c r="I5" s="159">
        <f t="shared" si="4"/>
        <v>49660313.207999997</v>
      </c>
      <c r="J5" s="282"/>
      <c r="M5" s="151" t="s">
        <v>244</v>
      </c>
      <c r="N5" s="151"/>
      <c r="O5" s="214">
        <v>17795.419999999998</v>
      </c>
      <c r="P5" s="225">
        <f t="shared" si="0"/>
        <v>44491315.207999997</v>
      </c>
      <c r="Q5" s="225">
        <f t="shared" si="1"/>
        <v>27487278</v>
      </c>
      <c r="R5" s="219">
        <v>4.0000000000000002E-4</v>
      </c>
      <c r="S5" s="215">
        <f>Q5*R5</f>
        <v>10994.9112</v>
      </c>
      <c r="T5" s="225">
        <f t="shared" si="2"/>
        <v>-22318280</v>
      </c>
      <c r="U5" s="219">
        <v>4.0000000000000002E-4</v>
      </c>
      <c r="V5" s="216">
        <f t="shared" si="5"/>
        <v>-8927.3119999999999</v>
      </c>
      <c r="W5" s="151"/>
      <c r="X5" s="150">
        <f t="shared" si="6"/>
        <v>19863.019200000002</v>
      </c>
      <c r="Y5" s="151"/>
      <c r="Z5" s="95">
        <f t="shared" si="7"/>
        <v>49660313.208000004</v>
      </c>
      <c r="AA5" s="220">
        <f t="shared" si="8"/>
        <v>4.0000000000000002E-4</v>
      </c>
      <c r="AB5" s="217">
        <f t="shared" si="9"/>
        <v>19864.125283200003</v>
      </c>
      <c r="AC5" s="150">
        <f t="shared" si="10"/>
        <v>-1.1060832000002847</v>
      </c>
      <c r="AD5" s="95">
        <f t="shared" si="11"/>
        <v>-2765.2080000007118</v>
      </c>
      <c r="AE5" s="218">
        <f t="shared" si="12"/>
        <v>-5.5685552577036455E-5</v>
      </c>
    </row>
    <row r="6" spans="1:31" ht="14.4">
      <c r="A6" s="180" t="s">
        <v>133</v>
      </c>
      <c r="B6" s="152"/>
      <c r="C6" s="158">
        <v>9565</v>
      </c>
      <c r="D6" s="282"/>
      <c r="E6" s="182">
        <v>3677028.4569999999</v>
      </c>
      <c r="F6" s="182">
        <v>-1934806</v>
      </c>
      <c r="G6" s="182">
        <v>2278873</v>
      </c>
      <c r="H6" s="189">
        <f t="shared" si="3"/>
        <v>344067</v>
      </c>
      <c r="I6" s="159">
        <f t="shared" si="4"/>
        <v>4021095.4569999999</v>
      </c>
      <c r="J6" s="282"/>
      <c r="M6" s="151" t="s">
        <v>245</v>
      </c>
      <c r="N6" s="151"/>
      <c r="O6" s="214">
        <v>1469.72</v>
      </c>
      <c r="P6" s="225">
        <f t="shared" si="0"/>
        <v>3677028.4569999999</v>
      </c>
      <c r="Q6" s="225">
        <f t="shared" si="1"/>
        <v>2278873</v>
      </c>
      <c r="R6" s="219">
        <v>4.0000000000000002E-4</v>
      </c>
      <c r="S6" s="215">
        <f t="shared" ref="S6:S11" si="13">Q6*R6</f>
        <v>911.54920000000004</v>
      </c>
      <c r="T6" s="225">
        <f t="shared" si="2"/>
        <v>-1934806</v>
      </c>
      <c r="U6" s="219">
        <v>4.0000000000000002E-4</v>
      </c>
      <c r="V6" s="216">
        <f t="shared" si="5"/>
        <v>-773.92240000000004</v>
      </c>
      <c r="W6" s="151"/>
      <c r="X6" s="150">
        <f t="shared" si="6"/>
        <v>1607.3468000000003</v>
      </c>
      <c r="Y6" s="151"/>
      <c r="Z6" s="95">
        <f t="shared" si="7"/>
        <v>4021095.4570000004</v>
      </c>
      <c r="AA6" s="220">
        <f t="shared" si="8"/>
        <v>4.0000000000000002E-4</v>
      </c>
      <c r="AB6" s="217">
        <f t="shared" si="9"/>
        <v>1608.4381828000003</v>
      </c>
      <c r="AC6" s="150">
        <f t="shared" si="10"/>
        <v>-1.0913828000000194</v>
      </c>
      <c r="AD6" s="95">
        <f t="shared" si="11"/>
        <v>-2728.4570000000485</v>
      </c>
      <c r="AE6" s="218">
        <f t="shared" si="12"/>
        <v>-6.7899646796821893E-4</v>
      </c>
    </row>
    <row r="7" spans="1:31" ht="14.4">
      <c r="A7" s="180" t="s">
        <v>134</v>
      </c>
      <c r="B7" s="152"/>
      <c r="C7" s="158">
        <v>1845</v>
      </c>
      <c r="D7" s="282"/>
      <c r="E7" s="182">
        <v>112687625.103</v>
      </c>
      <c r="F7" s="182">
        <v>-58325794</v>
      </c>
      <c r="G7" s="182">
        <v>69470717</v>
      </c>
      <c r="H7" s="189">
        <f t="shared" si="3"/>
        <v>11144923</v>
      </c>
      <c r="I7" s="159">
        <f t="shared" si="4"/>
        <v>123832548.103</v>
      </c>
      <c r="J7" s="282"/>
      <c r="M7" s="151" t="s">
        <v>246</v>
      </c>
      <c r="N7" s="151"/>
      <c r="O7" s="214">
        <v>45075.05</v>
      </c>
      <c r="P7" s="225">
        <f t="shared" si="0"/>
        <v>112687625.103</v>
      </c>
      <c r="Q7" s="225">
        <f t="shared" si="1"/>
        <v>69470717</v>
      </c>
      <c r="R7" s="219">
        <v>4.0000000000000002E-4</v>
      </c>
      <c r="S7" s="215">
        <f t="shared" si="13"/>
        <v>27788.286800000002</v>
      </c>
      <c r="T7" s="225">
        <f t="shared" si="2"/>
        <v>-58325794</v>
      </c>
      <c r="U7" s="219">
        <v>4.0000000000000002E-4</v>
      </c>
      <c r="V7" s="216">
        <f t="shared" si="5"/>
        <v>-23330.317600000002</v>
      </c>
      <c r="W7" s="151"/>
      <c r="X7" s="150">
        <f t="shared" si="6"/>
        <v>49533.019200000002</v>
      </c>
      <c r="Y7" s="151"/>
      <c r="Z7" s="95">
        <f t="shared" si="7"/>
        <v>123832548.10299999</v>
      </c>
      <c r="AA7" s="220">
        <f t="shared" si="8"/>
        <v>4.0000000000000002E-4</v>
      </c>
      <c r="AB7" s="217">
        <f t="shared" si="9"/>
        <v>49533.019241199996</v>
      </c>
      <c r="AC7" s="150">
        <f t="shared" si="10"/>
        <v>-4.1199993574991822E-5</v>
      </c>
      <c r="AD7" s="95">
        <f t="shared" si="11"/>
        <v>-0.10299998393747956</v>
      </c>
      <c r="AE7" s="218">
        <f t="shared" si="12"/>
        <v>-8.3176826772133895E-10</v>
      </c>
    </row>
    <row r="8" spans="1:31" ht="14.4">
      <c r="A8" s="180" t="s">
        <v>135</v>
      </c>
      <c r="B8" s="152"/>
      <c r="C8" s="158">
        <v>47</v>
      </c>
      <c r="D8" s="282"/>
      <c r="E8" s="182">
        <v>2227914.7200000002</v>
      </c>
      <c r="F8" s="182">
        <v>-1168955</v>
      </c>
      <c r="G8" s="182">
        <v>1380771</v>
      </c>
      <c r="H8" s="189">
        <f t="shared" si="3"/>
        <v>211816</v>
      </c>
      <c r="I8" s="159">
        <f t="shared" si="4"/>
        <v>2439730.7200000002</v>
      </c>
      <c r="J8" s="282"/>
      <c r="M8" s="151" t="s">
        <v>247</v>
      </c>
      <c r="N8" s="151"/>
      <c r="O8" s="214">
        <v>891.16</v>
      </c>
      <c r="P8" s="225">
        <f t="shared" si="0"/>
        <v>2227914.7200000002</v>
      </c>
      <c r="Q8" s="225">
        <f t="shared" si="1"/>
        <v>1380771</v>
      </c>
      <c r="R8" s="219">
        <v>4.0000000000000002E-4</v>
      </c>
      <c r="S8" s="215">
        <f t="shared" si="13"/>
        <v>552.30840000000001</v>
      </c>
      <c r="T8" s="225">
        <f t="shared" si="2"/>
        <v>-1168955</v>
      </c>
      <c r="U8" s="219">
        <v>4.0000000000000002E-4</v>
      </c>
      <c r="V8" s="216">
        <f t="shared" si="5"/>
        <v>-467.58200000000005</v>
      </c>
      <c r="W8" s="151"/>
      <c r="X8" s="150">
        <f t="shared" si="6"/>
        <v>975.88639999999987</v>
      </c>
      <c r="Y8" s="151"/>
      <c r="Z8" s="95">
        <f t="shared" si="7"/>
        <v>2439730.7200000002</v>
      </c>
      <c r="AA8" s="220">
        <f t="shared" si="8"/>
        <v>4.0000000000000002E-4</v>
      </c>
      <c r="AB8" s="217">
        <f t="shared" si="9"/>
        <v>975.89228800000012</v>
      </c>
      <c r="AC8" s="150">
        <f t="shared" si="10"/>
        <v>-5.8880000002545785E-3</v>
      </c>
      <c r="AD8" s="95">
        <f t="shared" si="11"/>
        <v>-14.720000000636446</v>
      </c>
      <c r="AE8" s="218">
        <f t="shared" si="12"/>
        <v>-6.0334891440792487E-6</v>
      </c>
    </row>
    <row r="9" spans="1:31" ht="14.4">
      <c r="A9" s="180" t="s">
        <v>136</v>
      </c>
      <c r="B9" s="152"/>
      <c r="C9" s="158">
        <v>23</v>
      </c>
      <c r="D9" s="194"/>
      <c r="E9" s="182">
        <f>91430986-E10</f>
        <v>57772358</v>
      </c>
      <c r="F9" s="182">
        <v>-59046228</v>
      </c>
      <c r="G9" s="182">
        <f>95141639-G10</f>
        <v>60141639</v>
      </c>
      <c r="H9" s="189">
        <f t="shared" si="3"/>
        <v>1095411</v>
      </c>
      <c r="I9" s="159">
        <f t="shared" si="4"/>
        <v>58867769</v>
      </c>
      <c r="J9" s="282"/>
      <c r="M9" s="151" t="s">
        <v>248</v>
      </c>
      <c r="N9" s="151"/>
      <c r="O9" s="214">
        <v>2730.11</v>
      </c>
      <c r="P9" s="225">
        <f>E11</f>
        <v>6825279.1440000003</v>
      </c>
      <c r="Q9" s="225">
        <f>G11</f>
        <v>0</v>
      </c>
      <c r="R9" s="219">
        <v>4.0000000000000002E-4</v>
      </c>
      <c r="S9" s="215">
        <f t="shared" si="13"/>
        <v>0</v>
      </c>
      <c r="T9" s="225">
        <f>F11</f>
        <v>0</v>
      </c>
      <c r="U9" s="219">
        <v>4.0000000000000002E-4</v>
      </c>
      <c r="V9" s="216">
        <f t="shared" si="5"/>
        <v>0</v>
      </c>
      <c r="W9" s="151"/>
      <c r="X9" s="150">
        <f t="shared" si="6"/>
        <v>2730.11</v>
      </c>
      <c r="Y9" s="151"/>
      <c r="Z9" s="95">
        <f t="shared" si="7"/>
        <v>6825279.1440000003</v>
      </c>
      <c r="AA9" s="220">
        <f t="shared" si="8"/>
        <v>4.0000000000000002E-4</v>
      </c>
      <c r="AB9" s="217">
        <f t="shared" si="9"/>
        <v>2730.1116576000004</v>
      </c>
      <c r="AC9" s="150">
        <f t="shared" si="10"/>
        <v>-1.6576000002714864E-3</v>
      </c>
      <c r="AD9" s="95">
        <f t="shared" si="11"/>
        <v>-4.1440000006787159</v>
      </c>
      <c r="AE9" s="218">
        <f t="shared" si="12"/>
        <v>-6.0715502315712047E-7</v>
      </c>
    </row>
    <row r="10" spans="1:31" ht="14.4">
      <c r="A10" s="180" t="s">
        <v>179</v>
      </c>
      <c r="B10" s="152"/>
      <c r="C10" s="158"/>
      <c r="D10" s="194"/>
      <c r="E10" s="182">
        <v>33658628</v>
      </c>
      <c r="F10" s="182">
        <v>-35000000</v>
      </c>
      <c r="G10" s="182">
        <v>35000000</v>
      </c>
      <c r="H10" s="189">
        <f t="shared" si="3"/>
        <v>0</v>
      </c>
      <c r="I10" s="159">
        <f t="shared" si="4"/>
        <v>33658628</v>
      </c>
      <c r="J10" s="282"/>
      <c r="M10" s="151" t="s">
        <v>249</v>
      </c>
      <c r="N10" s="151"/>
      <c r="O10" s="214">
        <v>5899.23</v>
      </c>
      <c r="P10" s="225">
        <f>E12</f>
        <v>14748107.573000001</v>
      </c>
      <c r="Q10" s="225">
        <f>G12</f>
        <v>6510007</v>
      </c>
      <c r="R10" s="219">
        <v>4.0000000000000002E-4</v>
      </c>
      <c r="S10" s="215">
        <f t="shared" si="13"/>
        <v>2604.0028000000002</v>
      </c>
      <c r="T10" s="225">
        <f>F12</f>
        <v>-4808391</v>
      </c>
      <c r="U10" s="219">
        <v>4.0000000000000002E-4</v>
      </c>
      <c r="V10" s="216">
        <f t="shared" si="5"/>
        <v>-1923.3564000000001</v>
      </c>
      <c r="W10" s="151"/>
      <c r="X10" s="150">
        <f>O10+S10+V10</f>
        <v>6579.8763999999992</v>
      </c>
      <c r="Y10" s="151"/>
      <c r="Z10" s="95">
        <f t="shared" si="7"/>
        <v>16449723.572999999</v>
      </c>
      <c r="AA10" s="220">
        <f t="shared" si="8"/>
        <v>4.0000000000000002E-4</v>
      </c>
      <c r="AB10" s="217">
        <f t="shared" si="9"/>
        <v>6579.8894291999995</v>
      </c>
      <c r="AC10" s="150">
        <f t="shared" si="10"/>
        <v>-1.3029200000346464E-2</v>
      </c>
      <c r="AD10" s="95">
        <f t="shared" si="11"/>
        <v>-32.573000000866159</v>
      </c>
      <c r="AE10" s="218">
        <f t="shared" si="12"/>
        <v>-1.9801587762874187E-6</v>
      </c>
    </row>
    <row r="11" spans="1:31" ht="14.4">
      <c r="A11" s="180" t="s">
        <v>180</v>
      </c>
      <c r="B11" s="152"/>
      <c r="C11" s="158">
        <v>50</v>
      </c>
      <c r="D11" s="282"/>
      <c r="E11" s="182">
        <v>6825279.1440000003</v>
      </c>
      <c r="F11" s="182">
        <v>0</v>
      </c>
      <c r="G11" s="182">
        <v>0</v>
      </c>
      <c r="H11" s="189">
        <f t="shared" si="3"/>
        <v>0</v>
      </c>
      <c r="I11" s="159">
        <f t="shared" si="4"/>
        <v>6825279.1440000003</v>
      </c>
      <c r="J11" s="282"/>
      <c r="M11" s="151" t="s">
        <v>250</v>
      </c>
      <c r="N11" s="151"/>
      <c r="O11" s="214">
        <v>604.16999999999996</v>
      </c>
      <c r="P11" s="225">
        <f>E13</f>
        <v>1510565.9180000001</v>
      </c>
      <c r="Q11" s="225">
        <f>G13</f>
        <v>605650</v>
      </c>
      <c r="R11" s="219">
        <v>4.0000000000000002E-4</v>
      </c>
      <c r="S11" s="215">
        <f t="shared" si="13"/>
        <v>242.26000000000002</v>
      </c>
      <c r="T11" s="225">
        <f>F13</f>
        <v>-274178</v>
      </c>
      <c r="U11" s="219">
        <v>4.0000000000000002E-4</v>
      </c>
      <c r="V11" s="216">
        <f t="shared" si="5"/>
        <v>-109.6712</v>
      </c>
      <c r="W11" s="151"/>
      <c r="X11" s="150">
        <f t="shared" si="6"/>
        <v>736.75879999999995</v>
      </c>
      <c r="Y11" s="151"/>
      <c r="Z11" s="95">
        <f t="shared" si="7"/>
        <v>1842037.9180000001</v>
      </c>
      <c r="AA11" s="220">
        <f t="shared" si="8"/>
        <v>4.0000000000000002E-4</v>
      </c>
      <c r="AB11" s="217">
        <f t="shared" si="9"/>
        <v>736.81516720000002</v>
      </c>
      <c r="AC11" s="150">
        <f t="shared" si="10"/>
        <v>-5.6367200000067896E-2</v>
      </c>
      <c r="AD11" s="95">
        <f t="shared" si="11"/>
        <v>-140.91800000016974</v>
      </c>
      <c r="AE11" s="218">
        <f t="shared" si="12"/>
        <v>-7.6506992519217816E-5</v>
      </c>
    </row>
    <row r="12" spans="1:31" ht="14.4">
      <c r="A12" s="180" t="s">
        <v>137</v>
      </c>
      <c r="B12" s="152"/>
      <c r="C12" s="158">
        <v>1200</v>
      </c>
      <c r="D12" s="282"/>
      <c r="E12" s="182">
        <v>14748107.573000001</v>
      </c>
      <c r="F12" s="182">
        <v>-4808391</v>
      </c>
      <c r="G12" s="182">
        <v>6510007</v>
      </c>
      <c r="H12" s="189">
        <f t="shared" si="3"/>
        <v>1701616</v>
      </c>
      <c r="I12" s="159">
        <f t="shared" si="4"/>
        <v>16449723.573000001</v>
      </c>
      <c r="J12" s="282"/>
      <c r="M12" s="151"/>
      <c r="N12" s="151"/>
      <c r="O12" s="221">
        <f>SUM(O3:O11)</f>
        <v>799709.69000000018</v>
      </c>
      <c r="P12" s="51">
        <f>SUM(P3:P11)</f>
        <v>349133234.75398999</v>
      </c>
      <c r="Q12" s="51">
        <f>SUM(Q3:Q11)</f>
        <v>208729078</v>
      </c>
      <c r="R12" s="151"/>
      <c r="S12" s="221">
        <f>SUM(S3:S11)</f>
        <v>492524.54830000002</v>
      </c>
      <c r="T12" s="51">
        <f>SUM(T3:T11)</f>
        <v>-167557110</v>
      </c>
      <c r="U12" s="151"/>
      <c r="V12" s="221">
        <f>SUM(V3:V11)</f>
        <v>-385866.00329999992</v>
      </c>
      <c r="W12" s="151"/>
      <c r="X12" s="221">
        <f>SUM(X3:X11)</f>
        <v>906368.23499999999</v>
      </c>
      <c r="Y12" s="151"/>
      <c r="Z12" s="51">
        <f>SUM(Z3:Z11)</f>
        <v>390305202.75398999</v>
      </c>
      <c r="AA12" s="151"/>
      <c r="AB12" s="51">
        <f>SUM(AB3:AB11)</f>
        <v>906321.70335710538</v>
      </c>
      <c r="AC12" s="221">
        <f>SUM(AC3:AC11)</f>
        <v>46.531642894597212</v>
      </c>
      <c r="AD12" s="51">
        <f>SUM(AD3:AD11)</f>
        <v>5281.5381448650924</v>
      </c>
      <c r="AE12" s="218">
        <f t="shared" si="12"/>
        <v>5.1338563177467506E-5</v>
      </c>
    </row>
    <row r="13" spans="1:31" ht="14.4">
      <c r="A13" s="180" t="s">
        <v>138</v>
      </c>
      <c r="B13" s="152"/>
      <c r="C13" s="158">
        <v>1214</v>
      </c>
      <c r="D13" s="282"/>
      <c r="E13" s="182">
        <v>1510565.9180000001</v>
      </c>
      <c r="F13" s="182">
        <v>-274178</v>
      </c>
      <c r="G13" s="182">
        <v>605650</v>
      </c>
      <c r="H13" s="189">
        <f t="shared" si="3"/>
        <v>331472</v>
      </c>
      <c r="I13" s="159">
        <f t="shared" si="4"/>
        <v>1842037.9180000001</v>
      </c>
      <c r="J13" s="282"/>
      <c r="M13" s="151"/>
      <c r="N13" s="151"/>
      <c r="O13" s="151"/>
      <c r="P13" s="151"/>
      <c r="Q13" s="151"/>
      <c r="R13" s="151"/>
      <c r="S13" s="151"/>
      <c r="T13" s="151"/>
      <c r="U13" s="222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4">
      <c r="A14" s="180" t="s">
        <v>181</v>
      </c>
      <c r="B14" s="152"/>
      <c r="C14" s="158">
        <v>428</v>
      </c>
      <c r="D14" s="194"/>
      <c r="E14" s="182">
        <v>886754.32170999993</v>
      </c>
      <c r="F14" s="182"/>
      <c r="G14" s="182"/>
      <c r="H14" s="189"/>
      <c r="I14" s="159">
        <f t="shared" si="4"/>
        <v>886754.32170999993</v>
      </c>
      <c r="M14" s="151"/>
      <c r="N14" s="151"/>
      <c r="O14" s="151"/>
      <c r="P14" s="151"/>
      <c r="Q14" s="151"/>
      <c r="R14" s="151"/>
      <c r="S14" s="151"/>
      <c r="T14" s="151"/>
      <c r="U14" s="222" t="s">
        <v>251</v>
      </c>
      <c r="V14" s="151" t="s">
        <v>252</v>
      </c>
      <c r="W14" s="151"/>
      <c r="X14" s="170">
        <v>0.95332300000000003</v>
      </c>
      <c r="Y14" s="151"/>
      <c r="Z14" s="151"/>
      <c r="AA14" s="151" t="s">
        <v>253</v>
      </c>
      <c r="AB14" s="151" t="s">
        <v>254</v>
      </c>
      <c r="AC14" s="151"/>
      <c r="AD14" s="151" t="s">
        <v>255</v>
      </c>
      <c r="AE14" s="151"/>
    </row>
    <row r="15" spans="1:31" ht="14.4">
      <c r="A15" s="180" t="s">
        <v>182</v>
      </c>
      <c r="B15" s="152"/>
      <c r="C15" s="158"/>
      <c r="D15" s="194"/>
      <c r="E15" s="182">
        <v>411730.21364999999</v>
      </c>
      <c r="F15" s="182"/>
      <c r="G15" s="182"/>
      <c r="H15" s="189">
        <f t="shared" si="3"/>
        <v>0</v>
      </c>
      <c r="I15" s="159">
        <f t="shared" si="4"/>
        <v>411730.21364999999</v>
      </c>
      <c r="M15" s="151"/>
      <c r="N15" s="151"/>
      <c r="O15" s="151"/>
      <c r="P15" s="151"/>
      <c r="Q15" s="151"/>
      <c r="R15" s="151"/>
      <c r="S15" s="151"/>
      <c r="T15" s="151" t="s">
        <v>142</v>
      </c>
      <c r="U15" s="151" t="s">
        <v>256</v>
      </c>
      <c r="V15" s="151"/>
      <c r="W15" s="151"/>
      <c r="X15" s="223">
        <f>(X3+X4)*X14</f>
        <v>785864.3964810787</v>
      </c>
      <c r="Y15" s="151"/>
      <c r="Z15" s="151" t="s">
        <v>19</v>
      </c>
      <c r="AA15" s="50">
        <f>P3+P4+Q3+Q4+T3+T4</f>
        <v>185234474.63099</v>
      </c>
      <c r="AB15" s="170">
        <v>4.2399999999999998E-3</v>
      </c>
      <c r="AC15" s="150">
        <f>AA15*AB15</f>
        <v>785394.17243539752</v>
      </c>
      <c r="AD15" s="150">
        <f>X15-AC15</f>
        <v>470.22404568118509</v>
      </c>
      <c r="AE15" s="218">
        <f>AD15/X15</f>
        <v>5.9835265191646419E-4</v>
      </c>
    </row>
    <row r="16" spans="1:31" ht="14.4">
      <c r="A16" s="180" t="s">
        <v>183</v>
      </c>
      <c r="B16" s="152"/>
      <c r="C16" s="158"/>
      <c r="D16" s="195"/>
      <c r="E16" s="182">
        <v>218956.39600000001</v>
      </c>
      <c r="F16" s="182"/>
      <c r="G16" s="182"/>
      <c r="H16" s="189">
        <f t="shared" si="3"/>
        <v>0</v>
      </c>
      <c r="I16" s="159">
        <f t="shared" si="4"/>
        <v>218956.39600000001</v>
      </c>
      <c r="M16" s="151"/>
      <c r="N16" s="151"/>
      <c r="O16" s="151"/>
      <c r="P16" s="151"/>
      <c r="Q16" s="151"/>
      <c r="R16" s="151"/>
      <c r="S16" s="151"/>
      <c r="T16" s="151" t="s">
        <v>142</v>
      </c>
      <c r="U16" s="151" t="s">
        <v>257</v>
      </c>
      <c r="V16" s="151"/>
      <c r="W16" s="151"/>
      <c r="X16" s="223">
        <f>SUM(X5:X11)*X14</f>
        <v>78197.288413826405</v>
      </c>
      <c r="Y16" s="151"/>
      <c r="Z16" s="151" t="s">
        <v>184</v>
      </c>
      <c r="AA16" s="50">
        <f>SUM(P5:Q11,T5:T11)</f>
        <v>205070728.12300003</v>
      </c>
      <c r="AB16" s="170">
        <v>3.8000000000000002E-4</v>
      </c>
      <c r="AC16" s="150">
        <f>AA16*AB16</f>
        <v>77926.876686740012</v>
      </c>
      <c r="AD16" s="150">
        <f>X16-AC16</f>
        <v>270.41172708639351</v>
      </c>
      <c r="AE16" s="218">
        <f>AD16/X16</f>
        <v>3.4580703828929805E-3</v>
      </c>
    </row>
    <row r="17" spans="1:26" ht="14.4">
      <c r="A17" s="152"/>
      <c r="B17" s="152"/>
      <c r="C17" s="160">
        <f>SUM(C3:C16)</f>
        <v>252503</v>
      </c>
      <c r="E17" s="160">
        <f>SUM(E3:E16)</f>
        <v>442081661.68535</v>
      </c>
      <c r="F17" s="160">
        <f>SUM(F3:F16)</f>
        <v>-261603338</v>
      </c>
      <c r="G17" s="160">
        <f>SUM(G3:G16)</f>
        <v>303870717</v>
      </c>
      <c r="H17" s="160">
        <f>SUM(H3:H16)</f>
        <v>42267379</v>
      </c>
      <c r="I17" s="160">
        <f>SUM(I3:I16)</f>
        <v>484349040.68535</v>
      </c>
      <c r="Z17" s="151" t="s">
        <v>236</v>
      </c>
    </row>
    <row r="18" spans="1:26" ht="14.4" thickBot="1">
      <c r="A18" s="152"/>
      <c r="B18" s="152"/>
      <c r="C18" s="152"/>
      <c r="E18" s="152"/>
      <c r="F18" s="152"/>
      <c r="G18" s="152"/>
      <c r="I18" s="152"/>
    </row>
    <row r="19" spans="1:26">
      <c r="A19" s="152" t="s">
        <v>19</v>
      </c>
      <c r="B19" s="152"/>
      <c r="C19" s="161">
        <f>C3+C4</f>
        <v>215408</v>
      </c>
      <c r="E19" s="162">
        <f>E3+E4</f>
        <v>162965398.63099</v>
      </c>
      <c r="F19" s="162">
        <f>F3+F4</f>
        <v>-78726706</v>
      </c>
      <c r="G19" s="162">
        <f>G3+G4</f>
        <v>100995782</v>
      </c>
      <c r="H19" s="162">
        <f>H3+H4</f>
        <v>22269076</v>
      </c>
      <c r="I19" s="161">
        <f>I3+I4</f>
        <v>185234474.63099</v>
      </c>
    </row>
    <row r="20" spans="1:26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26" ht="14.4" thickBot="1">
      <c r="A21" s="152" t="s">
        <v>184</v>
      </c>
      <c r="B21" s="152"/>
      <c r="C21" s="177">
        <f>SUM(C5:C8,C11:C13)</f>
        <v>36644</v>
      </c>
      <c r="E21" s="178">
        <f>SUM(E5:E8,E11:E13)</f>
        <v>186167836.12300003</v>
      </c>
      <c r="F21" s="178">
        <f>SUM(F5:F8,F11:F13)</f>
        <v>-88830404</v>
      </c>
      <c r="G21" s="178">
        <f>SUM(G5:G8,G11:G13)</f>
        <v>107733296</v>
      </c>
      <c r="H21" s="178">
        <f>SUM(H5:H8,H11:H13)</f>
        <v>18902892</v>
      </c>
      <c r="I21" s="177">
        <f>SUM(I5:I8,I11:I13)</f>
        <v>205070728.12300003</v>
      </c>
    </row>
    <row r="22" spans="1:26">
      <c r="A22" s="152"/>
      <c r="B22" s="152"/>
      <c r="C22" s="152"/>
      <c r="D22" s="152"/>
      <c r="E22" s="152"/>
    </row>
    <row r="23" spans="1:26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26">
      <c r="A24" s="180" t="s">
        <v>131</v>
      </c>
      <c r="B24" s="152"/>
      <c r="C24" s="181">
        <v>1998953</v>
      </c>
      <c r="D24" s="181">
        <v>14871567.17</v>
      </c>
      <c r="E24" s="183">
        <v>-7557929</v>
      </c>
      <c r="F24" s="183">
        <v>9462718</v>
      </c>
      <c r="G24" s="174">
        <f>SUM(D24:F24)</f>
        <v>16776356.17</v>
      </c>
      <c r="H24" s="174">
        <f>-K62</f>
        <v>-159719.07850999999</v>
      </c>
      <c r="I24" s="174">
        <f>SUM(G24:H24)</f>
        <v>16616637.09149</v>
      </c>
    </row>
    <row r="25" spans="1:26">
      <c r="A25" s="180" t="s">
        <v>178</v>
      </c>
      <c r="B25" s="152"/>
      <c r="C25" s="181">
        <v>3627</v>
      </c>
      <c r="D25" s="181">
        <v>25481</v>
      </c>
      <c r="E25" s="183">
        <v>-9170</v>
      </c>
      <c r="F25" s="183">
        <v>10940</v>
      </c>
      <c r="G25" s="174">
        <f t="shared" ref="G25:G33" si="14">SUM(D25:F25)</f>
        <v>27251</v>
      </c>
      <c r="H25" s="174">
        <f t="shared" ref="H25:H30" si="15">-K63</f>
        <v>796.39409000000001</v>
      </c>
      <c r="I25" s="174">
        <f t="shared" ref="I25:I34" si="16">SUM(G25:H25)</f>
        <v>28047.394090000002</v>
      </c>
    </row>
    <row r="26" spans="1:26">
      <c r="A26" s="180" t="s">
        <v>132</v>
      </c>
      <c r="B26" s="152"/>
      <c r="C26" s="181">
        <v>461023.17</v>
      </c>
      <c r="D26" s="181">
        <v>5308531.0599999996</v>
      </c>
      <c r="E26" s="183">
        <v>-2630163</v>
      </c>
      <c r="F26" s="183">
        <v>3169019</v>
      </c>
      <c r="G26" s="174">
        <f t="shared" si="14"/>
        <v>5847387.0599999996</v>
      </c>
      <c r="H26" s="174">
        <f t="shared" si="15"/>
        <v>-26965.220179999997</v>
      </c>
      <c r="I26" s="174">
        <f t="shared" si="16"/>
        <v>5820421.8398199994</v>
      </c>
    </row>
    <row r="27" spans="1:26">
      <c r="A27" s="180" t="s">
        <v>133</v>
      </c>
      <c r="B27" s="152"/>
      <c r="C27" s="181">
        <v>193209.56</v>
      </c>
      <c r="D27" s="181">
        <v>601332.11</v>
      </c>
      <c r="E27" s="183">
        <v>-316539</v>
      </c>
      <c r="F27" s="183">
        <v>356004</v>
      </c>
      <c r="G27" s="174">
        <f t="shared" si="14"/>
        <v>640797.11</v>
      </c>
      <c r="H27" s="174">
        <f t="shared" si="15"/>
        <v>-1610.54376</v>
      </c>
      <c r="I27" s="174">
        <f t="shared" si="16"/>
        <v>639186.56623999996</v>
      </c>
    </row>
    <row r="28" spans="1:26">
      <c r="A28" s="180" t="s">
        <v>134</v>
      </c>
      <c r="B28" s="152"/>
      <c r="C28" s="181">
        <v>922940.01</v>
      </c>
      <c r="D28" s="181">
        <v>10420198.800000001</v>
      </c>
      <c r="E28" s="183">
        <v>-4745224</v>
      </c>
      <c r="F28" s="183">
        <v>5550104</v>
      </c>
      <c r="G28" s="174">
        <f t="shared" si="14"/>
        <v>11225078.800000001</v>
      </c>
      <c r="H28" s="174">
        <f t="shared" si="15"/>
        <v>-50861.873899999999</v>
      </c>
      <c r="I28" s="174">
        <f t="shared" si="16"/>
        <v>11174216.926100001</v>
      </c>
    </row>
    <row r="29" spans="1:26">
      <c r="A29" s="180" t="s">
        <v>135</v>
      </c>
      <c r="B29" s="152"/>
      <c r="C29" s="181">
        <v>24000</v>
      </c>
      <c r="D29" s="181">
        <v>205236.58</v>
      </c>
      <c r="E29" s="183">
        <v>-98074</v>
      </c>
      <c r="F29" s="183">
        <v>113215</v>
      </c>
      <c r="G29" s="174">
        <f t="shared" si="14"/>
        <v>220377.58</v>
      </c>
      <c r="H29" s="174">
        <f t="shared" si="15"/>
        <v>-808.99045000000001</v>
      </c>
      <c r="I29" s="174">
        <f t="shared" si="16"/>
        <v>219568.58954999998</v>
      </c>
    </row>
    <row r="30" spans="1:26">
      <c r="A30" s="180" t="s">
        <v>136</v>
      </c>
      <c r="B30" s="152"/>
      <c r="C30" s="181">
        <v>552000</v>
      </c>
      <c r="D30" s="181">
        <f>5568357.59-80424.33</f>
        <v>5487933.2599999998</v>
      </c>
      <c r="E30" s="183">
        <v>-5918000</v>
      </c>
      <c r="F30" s="183">
        <v>5944302</v>
      </c>
      <c r="G30" s="174">
        <f t="shared" si="14"/>
        <v>5514235.2599999998</v>
      </c>
      <c r="H30" s="174">
        <f t="shared" si="15"/>
        <v>-22585.231190000002</v>
      </c>
      <c r="I30" s="174">
        <f t="shared" si="16"/>
        <v>5491650.02881</v>
      </c>
      <c r="J30" s="283"/>
    </row>
    <row r="31" spans="1:26">
      <c r="A31" s="180" t="s">
        <v>180</v>
      </c>
      <c r="B31" s="152"/>
      <c r="C31" s="181">
        <v>1000</v>
      </c>
      <c r="D31" s="181">
        <v>474590.9</v>
      </c>
      <c r="E31" s="183">
        <v>0</v>
      </c>
      <c r="F31" s="183">
        <v>0</v>
      </c>
      <c r="G31" s="174">
        <f t="shared" si="14"/>
        <v>474590.9</v>
      </c>
      <c r="H31" s="174">
        <f>-K69</f>
        <v>0</v>
      </c>
      <c r="I31" s="174">
        <f t="shared" si="16"/>
        <v>474590.9</v>
      </c>
    </row>
    <row r="32" spans="1:26">
      <c r="A32" s="180" t="s">
        <v>137</v>
      </c>
      <c r="B32" s="152"/>
      <c r="C32" s="181">
        <v>24040</v>
      </c>
      <c r="D32" s="181">
        <v>1198473.4099999999</v>
      </c>
      <c r="E32" s="183">
        <v>-278734</v>
      </c>
      <c r="F32" s="183">
        <v>373901</v>
      </c>
      <c r="G32" s="174">
        <f t="shared" si="14"/>
        <v>1293640.4099999999</v>
      </c>
      <c r="H32" s="174">
        <f>-K70</f>
        <v>-6429.023439999999</v>
      </c>
      <c r="I32" s="174">
        <f t="shared" si="16"/>
        <v>1287211.38656</v>
      </c>
    </row>
    <row r="33" spans="1:14">
      <c r="A33" s="180" t="s">
        <v>138</v>
      </c>
      <c r="B33" s="152"/>
      <c r="C33" s="181">
        <v>24500</v>
      </c>
      <c r="D33" s="181">
        <v>150131.03</v>
      </c>
      <c r="E33" s="183">
        <v>-33875</v>
      </c>
      <c r="F33" s="183">
        <v>60038</v>
      </c>
      <c r="G33" s="174">
        <f t="shared" si="14"/>
        <v>176294.03</v>
      </c>
      <c r="H33" s="174">
        <f>-K71</f>
        <v>-824.87360000000012</v>
      </c>
      <c r="I33" s="174">
        <f t="shared" si="16"/>
        <v>175469.15640000001</v>
      </c>
    </row>
    <row r="34" spans="1:14">
      <c r="A34" s="180" t="s">
        <v>192</v>
      </c>
      <c r="B34" s="152"/>
      <c r="C34" s="174"/>
      <c r="D34" s="181">
        <v>551013.74</v>
      </c>
      <c r="E34" s="181"/>
      <c r="F34" s="181"/>
      <c r="G34" s="174">
        <f>SUM(D34:F34)</f>
        <v>551013.74</v>
      </c>
      <c r="H34" s="174"/>
      <c r="I34" s="174">
        <f t="shared" si="16"/>
        <v>551013.74</v>
      </c>
    </row>
    <row r="35" spans="1:14">
      <c r="A35" s="180" t="s">
        <v>193</v>
      </c>
      <c r="B35" s="152"/>
      <c r="C35" s="194"/>
      <c r="D35" s="181">
        <v>1783212.07</v>
      </c>
      <c r="E35" s="181"/>
      <c r="F35" s="181"/>
      <c r="G35" s="174"/>
      <c r="H35" s="174"/>
      <c r="I35" s="174"/>
    </row>
    <row r="36" spans="1:14">
      <c r="A36" s="180" t="s">
        <v>194</v>
      </c>
      <c r="B36" s="152"/>
      <c r="C36" s="194"/>
      <c r="D36" s="181">
        <v>1499323.21</v>
      </c>
      <c r="E36" s="181"/>
      <c r="F36" s="181"/>
      <c r="G36" s="174"/>
      <c r="H36" s="174"/>
      <c r="I36" s="174"/>
    </row>
    <row r="37" spans="1:14">
      <c r="A37" s="152"/>
      <c r="B37" s="152"/>
      <c r="C37" s="166">
        <f t="shared" ref="C37:I37" si="17">SUM(C24:C36)</f>
        <v>4205292.74</v>
      </c>
      <c r="D37" s="166">
        <f t="shared" si="17"/>
        <v>42577024.339999996</v>
      </c>
      <c r="E37" s="166">
        <f t="shared" si="17"/>
        <v>-21587708</v>
      </c>
      <c r="F37" s="166">
        <f t="shared" si="17"/>
        <v>25040241</v>
      </c>
      <c r="G37" s="166">
        <f t="shared" si="17"/>
        <v>42747022.059999995</v>
      </c>
      <c r="H37" s="166">
        <f t="shared" si="17"/>
        <v>-269008.44094</v>
      </c>
      <c r="I37" s="166">
        <f t="shared" si="17"/>
        <v>42478013.619060017</v>
      </c>
    </row>
    <row r="38" spans="1:14" ht="14.4" thickBot="1">
      <c r="A38" s="152"/>
      <c r="B38" s="152"/>
      <c r="D38" s="167"/>
      <c r="E38" s="152"/>
      <c r="F38" s="152"/>
    </row>
    <row r="39" spans="1:14">
      <c r="A39" s="152" t="s">
        <v>19</v>
      </c>
      <c r="B39" s="152"/>
      <c r="C39" s="169">
        <f t="shared" ref="C39:I39" si="18">C24+C25</f>
        <v>2002580</v>
      </c>
      <c r="D39" s="168">
        <f t="shared" si="18"/>
        <v>14897048.17</v>
      </c>
      <c r="E39" s="168">
        <f t="shared" si="18"/>
        <v>-7567099</v>
      </c>
      <c r="F39" s="168">
        <f t="shared" si="18"/>
        <v>9473658</v>
      </c>
      <c r="G39" s="168">
        <f t="shared" si="18"/>
        <v>16803607.170000002</v>
      </c>
      <c r="H39" s="168">
        <f t="shared" si="18"/>
        <v>-158922.68442000001</v>
      </c>
      <c r="I39" s="169">
        <f t="shared" si="18"/>
        <v>16644684.485580001</v>
      </c>
    </row>
    <row r="40" spans="1:14" ht="6" customHeight="1">
      <c r="A40" s="152"/>
      <c r="B40" s="152"/>
      <c r="C40" s="173"/>
      <c r="D40" s="168"/>
      <c r="E40" s="152"/>
      <c r="F40" s="152"/>
      <c r="I40" s="190"/>
    </row>
    <row r="41" spans="1:14" ht="14.4" thickBot="1">
      <c r="A41" s="152" t="s">
        <v>184</v>
      </c>
      <c r="B41" s="152"/>
      <c r="C41" s="175">
        <f>SUM(C26:C29,C31:C33)</f>
        <v>1650712.74</v>
      </c>
      <c r="D41" s="176">
        <f t="shared" ref="D41:I41" si="19">SUM(D26:D29,D31:D33)</f>
        <v>18358493.890000001</v>
      </c>
      <c r="E41" s="176">
        <f t="shared" si="19"/>
        <v>-8102609</v>
      </c>
      <c r="F41" s="176">
        <f t="shared" si="19"/>
        <v>9622281</v>
      </c>
      <c r="G41" s="176">
        <f t="shared" si="19"/>
        <v>19878165.889999997</v>
      </c>
      <c r="H41" s="176">
        <f t="shared" si="19"/>
        <v>-87500.525330000004</v>
      </c>
      <c r="I41" s="175">
        <f t="shared" si="19"/>
        <v>19790665.364669997</v>
      </c>
    </row>
    <row r="42" spans="1:14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4">
      <c r="C43" s="191">
        <v>43040</v>
      </c>
      <c r="D43" s="191">
        <v>43252</v>
      </c>
      <c r="E43" s="196">
        <v>43040</v>
      </c>
      <c r="F43" s="192">
        <v>42278</v>
      </c>
      <c r="G43" s="191">
        <v>42948</v>
      </c>
      <c r="H43" s="191">
        <v>43009</v>
      </c>
      <c r="I43" s="191">
        <v>42380</v>
      </c>
      <c r="J43" s="191">
        <v>43282</v>
      </c>
      <c r="K43" s="191">
        <v>42917</v>
      </c>
      <c r="L43" s="196"/>
    </row>
    <row r="44" spans="1:14" ht="39.6">
      <c r="A44" s="179" t="s">
        <v>195</v>
      </c>
      <c r="B44" s="154"/>
      <c r="C44" s="165" t="s">
        <v>196</v>
      </c>
      <c r="D44" s="165" t="s">
        <v>312</v>
      </c>
      <c r="E44" s="165" t="s">
        <v>213</v>
      </c>
      <c r="F44" s="165" t="s">
        <v>197</v>
      </c>
      <c r="G44" s="165" t="s">
        <v>198</v>
      </c>
      <c r="H44" s="165" t="s">
        <v>199</v>
      </c>
      <c r="I44" s="165" t="s">
        <v>200</v>
      </c>
      <c r="J44" s="165" t="s">
        <v>201</v>
      </c>
      <c r="K44" s="165" t="s">
        <v>201</v>
      </c>
      <c r="M44" s="211" t="s">
        <v>229</v>
      </c>
      <c r="N44" s="1" t="s">
        <v>230</v>
      </c>
    </row>
    <row r="45" spans="1:14">
      <c r="A45" s="180" t="s">
        <v>131</v>
      </c>
      <c r="B45" s="152"/>
      <c r="C45" s="171">
        <v>-8.0999999999999996E-4</v>
      </c>
      <c r="D45" s="171">
        <v>-1.42E-3</v>
      </c>
      <c r="E45" s="171">
        <v>4.45E-3</v>
      </c>
      <c r="F45" s="171"/>
      <c r="G45" s="171">
        <v>3.4399999999999999E-3</v>
      </c>
      <c r="H45" s="171">
        <v>1.0499999999999999E-3</v>
      </c>
      <c r="I45" s="171">
        <v>0</v>
      </c>
      <c r="J45" s="171">
        <v>-3.4000000000000002E-4</v>
      </c>
      <c r="K45" s="171">
        <v>-5.6999999999999998E-4</v>
      </c>
      <c r="M45" s="171">
        <f>SUM(B45:J45)</f>
        <v>6.3699999999999998E-3</v>
      </c>
      <c r="N45" s="212">
        <f>M45*G3+(M45-J45+K45)*F3</f>
        <v>159719.07850999996</v>
      </c>
    </row>
    <row r="46" spans="1:14">
      <c r="A46" s="180" t="s">
        <v>178</v>
      </c>
      <c r="B46" s="152"/>
      <c r="C46" s="171">
        <v>-8.0999999999999996E-4</v>
      </c>
      <c r="D46" s="171">
        <v>-1.42E-3</v>
      </c>
      <c r="E46" s="171">
        <v>4.45E-3</v>
      </c>
      <c r="F46" s="171">
        <v>-3.1530000000000002E-2</v>
      </c>
      <c r="G46" s="171">
        <v>3.4399999999999999E-3</v>
      </c>
      <c r="H46" s="171">
        <v>1.0499999999999999E-3</v>
      </c>
      <c r="I46" s="171">
        <v>0</v>
      </c>
      <c r="J46" s="171">
        <v>-3.4000000000000002E-4</v>
      </c>
      <c r="K46" s="171">
        <v>-5.6999999999999998E-4</v>
      </c>
      <c r="M46" s="171">
        <f t="shared" ref="M46:M57" si="20">SUM(B46:J46)</f>
        <v>-2.5160000000000005E-2</v>
      </c>
      <c r="N46" s="212">
        <f t="shared" ref="N46:N57" si="21">M46*G4+(M46-J46+K46)*F4</f>
        <v>-796.39408999999978</v>
      </c>
    </row>
    <row r="47" spans="1:14">
      <c r="A47" s="180" t="s">
        <v>132</v>
      </c>
      <c r="B47" s="152"/>
      <c r="C47" s="171">
        <v>0</v>
      </c>
      <c r="D47" s="171">
        <v>-1.8799999999999999E-3</v>
      </c>
      <c r="E47" s="171">
        <v>4.0000000000000002E-4</v>
      </c>
      <c r="F47" s="171"/>
      <c r="G47" s="171">
        <v>4.6299999999999996E-3</v>
      </c>
      <c r="H47" s="171">
        <v>1.5200000000000001E-3</v>
      </c>
      <c r="I47" s="171">
        <v>0</v>
      </c>
      <c r="J47" s="171">
        <v>-3.6000000000000002E-4</v>
      </c>
      <c r="K47" s="171">
        <v>-5.6999999999999998E-4</v>
      </c>
      <c r="M47" s="171">
        <f t="shared" si="20"/>
        <v>4.3099999999999996E-3</v>
      </c>
      <c r="N47" s="212">
        <f t="shared" si="21"/>
        <v>26965.220180000004</v>
      </c>
    </row>
    <row r="48" spans="1:14">
      <c r="A48" s="180" t="s">
        <v>133</v>
      </c>
      <c r="B48" s="152"/>
      <c r="C48" s="171">
        <v>-8.0999999999999996E-4</v>
      </c>
      <c r="D48" s="171">
        <v>-1.8799999999999999E-3</v>
      </c>
      <c r="E48" s="171">
        <v>4.0000000000000002E-4</v>
      </c>
      <c r="F48" s="171"/>
      <c r="G48" s="171">
        <v>4.6299999999999996E-3</v>
      </c>
      <c r="H48" s="171">
        <v>1.5200000000000001E-3</v>
      </c>
      <c r="I48" s="171">
        <v>0</v>
      </c>
      <c r="J48" s="171">
        <v>-3.6000000000000002E-4</v>
      </c>
      <c r="K48" s="171">
        <v>-5.6999999999999998E-4</v>
      </c>
      <c r="M48" s="171">
        <f t="shared" si="20"/>
        <v>3.5000000000000001E-3</v>
      </c>
      <c r="N48" s="212">
        <f t="shared" si="21"/>
        <v>1610.5437599999996</v>
      </c>
    </row>
    <row r="49" spans="1:14" ht="14.4" customHeight="1">
      <c r="A49" s="180" t="s">
        <v>134</v>
      </c>
      <c r="B49" s="152"/>
      <c r="C49" s="171">
        <v>0</v>
      </c>
      <c r="D49" s="171">
        <v>-1.4400000000000001E-3</v>
      </c>
      <c r="E49" s="171">
        <v>4.0000000000000002E-4</v>
      </c>
      <c r="F49" s="171"/>
      <c r="G49" s="171">
        <v>3.6600000000000001E-3</v>
      </c>
      <c r="H49" s="171">
        <v>1.1000000000000001E-3</v>
      </c>
      <c r="I49" s="171">
        <v>0</v>
      </c>
      <c r="J49" s="171">
        <v>-3.6000000000000002E-4</v>
      </c>
      <c r="K49" s="171">
        <v>-5.9000000000000003E-4</v>
      </c>
      <c r="M49" s="171">
        <f t="shared" si="20"/>
        <v>3.3600000000000001E-3</v>
      </c>
      <c r="N49" s="212">
        <f t="shared" si="21"/>
        <v>50861.873900000006</v>
      </c>
    </row>
    <row r="50" spans="1:14">
      <c r="A50" s="180" t="s">
        <v>135</v>
      </c>
      <c r="B50" s="152"/>
      <c r="C50" s="171">
        <v>-8.0999999999999996E-4</v>
      </c>
      <c r="D50" s="171">
        <v>-1.4400000000000001E-3</v>
      </c>
      <c r="E50" s="171">
        <v>4.0000000000000002E-4</v>
      </c>
      <c r="F50" s="171"/>
      <c r="G50" s="171">
        <v>3.6600000000000001E-3</v>
      </c>
      <c r="H50" s="171">
        <v>1.1000000000000001E-3</v>
      </c>
      <c r="I50" s="171">
        <v>0</v>
      </c>
      <c r="J50" s="171">
        <v>-3.6000000000000002E-4</v>
      </c>
      <c r="K50" s="171">
        <v>-5.9000000000000003E-4</v>
      </c>
      <c r="M50" s="171">
        <f t="shared" si="20"/>
        <v>2.5499999999999997E-3</v>
      </c>
      <c r="N50" s="212">
        <f t="shared" si="21"/>
        <v>808.99044999999933</v>
      </c>
    </row>
    <row r="51" spans="1:14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/>
      <c r="G51" s="171">
        <v>2.32E-3</v>
      </c>
      <c r="H51" s="171">
        <v>6.8999999999999997E-4</v>
      </c>
      <c r="I51" s="171">
        <v>0</v>
      </c>
      <c r="J51" s="171">
        <v>-3.5E-4</v>
      </c>
      <c r="K51" s="171">
        <v>-5.6999999999999998E-4</v>
      </c>
      <c r="M51" s="171">
        <f t="shared" si="20"/>
        <v>1.7299999999999998E-3</v>
      </c>
      <c r="N51" s="212">
        <f t="shared" si="21"/>
        <v>14885.231189999991</v>
      </c>
    </row>
    <row r="52" spans="1:14">
      <c r="A52" s="180" t="s">
        <v>179</v>
      </c>
      <c r="B52" s="152"/>
      <c r="C52" s="171">
        <v>0</v>
      </c>
      <c r="D52" s="171">
        <v>0</v>
      </c>
      <c r="E52" s="171">
        <v>0</v>
      </c>
      <c r="F52" s="171"/>
      <c r="G52" s="171">
        <v>2.32E-3</v>
      </c>
      <c r="H52" s="171">
        <v>0</v>
      </c>
      <c r="I52" s="171">
        <v>0</v>
      </c>
      <c r="J52" s="171">
        <v>-3.5E-4</v>
      </c>
      <c r="K52" s="171">
        <v>-5.6999999999999998E-4</v>
      </c>
      <c r="M52" s="171">
        <f t="shared" si="20"/>
        <v>1.97E-3</v>
      </c>
      <c r="N52" s="212">
        <f t="shared" si="21"/>
        <v>7700</v>
      </c>
    </row>
    <row r="53" spans="1:14">
      <c r="A53" s="180" t="s">
        <v>180</v>
      </c>
      <c r="B53" s="152"/>
      <c r="C53" s="171">
        <v>0</v>
      </c>
      <c r="D53" s="171">
        <v>-1.2999999999999999E-3</v>
      </c>
      <c r="E53" s="171">
        <v>4.0000000000000002E-4</v>
      </c>
      <c r="F53" s="171"/>
      <c r="G53" s="171">
        <v>3.4099999999999998E-3</v>
      </c>
      <c r="H53" s="171">
        <v>9.6000000000000002E-4</v>
      </c>
      <c r="I53" s="171">
        <v>0</v>
      </c>
      <c r="J53" s="171">
        <v>-3.6999999999999999E-4</v>
      </c>
      <c r="K53" s="171">
        <v>-6.0999999999999997E-4</v>
      </c>
      <c r="M53" s="171">
        <f t="shared" si="20"/>
        <v>3.0999999999999999E-3</v>
      </c>
      <c r="N53" s="212">
        <f t="shared" si="21"/>
        <v>0</v>
      </c>
    </row>
    <row r="54" spans="1:14">
      <c r="A54" s="180" t="s">
        <v>137</v>
      </c>
      <c r="B54" s="152"/>
      <c r="C54" s="171">
        <v>0</v>
      </c>
      <c r="D54" s="171">
        <v>-1.2999999999999999E-3</v>
      </c>
      <c r="E54" s="171">
        <v>4.0000000000000002E-4</v>
      </c>
      <c r="F54" s="171"/>
      <c r="G54" s="171">
        <v>3.4099999999999998E-3</v>
      </c>
      <c r="H54" s="171">
        <v>9.6000000000000002E-4</v>
      </c>
      <c r="I54" s="171">
        <v>0</v>
      </c>
      <c r="J54" s="171">
        <v>-3.6999999999999999E-4</v>
      </c>
      <c r="K54" s="171">
        <v>-6.0999999999999997E-4</v>
      </c>
      <c r="M54" s="171">
        <f t="shared" si="20"/>
        <v>3.0999999999999999E-3</v>
      </c>
      <c r="N54" s="212">
        <f t="shared" si="21"/>
        <v>6429.0234399999972</v>
      </c>
    </row>
    <row r="55" spans="1:14">
      <c r="A55" s="180" t="s">
        <v>138</v>
      </c>
      <c r="B55" s="152"/>
      <c r="C55" s="171">
        <v>-8.0999999999999996E-4</v>
      </c>
      <c r="D55" s="171">
        <v>-1.2999999999999999E-3</v>
      </c>
      <c r="E55" s="171">
        <v>4.0000000000000002E-4</v>
      </c>
      <c r="F55" s="171"/>
      <c r="G55" s="171">
        <v>3.4099999999999998E-3</v>
      </c>
      <c r="H55" s="171">
        <v>9.6000000000000002E-4</v>
      </c>
      <c r="I55" s="171">
        <v>0</v>
      </c>
      <c r="J55" s="171">
        <v>-3.6999999999999999E-4</v>
      </c>
      <c r="K55" s="171">
        <v>-6.0999999999999997E-4</v>
      </c>
      <c r="M55" s="171">
        <f t="shared" si="20"/>
        <v>2.2899999999999999E-3</v>
      </c>
      <c r="N55" s="212">
        <f t="shared" si="21"/>
        <v>824.8735999999999</v>
      </c>
    </row>
    <row r="56" spans="1:14">
      <c r="A56" s="180" t="s">
        <v>192</v>
      </c>
      <c r="B56" s="152"/>
      <c r="C56" s="171">
        <v>0</v>
      </c>
      <c r="D56" s="171">
        <v>0</v>
      </c>
      <c r="E56" s="171">
        <v>0</v>
      </c>
      <c r="F56" s="171"/>
      <c r="G56" s="186">
        <v>1.2149999999999999E-2</v>
      </c>
      <c r="H56" s="401" t="s">
        <v>214</v>
      </c>
      <c r="I56" s="171">
        <v>0</v>
      </c>
      <c r="J56" s="186">
        <v>-4.8000000000000001E-4</v>
      </c>
      <c r="K56" s="186">
        <v>-6.4999999999999997E-4</v>
      </c>
      <c r="M56" s="171">
        <f t="shared" si="20"/>
        <v>1.167E-2</v>
      </c>
      <c r="N56" s="212">
        <f t="shared" si="21"/>
        <v>0</v>
      </c>
    </row>
    <row r="57" spans="1:14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/>
      <c r="G57" s="186">
        <v>1.2149999999999999E-2</v>
      </c>
      <c r="H57" s="401"/>
      <c r="I57" s="171">
        <v>0</v>
      </c>
      <c r="J57" s="186">
        <v>-4.8000000000000001E-4</v>
      </c>
      <c r="K57" s="186">
        <v>-6.4999999999999997E-4</v>
      </c>
      <c r="M57" s="171">
        <f t="shared" si="20"/>
        <v>1.086E-2</v>
      </c>
      <c r="N57" s="212">
        <f t="shared" si="21"/>
        <v>0</v>
      </c>
    </row>
    <row r="58" spans="1:14">
      <c r="A58" s="180"/>
      <c r="B58" s="152"/>
      <c r="C58" s="171"/>
      <c r="D58" s="171"/>
      <c r="E58" s="171"/>
      <c r="F58" s="171"/>
      <c r="G58" s="186"/>
      <c r="H58" s="328"/>
      <c r="I58" s="171"/>
      <c r="J58" s="186"/>
      <c r="K58" s="171"/>
      <c r="L58" s="212"/>
      <c r="M58" s="212"/>
    </row>
    <row r="59" spans="1:14">
      <c r="A59" s="180"/>
      <c r="B59" s="152"/>
      <c r="C59" s="171"/>
      <c r="D59" s="171"/>
      <c r="E59" s="171"/>
      <c r="F59" s="171"/>
      <c r="G59" s="186"/>
      <c r="H59" s="328"/>
      <c r="I59" s="171"/>
      <c r="J59" s="186"/>
      <c r="K59" s="171"/>
      <c r="L59" s="212"/>
      <c r="M59" s="212"/>
    </row>
    <row r="60" spans="1:14">
      <c r="F60" s="152"/>
      <c r="M60" s="212"/>
      <c r="N60" s="212">
        <f>SUM(N45:N57)</f>
        <v>269008.44094</v>
      </c>
    </row>
    <row r="61" spans="1:14" ht="14.4" customHeight="1">
      <c r="A61" s="179" t="s">
        <v>202</v>
      </c>
      <c r="B61" s="154"/>
      <c r="C61" s="172" t="s">
        <v>209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206</v>
      </c>
      <c r="J61" s="172" t="s">
        <v>207</v>
      </c>
      <c r="K61" s="172" t="s">
        <v>208</v>
      </c>
      <c r="N61" s="168"/>
    </row>
    <row r="62" spans="1:14">
      <c r="A62" s="180" t="s">
        <v>131</v>
      </c>
      <c r="C62" s="168">
        <f t="shared" ref="C62:D67" si="22">C45*$H3</f>
        <v>-18011.273399999998</v>
      </c>
      <c r="D62" s="168">
        <f t="shared" si="22"/>
        <v>-31575.318800000001</v>
      </c>
      <c r="E62" s="168">
        <f t="shared" ref="E62:E67" si="23">E45*H3</f>
        <v>98950.823000000004</v>
      </c>
      <c r="F62" s="168">
        <f t="shared" ref="F62:F67" si="24">$H3*F45</f>
        <v>0</v>
      </c>
      <c r="G62" s="168">
        <f t="shared" ref="G62:H67" si="25">($H3*G45)</f>
        <v>76492.321599999996</v>
      </c>
      <c r="H62" s="168">
        <f t="shared" si="25"/>
        <v>23347.947</v>
      </c>
      <c r="I62" s="168">
        <f t="shared" ref="I62:I67" si="26">$H3*I45</f>
        <v>0</v>
      </c>
      <c r="J62" s="168">
        <f>(J45*G3+K45*F3)</f>
        <v>10514.579109999999</v>
      </c>
      <c r="K62" s="168">
        <f t="shared" ref="K62:K72" si="27">SUM(C62:J62)</f>
        <v>159719.07850999999</v>
      </c>
      <c r="N62" s="168"/>
    </row>
    <row r="63" spans="1:14">
      <c r="A63" s="180" t="s">
        <v>178</v>
      </c>
      <c r="C63" s="168">
        <f t="shared" si="22"/>
        <v>-26.678159999999998</v>
      </c>
      <c r="D63" s="168">
        <f t="shared" si="22"/>
        <v>-46.769120000000001</v>
      </c>
      <c r="E63" s="168">
        <f t="shared" si="23"/>
        <v>146.5652</v>
      </c>
      <c r="F63" s="168">
        <f t="shared" si="24"/>
        <v>-1038.47208</v>
      </c>
      <c r="G63" s="168">
        <f t="shared" si="25"/>
        <v>113.29984</v>
      </c>
      <c r="H63" s="168">
        <f t="shared" si="25"/>
        <v>34.582799999999999</v>
      </c>
      <c r="I63" s="168">
        <f t="shared" si="26"/>
        <v>0</v>
      </c>
      <c r="J63" s="168">
        <f t="shared" ref="J63:J67" si="28">(J46*G4+K46*F4)</f>
        <v>21.077429999999985</v>
      </c>
      <c r="K63" s="168">
        <f t="shared" si="27"/>
        <v>-796.39409000000001</v>
      </c>
      <c r="N63" s="168"/>
    </row>
    <row r="64" spans="1:14">
      <c r="A64" s="180" t="s">
        <v>132</v>
      </c>
      <c r="C64" s="168">
        <f t="shared" si="22"/>
        <v>0</v>
      </c>
      <c r="D64" s="168">
        <f t="shared" si="22"/>
        <v>-9717.7162399999997</v>
      </c>
      <c r="E64" s="168">
        <f t="shared" si="23"/>
        <v>2067.5992000000001</v>
      </c>
      <c r="F64" s="168">
        <f t="shared" si="24"/>
        <v>0</v>
      </c>
      <c r="G64" s="168">
        <f t="shared" si="25"/>
        <v>23932.460739999999</v>
      </c>
      <c r="H64" s="168">
        <f t="shared" si="25"/>
        <v>7856.8769600000005</v>
      </c>
      <c r="I64" s="168">
        <f t="shared" si="26"/>
        <v>0</v>
      </c>
      <c r="J64" s="168">
        <f t="shared" si="28"/>
        <v>2825.9995199999994</v>
      </c>
      <c r="K64" s="168">
        <f t="shared" si="27"/>
        <v>26965.220179999997</v>
      </c>
      <c r="N64" s="168"/>
    </row>
    <row r="65" spans="1:14">
      <c r="A65" s="180" t="s">
        <v>133</v>
      </c>
      <c r="C65" s="168">
        <f t="shared" si="22"/>
        <v>-278.69426999999996</v>
      </c>
      <c r="D65" s="168">
        <f t="shared" si="22"/>
        <v>-646.84595999999999</v>
      </c>
      <c r="E65" s="168">
        <f t="shared" si="23"/>
        <v>137.6268</v>
      </c>
      <c r="F65" s="168">
        <f t="shared" si="24"/>
        <v>0</v>
      </c>
      <c r="G65" s="168">
        <f t="shared" si="25"/>
        <v>1593.0302099999999</v>
      </c>
      <c r="H65" s="168">
        <f t="shared" si="25"/>
        <v>522.98184000000003</v>
      </c>
      <c r="I65" s="168">
        <f t="shared" si="26"/>
        <v>0</v>
      </c>
      <c r="J65" s="168">
        <f t="shared" si="28"/>
        <v>282.44513999999992</v>
      </c>
      <c r="K65" s="168">
        <f t="shared" si="27"/>
        <v>1610.54376</v>
      </c>
      <c r="N65" s="168"/>
    </row>
    <row r="66" spans="1:14">
      <c r="A66" s="180" t="s">
        <v>134</v>
      </c>
      <c r="C66" s="168">
        <f t="shared" si="22"/>
        <v>0</v>
      </c>
      <c r="D66" s="168">
        <f t="shared" si="22"/>
        <v>-16048.689120000001</v>
      </c>
      <c r="E66" s="168">
        <f t="shared" si="23"/>
        <v>4457.9692000000005</v>
      </c>
      <c r="F66" s="168">
        <f t="shared" si="24"/>
        <v>0</v>
      </c>
      <c r="G66" s="168">
        <f t="shared" si="25"/>
        <v>40790.418180000001</v>
      </c>
      <c r="H66" s="168">
        <f t="shared" si="25"/>
        <v>12259.415300000001</v>
      </c>
      <c r="I66" s="168">
        <f t="shared" si="26"/>
        <v>0</v>
      </c>
      <c r="J66" s="168">
        <f t="shared" si="28"/>
        <v>9402.7603400000007</v>
      </c>
      <c r="K66" s="168">
        <f t="shared" si="27"/>
        <v>50861.873899999999</v>
      </c>
      <c r="N66" s="168"/>
    </row>
    <row r="67" spans="1:14">
      <c r="A67" s="180" t="s">
        <v>135</v>
      </c>
      <c r="C67" s="168">
        <f t="shared" si="22"/>
        <v>-171.57095999999999</v>
      </c>
      <c r="D67" s="168">
        <f t="shared" si="22"/>
        <v>-305.01504</v>
      </c>
      <c r="E67" s="168">
        <f t="shared" si="23"/>
        <v>84.726399999999998</v>
      </c>
      <c r="F67" s="168">
        <f t="shared" si="24"/>
        <v>0</v>
      </c>
      <c r="G67" s="168">
        <f t="shared" si="25"/>
        <v>775.24656000000004</v>
      </c>
      <c r="H67" s="168">
        <f t="shared" si="25"/>
        <v>232.99760000000001</v>
      </c>
      <c r="I67" s="168">
        <f t="shared" si="26"/>
        <v>0</v>
      </c>
      <c r="J67" s="168">
        <f t="shared" si="28"/>
        <v>192.60588999999999</v>
      </c>
      <c r="K67" s="168">
        <f t="shared" si="27"/>
        <v>808.99045000000001</v>
      </c>
      <c r="N67" s="168"/>
    </row>
    <row r="68" spans="1:14">
      <c r="A68" s="180" t="s">
        <v>136</v>
      </c>
      <c r="C68" s="168">
        <f t="shared" ref="C68:I68" si="29">$H9*C51+$H10*C52</f>
        <v>0</v>
      </c>
      <c r="D68" s="168">
        <f t="shared" ref="D68" si="30">$H9*D51+$H10*D52</f>
        <v>-1018.7322300000001</v>
      </c>
      <c r="E68" s="168">
        <f t="shared" si="29"/>
        <v>0</v>
      </c>
      <c r="F68" s="168">
        <f t="shared" si="29"/>
        <v>0</v>
      </c>
      <c r="G68" s="168">
        <f t="shared" si="29"/>
        <v>2541.3535200000001</v>
      </c>
      <c r="H68" s="168">
        <f t="shared" si="29"/>
        <v>755.83358999999996</v>
      </c>
      <c r="I68" s="168">
        <f t="shared" si="29"/>
        <v>0</v>
      </c>
      <c r="J68" s="168">
        <f>(J51*G9+K51*F9)+(J52*G10+K52*F10)</f>
        <v>20306.776310000001</v>
      </c>
      <c r="K68" s="168">
        <f t="shared" si="27"/>
        <v>22585.231190000002</v>
      </c>
      <c r="N68" s="168"/>
    </row>
    <row r="69" spans="1:14">
      <c r="A69" s="180" t="s">
        <v>180</v>
      </c>
      <c r="C69" s="168">
        <f>$H11*C53</f>
        <v>0</v>
      </c>
      <c r="D69" s="168">
        <f>$H11*D53</f>
        <v>0</v>
      </c>
      <c r="E69" s="168">
        <f t="shared" ref="C69:F71" si="31">$H11*E53</f>
        <v>0</v>
      </c>
      <c r="F69" s="168">
        <f t="shared" si="31"/>
        <v>0</v>
      </c>
      <c r="G69" s="168">
        <f t="shared" ref="G69:H71" si="32">($H11*G53)</f>
        <v>0</v>
      </c>
      <c r="H69" s="168">
        <f t="shared" si="32"/>
        <v>0</v>
      </c>
      <c r="I69" s="168">
        <f t="shared" ref="I69:I71" si="33">$H11*I53</f>
        <v>0</v>
      </c>
      <c r="J69" s="168">
        <f>(J53*G11+K53*F11)</f>
        <v>0</v>
      </c>
      <c r="K69" s="168">
        <f t="shared" si="27"/>
        <v>0</v>
      </c>
      <c r="N69" s="168"/>
    </row>
    <row r="70" spans="1:14">
      <c r="A70" s="180" t="s">
        <v>137</v>
      </c>
      <c r="C70" s="168">
        <f t="shared" si="31"/>
        <v>0</v>
      </c>
      <c r="D70" s="168">
        <f t="shared" ref="D70" si="34">$H12*D54</f>
        <v>-2212.1007999999997</v>
      </c>
      <c r="E70" s="168">
        <f t="shared" si="31"/>
        <v>680.64640000000009</v>
      </c>
      <c r="F70" s="168">
        <f t="shared" si="31"/>
        <v>0</v>
      </c>
      <c r="G70" s="168">
        <f t="shared" si="32"/>
        <v>5802.5105599999997</v>
      </c>
      <c r="H70" s="168">
        <f t="shared" si="32"/>
        <v>1633.5513599999999</v>
      </c>
      <c r="I70" s="168">
        <f t="shared" si="33"/>
        <v>0</v>
      </c>
      <c r="J70" s="168">
        <f t="shared" ref="J70:J71" si="35">(J54*G12+K54*F12)</f>
        <v>524.41591999999991</v>
      </c>
      <c r="K70" s="168">
        <f t="shared" si="27"/>
        <v>6429.023439999999</v>
      </c>
      <c r="N70" s="168"/>
    </row>
    <row r="71" spans="1:14">
      <c r="A71" s="180" t="s">
        <v>138</v>
      </c>
      <c r="C71" s="168">
        <f t="shared" si="31"/>
        <v>-268.49232000000001</v>
      </c>
      <c r="D71" s="168">
        <f t="shared" ref="D71" si="36">$H13*D55</f>
        <v>-430.91359999999997</v>
      </c>
      <c r="E71" s="168">
        <f t="shared" si="31"/>
        <v>132.58880000000002</v>
      </c>
      <c r="F71" s="168">
        <f t="shared" si="31"/>
        <v>0</v>
      </c>
      <c r="G71" s="168">
        <f t="shared" si="32"/>
        <v>1130.31952</v>
      </c>
      <c r="H71" s="168">
        <f t="shared" si="32"/>
        <v>318.21312</v>
      </c>
      <c r="I71" s="168">
        <f t="shared" si="33"/>
        <v>0</v>
      </c>
      <c r="J71" s="168">
        <f t="shared" si="35"/>
        <v>-56.841919999999988</v>
      </c>
      <c r="K71" s="168">
        <f t="shared" si="27"/>
        <v>824.87360000000012</v>
      </c>
      <c r="N71" s="168"/>
    </row>
    <row r="72" spans="1:14">
      <c r="A72" s="180" t="s">
        <v>192</v>
      </c>
      <c r="C72" s="168">
        <f>($H14+$H15)*C56+$H16*C57</f>
        <v>0</v>
      </c>
      <c r="D72" s="168">
        <f>($H14+$H15)*D56+$H16*D57</f>
        <v>0</v>
      </c>
      <c r="E72" s="168">
        <f>($H14+$H15)*E56+$H16*E57</f>
        <v>0</v>
      </c>
      <c r="F72" s="168">
        <f>($H14+$H15)*F56+$H16*F57</f>
        <v>0</v>
      </c>
      <c r="G72" s="168">
        <f>($H14+$H15)*G56+$H16*G57</f>
        <v>0</v>
      </c>
      <c r="H72" s="168"/>
      <c r="I72" s="168">
        <f>($H14+$H15)*I56+$H16*I57</f>
        <v>0</v>
      </c>
      <c r="J72" s="168">
        <f>($F14+$F15)*K56+$F16*K57+(G14+G15)*J56+G16*J57</f>
        <v>0</v>
      </c>
      <c r="K72" s="168">
        <f t="shared" si="27"/>
        <v>0</v>
      </c>
    </row>
    <row r="73" spans="1:14">
      <c r="A73" s="157"/>
      <c r="C73" s="193">
        <f t="shared" ref="C73:J73" si="37">SUM(C62:C72)</f>
        <v>-18756.70911</v>
      </c>
      <c r="D73" s="193">
        <f>SUM(D62:D72)</f>
        <v>-62002.100910000001</v>
      </c>
      <c r="E73" s="193">
        <f t="shared" si="37"/>
        <v>106658.545</v>
      </c>
      <c r="F73" s="193">
        <f t="shared" si="37"/>
        <v>-1038.47208</v>
      </c>
      <c r="G73" s="193">
        <f t="shared" si="37"/>
        <v>153170.96072999999</v>
      </c>
      <c r="H73" s="193">
        <f t="shared" si="37"/>
        <v>46962.399570000001</v>
      </c>
      <c r="I73" s="193">
        <f t="shared" si="37"/>
        <v>0</v>
      </c>
      <c r="J73" s="193">
        <f t="shared" si="37"/>
        <v>44013.817739999999</v>
      </c>
      <c r="K73" s="193">
        <f>SUM(K62:K72)</f>
        <v>269008.44094</v>
      </c>
    </row>
    <row r="75" spans="1:14">
      <c r="A75" s="152" t="s">
        <v>19</v>
      </c>
      <c r="B75" s="152"/>
      <c r="C75" s="168">
        <f t="shared" ref="C75:J75" si="38">C62+C63</f>
        <v>-18037.951559999998</v>
      </c>
      <c r="D75" s="168">
        <f t="shared" si="38"/>
        <v>-31622.087920000002</v>
      </c>
      <c r="E75" s="168">
        <f t="shared" si="38"/>
        <v>99097.388200000001</v>
      </c>
      <c r="F75" s="168">
        <f t="shared" si="38"/>
        <v>-1038.47208</v>
      </c>
      <c r="G75" s="168">
        <f t="shared" si="38"/>
        <v>76605.621440000003</v>
      </c>
      <c r="H75" s="168">
        <f t="shared" si="38"/>
        <v>23382.5298</v>
      </c>
      <c r="I75" s="168">
        <f t="shared" si="38"/>
        <v>0</v>
      </c>
      <c r="J75" s="168">
        <f t="shared" si="38"/>
        <v>10535.656539999998</v>
      </c>
      <c r="K75" s="168">
        <f>K62+K63</f>
        <v>158922.68442000001</v>
      </c>
    </row>
    <row r="76" spans="1:14">
      <c r="A76" s="152"/>
      <c r="B76" s="152"/>
      <c r="C76" s="168"/>
      <c r="D76" s="168"/>
      <c r="E76" s="168"/>
      <c r="F76" s="168"/>
      <c r="G76" s="168"/>
      <c r="H76" s="168"/>
      <c r="I76" s="168"/>
      <c r="J76" s="168"/>
      <c r="K76" s="168"/>
    </row>
    <row r="77" spans="1:14" ht="15.75" customHeight="1">
      <c r="A77" s="152" t="s">
        <v>184</v>
      </c>
      <c r="B77" s="152"/>
      <c r="C77" s="176">
        <f t="shared" ref="C77:J77" si="39">SUM(C64:C67,C69:C71)</f>
        <v>-718.75755000000004</v>
      </c>
      <c r="D77" s="176">
        <f>SUM(D64:D67,D69:D71)</f>
        <v>-29361.280760000001</v>
      </c>
      <c r="E77" s="176">
        <f>SUM(E64:E67,E69:E71)</f>
        <v>7561.1567999999997</v>
      </c>
      <c r="F77" s="176">
        <f>SUM(F64:F67,F69:F71)</f>
        <v>0</v>
      </c>
      <c r="G77" s="176">
        <f t="shared" si="39"/>
        <v>74023.985769999999</v>
      </c>
      <c r="H77" s="176">
        <f t="shared" si="39"/>
        <v>22824.036180000003</v>
      </c>
      <c r="I77" s="176">
        <f t="shared" si="39"/>
        <v>0</v>
      </c>
      <c r="J77" s="176">
        <f t="shared" si="39"/>
        <v>13171.384889999999</v>
      </c>
      <c r="K77" s="176">
        <f>SUM(K64:K67,K69:K71)</f>
        <v>87500.525330000004</v>
      </c>
    </row>
    <row r="79" spans="1:14" ht="14.4">
      <c r="A79" s="151" t="s">
        <v>215</v>
      </c>
      <c r="B79" s="151"/>
      <c r="C79" s="151"/>
      <c r="D79" s="151"/>
      <c r="E79" s="151"/>
      <c r="F79" s="151"/>
    </row>
    <row r="80" spans="1:14" ht="14.4">
      <c r="A80" s="151" t="s">
        <v>223</v>
      </c>
      <c r="B80" s="151"/>
      <c r="C80" s="151"/>
      <c r="D80" s="151"/>
      <c r="E80" s="151"/>
      <c r="F80" s="151"/>
    </row>
    <row r="81" spans="1:14" ht="15.75" customHeight="1">
      <c r="A81" s="170" t="s">
        <v>222</v>
      </c>
      <c r="B81" s="170"/>
      <c r="C81" s="170"/>
      <c r="D81" s="170"/>
      <c r="E81" s="170"/>
      <c r="F81" s="151"/>
    </row>
    <row r="82" spans="1:14" ht="28.8">
      <c r="A82" s="170"/>
      <c r="B82" s="197" t="s">
        <v>216</v>
      </c>
      <c r="C82" s="197" t="s">
        <v>217</v>
      </c>
      <c r="D82" s="197" t="s">
        <v>218</v>
      </c>
      <c r="E82" s="197" t="s">
        <v>221</v>
      </c>
      <c r="F82" s="151"/>
      <c r="G82" s="403" t="s">
        <v>364</v>
      </c>
      <c r="H82" s="403"/>
      <c r="I82" s="403"/>
      <c r="J82" s="403"/>
      <c r="M82" s="200"/>
      <c r="N82" s="200"/>
    </row>
    <row r="83" spans="1:14" ht="14.4">
      <c r="A83" s="329" t="s">
        <v>363</v>
      </c>
      <c r="B83" s="198">
        <v>1</v>
      </c>
      <c r="C83" s="199">
        <v>781784</v>
      </c>
      <c r="D83" s="200">
        <f>70358.34-C83*SUM(M51)</f>
        <v>69005.85368</v>
      </c>
      <c r="E83" s="200">
        <f>500*B83</f>
        <v>500</v>
      </c>
      <c r="F83" s="201" t="s">
        <v>219</v>
      </c>
      <c r="H83" s="198"/>
      <c r="I83" s="199"/>
      <c r="J83" s="200"/>
      <c r="K83" s="200"/>
      <c r="L83" s="201"/>
    </row>
    <row r="84" spans="1:14" ht="14.4">
      <c r="A84" s="202" t="s">
        <v>258</v>
      </c>
      <c r="B84" s="203">
        <f>SUM(B83:B83)</f>
        <v>1</v>
      </c>
      <c r="C84" s="204">
        <f>SUM(C83:C83)</f>
        <v>781784</v>
      </c>
      <c r="D84" s="205">
        <f>SUM(D83:D83)</f>
        <v>69005.85368</v>
      </c>
      <c r="E84" s="205">
        <f>SUM(E83:E83)</f>
        <v>500</v>
      </c>
      <c r="F84" s="151"/>
    </row>
    <row r="85" spans="1:14" ht="14.4">
      <c r="A85" s="170"/>
      <c r="B85" s="170"/>
      <c r="C85" s="170"/>
      <c r="D85" s="170"/>
      <c r="E85" s="170"/>
      <c r="F85" s="151"/>
    </row>
    <row r="86" spans="1:14" ht="14.4">
      <c r="A86" s="206"/>
      <c r="B86" s="206"/>
      <c r="C86" s="206"/>
      <c r="D86" s="206"/>
      <c r="E86" s="151"/>
      <c r="F86" s="151"/>
    </row>
    <row r="88" spans="1:14" ht="9" customHeight="1"/>
  </sheetData>
  <mergeCells count="3">
    <mergeCell ref="A1:I1"/>
    <mergeCell ref="H56:H57"/>
    <mergeCell ref="G82:J82"/>
  </mergeCells>
  <printOptions horizontalCentered="1"/>
  <pageMargins left="0.45" right="0.45" top="0.5" bottom="0.5" header="0.3" footer="0.3"/>
  <pageSetup scale="80" orientation="landscape" r:id="rId1"/>
  <headerFooter>
    <oddFooter>&amp;L&amp;F / &amp;A&amp;RPage &amp;P of &amp;N</oddFooter>
  </headerFooter>
  <rowBreaks count="1" manualBreakCount="1">
    <brk id="42" max="16383" man="1"/>
  </row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0.39997558519241921"/>
  </sheetPr>
  <dimension ref="A1:AE89"/>
  <sheetViews>
    <sheetView topLeftCell="A33" workbookViewId="0">
      <selection sqref="A1:AE101"/>
    </sheetView>
  </sheetViews>
  <sheetFormatPr defaultColWidth="9.109375" defaultRowHeight="13.8"/>
  <cols>
    <col min="1" max="1" width="13.6640625" style="1" customWidth="1"/>
    <col min="2" max="2" width="10.109375" style="1" customWidth="1"/>
    <col min="3" max="3" width="17.44140625" style="1" customWidth="1"/>
    <col min="4" max="4" width="20.6640625" style="1" bestFit="1" customWidth="1"/>
    <col min="5" max="5" width="16.109375" style="1" customWidth="1"/>
    <col min="6" max="6" width="15.6640625" style="1" bestFit="1" customWidth="1"/>
    <col min="7" max="7" width="19" style="1" bestFit="1" customWidth="1"/>
    <col min="8" max="8" width="13.6640625" style="1" bestFit="1" customWidth="1"/>
    <col min="9" max="9" width="15.88671875" style="1" bestFit="1" customWidth="1"/>
    <col min="10" max="10" width="14.109375" style="1" customWidth="1"/>
    <col min="11" max="11" width="13.109375" style="1" customWidth="1"/>
    <col min="12" max="12" width="14.6640625" style="1" bestFit="1" customWidth="1"/>
    <col min="13" max="13" width="14.6640625" style="1" customWidth="1"/>
    <col min="14" max="14" width="2.6640625" style="1" customWidth="1"/>
    <col min="15" max="15" width="19.88671875" style="1" customWidth="1"/>
    <col min="16" max="16" width="16.5546875" style="1" customWidth="1"/>
    <col min="17" max="17" width="13" style="1" customWidth="1"/>
    <col min="18" max="18" width="10.109375" style="1" customWidth="1"/>
    <col min="19" max="19" width="16.109375" style="1" customWidth="1"/>
    <col min="20" max="20" width="14.33203125" style="1" customWidth="1"/>
    <col min="21" max="21" width="11" style="1" customWidth="1"/>
    <col min="22" max="22" width="15.5546875" style="1" customWidth="1"/>
    <col min="23" max="23" width="1.6640625" style="1" customWidth="1"/>
    <col min="24" max="24" width="24.88671875" style="1" bestFit="1" customWidth="1"/>
    <col min="25" max="25" width="2" style="1" customWidth="1"/>
    <col min="26" max="26" width="14.33203125" style="1" customWidth="1"/>
    <col min="27" max="27" width="12.33203125" style="1" customWidth="1"/>
    <col min="28" max="28" width="14.109375" style="1" customWidth="1"/>
    <col min="29" max="29" width="15.6640625" style="1" customWidth="1"/>
    <col min="30" max="30" width="16.6640625" style="1" customWidth="1"/>
    <col min="31" max="16384" width="9.109375" style="1"/>
  </cols>
  <sheetData>
    <row r="1" spans="1:31" ht="14.4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M1" s="151" t="s">
        <v>234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 t="s">
        <v>235</v>
      </c>
      <c r="AA1" s="224" t="s">
        <v>295</v>
      </c>
      <c r="AB1" s="151"/>
      <c r="AC1" s="151" t="s">
        <v>237</v>
      </c>
      <c r="AD1" s="224" t="s">
        <v>39</v>
      </c>
      <c r="AE1" s="151"/>
    </row>
    <row r="2" spans="1:31" ht="42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M2" s="151"/>
      <c r="N2" s="151"/>
      <c r="O2" s="287" t="str">
        <f>AA1&amp;" Billed Schedule 75 Revenue"</f>
        <v>June Billed Schedule 75 Revenue</v>
      </c>
      <c r="P2" s="287" t="str">
        <f>AA1&amp;" Billed kWhs"</f>
        <v>June Billed kWhs</v>
      </c>
      <c r="Q2" s="287" t="str">
        <f>AA1&amp;" Unbilled kWhs"</f>
        <v>June Unbilled kWhs</v>
      </c>
      <c r="R2" s="287" t="s">
        <v>238</v>
      </c>
      <c r="S2" s="287" t="s">
        <v>239</v>
      </c>
      <c r="T2" s="287" t="str">
        <f>AD1&amp;" Unbilled kWhs reversal"</f>
        <v>May Unbilled kWhs reversal</v>
      </c>
      <c r="U2" s="287" t="s">
        <v>238</v>
      </c>
      <c r="V2" s="287" t="str">
        <f>AD1&amp;" Schedule 75 Unbilled Reversal"</f>
        <v>May Schedule 75 Unbilled Reversal</v>
      </c>
      <c r="W2" s="151"/>
      <c r="X2" s="287" t="str">
        <f>"Total "&amp;AA1&amp;" Schedule 75 Revenue"</f>
        <v>Total June Schedule 75 Revenue</v>
      </c>
      <c r="Y2" s="151"/>
      <c r="Z2" s="287" t="str">
        <f>"Calendar "&amp;AA1&amp;" Usage"</f>
        <v>Calendar June Usage</v>
      </c>
      <c r="AA2" s="287" t="str">
        <f>R2</f>
        <v>11/1/2017 rate</v>
      </c>
      <c r="AB2" s="287" t="s">
        <v>240</v>
      </c>
      <c r="AC2" s="287" t="s">
        <v>241</v>
      </c>
      <c r="AD2" s="287" t="str">
        <f>"implied "&amp;AD1&amp;" unbilled/Cancel-Rebill True-up kWhs"</f>
        <v>implied May unbilled/Cancel-Rebill True-up kWhs</v>
      </c>
      <c r="AE2" s="151"/>
    </row>
    <row r="3" spans="1:31" ht="15" customHeight="1">
      <c r="A3" s="180" t="s">
        <v>131</v>
      </c>
      <c r="B3" s="152"/>
      <c r="C3" s="158">
        <v>214425</v>
      </c>
      <c r="D3" s="282">
        <f t="shared" ref="D3:D8" si="0">E3/(SUM($E$3:$E$8,$E$11:$E$13))</f>
        <v>0.45526166471350277</v>
      </c>
      <c r="E3" s="182">
        <v>149010188.63001999</v>
      </c>
      <c r="F3" s="182">
        <v>-84716237</v>
      </c>
      <c r="G3" s="182">
        <v>78586377</v>
      </c>
      <c r="H3" s="189">
        <f>SUM(F3:G3)</f>
        <v>-6129860</v>
      </c>
      <c r="I3" s="159">
        <f>E3+H3</f>
        <v>142880328.63001999</v>
      </c>
      <c r="J3" s="282"/>
      <c r="M3" s="151" t="s">
        <v>242</v>
      </c>
      <c r="N3" s="151"/>
      <c r="O3" s="214">
        <v>663118.4</v>
      </c>
      <c r="P3" s="225">
        <f t="shared" ref="P3:P8" si="1">E3</f>
        <v>149010188.63001999</v>
      </c>
      <c r="Q3" s="225">
        <f t="shared" ref="Q3:Q8" si="2">G3</f>
        <v>78586377</v>
      </c>
      <c r="R3" s="206">
        <v>4.45E-3</v>
      </c>
      <c r="S3" s="215">
        <f>Q3*R3</f>
        <v>349709.37764999998</v>
      </c>
      <c r="T3" s="225">
        <f t="shared" ref="T3:T8" si="3">F3</f>
        <v>-84716237</v>
      </c>
      <c r="U3" s="206">
        <v>4.45E-3</v>
      </c>
      <c r="V3" s="216">
        <f>T3*U3</f>
        <v>-376987.25465000002</v>
      </c>
      <c r="W3" s="151"/>
      <c r="X3" s="150">
        <f>O3+S3+V3</f>
        <v>635840.52300000004</v>
      </c>
      <c r="Y3" s="151"/>
      <c r="Z3" s="95">
        <f>P3+Q3+T3</f>
        <v>142880328.63001999</v>
      </c>
      <c r="AA3" s="170">
        <f>R3</f>
        <v>4.45E-3</v>
      </c>
      <c r="AB3" s="217">
        <f>Z3*AA3</f>
        <v>635817.46240358893</v>
      </c>
      <c r="AC3" s="150">
        <f>X3-AB3</f>
        <v>23.060596411116421</v>
      </c>
      <c r="AD3" s="95">
        <f>AC3/AA3</f>
        <v>5182.1564968800949</v>
      </c>
      <c r="AE3" s="218">
        <f>AC3/X3</f>
        <v>3.6267893562858719E-5</v>
      </c>
    </row>
    <row r="4" spans="1:31" ht="14.4">
      <c r="A4" s="180" t="s">
        <v>178</v>
      </c>
      <c r="B4" s="152"/>
      <c r="C4" s="158">
        <v>404</v>
      </c>
      <c r="D4" s="282">
        <f t="shared" si="0"/>
        <v>8.1286441434252758E-4</v>
      </c>
      <c r="E4" s="182">
        <v>266055.96100000001</v>
      </c>
      <c r="F4" s="182">
        <v>-178456</v>
      </c>
      <c r="G4" s="182">
        <v>140329</v>
      </c>
      <c r="H4" s="189">
        <f t="shared" ref="H4:H16" si="4">SUM(F4:G4)</f>
        <v>-38127</v>
      </c>
      <c r="I4" s="159">
        <f t="shared" ref="I4:I16" si="5">E4+H4</f>
        <v>227928.96100000001</v>
      </c>
      <c r="J4" s="282"/>
      <c r="M4" s="151" t="s">
        <v>243</v>
      </c>
      <c r="N4" s="151"/>
      <c r="O4" s="214">
        <v>1184.07</v>
      </c>
      <c r="P4" s="225">
        <f t="shared" si="1"/>
        <v>266055.96100000001</v>
      </c>
      <c r="Q4" s="225">
        <f t="shared" si="2"/>
        <v>140329</v>
      </c>
      <c r="R4" s="206">
        <v>4.45E-3</v>
      </c>
      <c r="S4" s="215">
        <f>Q4*R4</f>
        <v>624.46405000000004</v>
      </c>
      <c r="T4" s="225">
        <f t="shared" si="3"/>
        <v>-178456</v>
      </c>
      <c r="U4" s="206">
        <v>4.45E-3</v>
      </c>
      <c r="V4" s="216">
        <f t="shared" ref="V4:V11" si="6">T4*U4</f>
        <v>-794.12919999999997</v>
      </c>
      <c r="W4" s="151"/>
      <c r="X4" s="150">
        <f t="shared" ref="X4:X11" si="7">O4+S4+V4</f>
        <v>1014.40485</v>
      </c>
      <c r="Y4" s="151"/>
      <c r="Z4" s="95">
        <f t="shared" ref="Z4:Z11" si="8">P4+Q4+T4</f>
        <v>227928.96100000001</v>
      </c>
      <c r="AA4" s="170">
        <f t="shared" ref="AA4:AA11" si="9">R4</f>
        <v>4.45E-3</v>
      </c>
      <c r="AB4" s="217">
        <f t="shared" ref="AB4:AB11" si="10">Z4*AA4</f>
        <v>1014.2838764500001</v>
      </c>
      <c r="AC4" s="150">
        <f t="shared" ref="AC4:AC11" si="11">X4-AB4</f>
        <v>0.12097354999991694</v>
      </c>
      <c r="AD4" s="95">
        <f t="shared" ref="AD4:AD11" si="12">AC4/AA4</f>
        <v>27.185067415711671</v>
      </c>
      <c r="AE4" s="218">
        <f t="shared" ref="AE4:AE12" si="13">AC4/X4</f>
        <v>1.1925568967845228E-4</v>
      </c>
    </row>
    <row r="5" spans="1:31" ht="14.4">
      <c r="A5" s="180" t="s">
        <v>132</v>
      </c>
      <c r="B5" s="152"/>
      <c r="C5" s="158">
        <v>22732</v>
      </c>
      <c r="D5" s="282">
        <f t="shared" si="0"/>
        <v>0.12964112364895933</v>
      </c>
      <c r="E5" s="182">
        <v>42432407.089000002</v>
      </c>
      <c r="F5" s="182">
        <v>-22691377</v>
      </c>
      <c r="G5" s="182">
        <v>22318280</v>
      </c>
      <c r="H5" s="189">
        <f t="shared" si="4"/>
        <v>-373097</v>
      </c>
      <c r="I5" s="159">
        <f t="shared" si="5"/>
        <v>42059310.089000002</v>
      </c>
      <c r="J5" s="282"/>
      <c r="M5" s="151" t="s">
        <v>244</v>
      </c>
      <c r="N5" s="151"/>
      <c r="O5" s="214">
        <v>16971.5</v>
      </c>
      <c r="P5" s="225">
        <f t="shared" si="1"/>
        <v>42432407.089000002</v>
      </c>
      <c r="Q5" s="225">
        <f t="shared" si="2"/>
        <v>22318280</v>
      </c>
      <c r="R5" s="219">
        <v>4.0000000000000002E-4</v>
      </c>
      <c r="S5" s="215">
        <f>Q5*R5</f>
        <v>8927.3119999999999</v>
      </c>
      <c r="T5" s="225">
        <f t="shared" si="3"/>
        <v>-22691377</v>
      </c>
      <c r="U5" s="219">
        <v>4.0000000000000002E-4</v>
      </c>
      <c r="V5" s="216">
        <f t="shared" si="6"/>
        <v>-9076.5508000000009</v>
      </c>
      <c r="W5" s="151"/>
      <c r="X5" s="150">
        <f t="shared" si="7"/>
        <v>16822.261199999997</v>
      </c>
      <c r="Y5" s="151"/>
      <c r="Z5" s="95">
        <f t="shared" si="8"/>
        <v>42059310.089000002</v>
      </c>
      <c r="AA5" s="220">
        <f t="shared" si="9"/>
        <v>4.0000000000000002E-4</v>
      </c>
      <c r="AB5" s="217">
        <f t="shared" si="10"/>
        <v>16823.7240356</v>
      </c>
      <c r="AC5" s="150">
        <f t="shared" si="11"/>
        <v>-1.462835600003018</v>
      </c>
      <c r="AD5" s="95">
        <f t="shared" si="12"/>
        <v>-3657.0890000075451</v>
      </c>
      <c r="AE5" s="218">
        <f t="shared" si="13"/>
        <v>-8.695832163175651E-5</v>
      </c>
    </row>
    <row r="6" spans="1:31" ht="14.4">
      <c r="A6" s="180" t="s">
        <v>133</v>
      </c>
      <c r="B6" s="152"/>
      <c r="C6" s="158">
        <v>9406</v>
      </c>
      <c r="D6" s="282">
        <f t="shared" si="0"/>
        <v>1.1207500027901792E-2</v>
      </c>
      <c r="E6" s="182">
        <v>3668289.7390000001</v>
      </c>
      <c r="F6" s="182">
        <v>-2174229</v>
      </c>
      <c r="G6" s="182">
        <v>1934806</v>
      </c>
      <c r="H6" s="189">
        <f t="shared" si="4"/>
        <v>-239423</v>
      </c>
      <c r="I6" s="159">
        <f t="shared" si="5"/>
        <v>3428866.7390000001</v>
      </c>
      <c r="J6" s="282"/>
      <c r="M6" s="151" t="s">
        <v>245</v>
      </c>
      <c r="N6" s="151"/>
      <c r="O6" s="214">
        <v>1466.3</v>
      </c>
      <c r="P6" s="225">
        <f t="shared" si="1"/>
        <v>3668289.7390000001</v>
      </c>
      <c r="Q6" s="225">
        <f t="shared" si="2"/>
        <v>1934806</v>
      </c>
      <c r="R6" s="219">
        <v>4.0000000000000002E-4</v>
      </c>
      <c r="S6" s="215">
        <f t="shared" ref="S6:S11" si="14">Q6*R6</f>
        <v>773.92240000000004</v>
      </c>
      <c r="T6" s="225">
        <f t="shared" si="3"/>
        <v>-2174229</v>
      </c>
      <c r="U6" s="219">
        <v>4.0000000000000002E-4</v>
      </c>
      <c r="V6" s="216">
        <f t="shared" si="6"/>
        <v>-869.69159999999999</v>
      </c>
      <c r="W6" s="151"/>
      <c r="X6" s="150">
        <f t="shared" si="7"/>
        <v>1370.5308</v>
      </c>
      <c r="Y6" s="151"/>
      <c r="Z6" s="95">
        <f t="shared" si="8"/>
        <v>3428866.7390000001</v>
      </c>
      <c r="AA6" s="220">
        <f t="shared" si="9"/>
        <v>4.0000000000000002E-4</v>
      </c>
      <c r="AB6" s="217">
        <f t="shared" si="10"/>
        <v>1371.5466956</v>
      </c>
      <c r="AC6" s="150">
        <f t="shared" si="11"/>
        <v>-1.0158956000000217</v>
      </c>
      <c r="AD6" s="95">
        <f t="shared" si="12"/>
        <v>-2539.7390000000541</v>
      </c>
      <c r="AE6" s="218">
        <f t="shared" si="13"/>
        <v>-7.4124244416836282E-4</v>
      </c>
    </row>
    <row r="7" spans="1:31" ht="14.4">
      <c r="A7" s="180" t="s">
        <v>134</v>
      </c>
      <c r="B7" s="152"/>
      <c r="C7" s="158">
        <v>1853</v>
      </c>
      <c r="D7" s="282">
        <f t="shared" si="0"/>
        <v>0.33973285217205168</v>
      </c>
      <c r="E7" s="182">
        <v>111196835.38</v>
      </c>
      <c r="F7" s="182">
        <v>-58100808</v>
      </c>
      <c r="G7" s="182">
        <v>58325794</v>
      </c>
      <c r="H7" s="189">
        <f t="shared" si="4"/>
        <v>224986</v>
      </c>
      <c r="I7" s="159">
        <f t="shared" si="5"/>
        <v>111421821.38</v>
      </c>
      <c r="J7" s="282"/>
      <c r="M7" s="151" t="s">
        <v>246</v>
      </c>
      <c r="N7" s="151"/>
      <c r="O7" s="214">
        <v>44478.61</v>
      </c>
      <c r="P7" s="225">
        <f t="shared" si="1"/>
        <v>111196835.38</v>
      </c>
      <c r="Q7" s="225">
        <f t="shared" si="2"/>
        <v>58325794</v>
      </c>
      <c r="R7" s="219">
        <v>4.0000000000000002E-4</v>
      </c>
      <c r="S7" s="215">
        <f t="shared" si="14"/>
        <v>23330.317600000002</v>
      </c>
      <c r="T7" s="225">
        <f t="shared" si="3"/>
        <v>-58100808</v>
      </c>
      <c r="U7" s="219">
        <v>4.0000000000000002E-4</v>
      </c>
      <c r="V7" s="216">
        <f t="shared" si="6"/>
        <v>-23240.323200000003</v>
      </c>
      <c r="W7" s="151"/>
      <c r="X7" s="150">
        <f t="shared" si="7"/>
        <v>44568.604399999997</v>
      </c>
      <c r="Y7" s="151"/>
      <c r="Z7" s="95">
        <f t="shared" si="8"/>
        <v>111421821.38</v>
      </c>
      <c r="AA7" s="220">
        <f t="shared" si="9"/>
        <v>4.0000000000000002E-4</v>
      </c>
      <c r="AB7" s="217">
        <f t="shared" si="10"/>
        <v>44568.728552</v>
      </c>
      <c r="AC7" s="150">
        <f t="shared" si="11"/>
        <v>-0.12415200000395998</v>
      </c>
      <c r="AD7" s="95">
        <f t="shared" si="12"/>
        <v>-310.38000000989996</v>
      </c>
      <c r="AE7" s="218">
        <f t="shared" si="13"/>
        <v>-2.7856380444338075E-6</v>
      </c>
    </row>
    <row r="8" spans="1:31" ht="14.4">
      <c r="A8" s="180" t="s">
        <v>135</v>
      </c>
      <c r="B8" s="152"/>
      <c r="C8" s="158">
        <v>48</v>
      </c>
      <c r="D8" s="282">
        <f t="shared" si="0"/>
        <v>6.7712541988598062E-3</v>
      </c>
      <c r="E8" s="182">
        <v>2216276.7999999998</v>
      </c>
      <c r="F8" s="182">
        <v>-1262352</v>
      </c>
      <c r="G8" s="182">
        <v>1168955</v>
      </c>
      <c r="H8" s="189">
        <f t="shared" si="4"/>
        <v>-93397</v>
      </c>
      <c r="I8" s="159">
        <f t="shared" si="5"/>
        <v>2122879.7999999998</v>
      </c>
      <c r="J8" s="282"/>
      <c r="M8" s="151" t="s">
        <v>247</v>
      </c>
      <c r="N8" s="151"/>
      <c r="O8" s="214">
        <v>886.5</v>
      </c>
      <c r="P8" s="225">
        <f t="shared" si="1"/>
        <v>2216276.7999999998</v>
      </c>
      <c r="Q8" s="225">
        <f t="shared" si="2"/>
        <v>1168955</v>
      </c>
      <c r="R8" s="219">
        <v>4.0000000000000002E-4</v>
      </c>
      <c r="S8" s="215">
        <f t="shared" si="14"/>
        <v>467.58200000000005</v>
      </c>
      <c r="T8" s="225">
        <f t="shared" si="3"/>
        <v>-1262352</v>
      </c>
      <c r="U8" s="219">
        <v>4.0000000000000002E-4</v>
      </c>
      <c r="V8" s="216">
        <f t="shared" si="6"/>
        <v>-504.94080000000002</v>
      </c>
      <c r="W8" s="151"/>
      <c r="X8" s="150">
        <f t="shared" si="7"/>
        <v>849.14120000000003</v>
      </c>
      <c r="Y8" s="151"/>
      <c r="Z8" s="95">
        <f t="shared" si="8"/>
        <v>2122879.7999999998</v>
      </c>
      <c r="AA8" s="220">
        <f t="shared" si="9"/>
        <v>4.0000000000000002E-4</v>
      </c>
      <c r="AB8" s="217">
        <f t="shared" si="10"/>
        <v>849.15192000000002</v>
      </c>
      <c r="AC8" s="150">
        <f t="shared" si="11"/>
        <v>-1.0719999999992069E-2</v>
      </c>
      <c r="AD8" s="95">
        <f t="shared" si="12"/>
        <v>-26.799999999980173</v>
      </c>
      <c r="AE8" s="218">
        <f t="shared" si="13"/>
        <v>-1.2624519926711916E-5</v>
      </c>
    </row>
    <row r="9" spans="1:31" ht="14.4">
      <c r="A9" s="180" t="s">
        <v>136</v>
      </c>
      <c r="B9" s="152"/>
      <c r="C9" s="158">
        <v>23</v>
      </c>
      <c r="D9" s="194"/>
      <c r="E9" s="182">
        <f>94067376.9-E10</f>
        <v>60274939.500000007</v>
      </c>
      <c r="F9" s="182">
        <v>-57404792</v>
      </c>
      <c r="G9" s="182">
        <f>94046228-G10</f>
        <v>59046228</v>
      </c>
      <c r="H9" s="189">
        <f t="shared" si="4"/>
        <v>1641436</v>
      </c>
      <c r="I9" s="159">
        <f t="shared" si="5"/>
        <v>61916375.500000007</v>
      </c>
      <c r="J9" s="282"/>
      <c r="M9" s="151" t="s">
        <v>248</v>
      </c>
      <c r="N9" s="151"/>
      <c r="O9" s="214">
        <v>2155.46</v>
      </c>
      <c r="P9" s="225">
        <f>E11</f>
        <v>5388708.7680000002</v>
      </c>
      <c r="Q9" s="225">
        <f>G11</f>
        <v>0</v>
      </c>
      <c r="R9" s="219">
        <v>4.0000000000000002E-4</v>
      </c>
      <c r="S9" s="215">
        <f t="shared" si="14"/>
        <v>0</v>
      </c>
      <c r="T9" s="225">
        <f>F11</f>
        <v>0</v>
      </c>
      <c r="U9" s="219">
        <v>4.0000000000000002E-4</v>
      </c>
      <c r="V9" s="216">
        <f t="shared" si="6"/>
        <v>0</v>
      </c>
      <c r="W9" s="151"/>
      <c r="X9" s="150">
        <f t="shared" si="7"/>
        <v>2155.46</v>
      </c>
      <c r="Y9" s="151"/>
      <c r="Z9" s="95">
        <f t="shared" si="8"/>
        <v>5388708.7680000002</v>
      </c>
      <c r="AA9" s="220">
        <f t="shared" si="9"/>
        <v>4.0000000000000002E-4</v>
      </c>
      <c r="AB9" s="217">
        <f t="shared" si="10"/>
        <v>2155.4835072000001</v>
      </c>
      <c r="AC9" s="150">
        <f t="shared" si="11"/>
        <v>-2.3507200000040029E-2</v>
      </c>
      <c r="AD9" s="95">
        <f t="shared" si="12"/>
        <v>-58.768000000100074</v>
      </c>
      <c r="AE9" s="218">
        <f t="shared" si="13"/>
        <v>-1.0905885518654964E-5</v>
      </c>
    </row>
    <row r="10" spans="1:31" ht="14.4">
      <c r="A10" s="180" t="s">
        <v>179</v>
      </c>
      <c r="B10" s="152"/>
      <c r="C10" s="158"/>
      <c r="D10" s="194"/>
      <c r="E10" s="182">
        <v>33792437.399999999</v>
      </c>
      <c r="F10" s="182">
        <v>-35000000</v>
      </c>
      <c r="G10" s="182">
        <v>35000000</v>
      </c>
      <c r="H10" s="189">
        <f t="shared" si="4"/>
        <v>0</v>
      </c>
      <c r="I10" s="159">
        <f t="shared" si="5"/>
        <v>33792437.399999999</v>
      </c>
      <c r="J10" s="282"/>
      <c r="M10" s="151" t="s">
        <v>249</v>
      </c>
      <c r="N10" s="151"/>
      <c r="O10" s="214">
        <v>4911.2299999999996</v>
      </c>
      <c r="P10" s="225">
        <f>E12</f>
        <v>12227010.183</v>
      </c>
      <c r="Q10" s="225">
        <f>G12</f>
        <v>4808391</v>
      </c>
      <c r="R10" s="219">
        <v>4.0000000000000002E-4</v>
      </c>
      <c r="S10" s="215">
        <f t="shared" si="14"/>
        <v>1923.3564000000001</v>
      </c>
      <c r="T10" s="225">
        <f>F12</f>
        <v>-2683359</v>
      </c>
      <c r="U10" s="219">
        <v>4.0000000000000002E-4</v>
      </c>
      <c r="V10" s="216">
        <f t="shared" si="6"/>
        <v>-1073.3436000000002</v>
      </c>
      <c r="W10" s="151"/>
      <c r="X10" s="150">
        <f>O10+S10+V10</f>
        <v>5761.2428</v>
      </c>
      <c r="Y10" s="151"/>
      <c r="Z10" s="95">
        <f t="shared" si="8"/>
        <v>14352042.182999998</v>
      </c>
      <c r="AA10" s="220">
        <f t="shared" si="9"/>
        <v>4.0000000000000002E-4</v>
      </c>
      <c r="AB10" s="217">
        <f t="shared" si="10"/>
        <v>5740.8168731999995</v>
      </c>
      <c r="AC10" s="150">
        <f t="shared" si="11"/>
        <v>20.425926800000525</v>
      </c>
      <c r="AD10" s="95">
        <f t="shared" si="12"/>
        <v>51064.817000001312</v>
      </c>
      <c r="AE10" s="218">
        <f t="shared" si="13"/>
        <v>3.5454028773098272E-3</v>
      </c>
    </row>
    <row r="11" spans="1:31" ht="14.4">
      <c r="A11" s="180" t="s">
        <v>180</v>
      </c>
      <c r="B11" s="152"/>
      <c r="C11" s="158">
        <v>49</v>
      </c>
      <c r="D11" s="282">
        <f>E11/(SUM($E$3:$E$8,$E$11:$E$13))</f>
        <v>1.6463790475879484E-2</v>
      </c>
      <c r="E11" s="182">
        <v>5388708.7680000002</v>
      </c>
      <c r="F11" s="182">
        <v>0</v>
      </c>
      <c r="G11" s="182">
        <v>0</v>
      </c>
      <c r="H11" s="189">
        <f t="shared" si="4"/>
        <v>0</v>
      </c>
      <c r="I11" s="159">
        <f t="shared" si="5"/>
        <v>5388708.7680000002</v>
      </c>
      <c r="J11" s="282"/>
      <c r="M11" s="151" t="s">
        <v>250</v>
      </c>
      <c r="N11" s="151"/>
      <c r="O11" s="214">
        <v>360.21</v>
      </c>
      <c r="P11" s="225">
        <f>E13</f>
        <v>900917.60100000002</v>
      </c>
      <c r="Q11" s="225">
        <f>G13</f>
        <v>274178</v>
      </c>
      <c r="R11" s="219">
        <v>4.0000000000000002E-4</v>
      </c>
      <c r="S11" s="215">
        <f t="shared" si="14"/>
        <v>109.6712</v>
      </c>
      <c r="T11" s="225">
        <f>F13</f>
        <v>-181337</v>
      </c>
      <c r="U11" s="219">
        <v>4.0000000000000002E-4</v>
      </c>
      <c r="V11" s="216">
        <f t="shared" si="6"/>
        <v>-72.534800000000004</v>
      </c>
      <c r="W11" s="151"/>
      <c r="X11" s="150">
        <f t="shared" si="7"/>
        <v>397.34639999999996</v>
      </c>
      <c r="Y11" s="151"/>
      <c r="Z11" s="95">
        <f t="shared" si="8"/>
        <v>993758.60100000002</v>
      </c>
      <c r="AA11" s="220">
        <f t="shared" si="9"/>
        <v>4.0000000000000002E-4</v>
      </c>
      <c r="AB11" s="217">
        <f t="shared" si="10"/>
        <v>397.50344040000004</v>
      </c>
      <c r="AC11" s="150">
        <f t="shared" si="11"/>
        <v>-0.1570404000000849</v>
      </c>
      <c r="AD11" s="95">
        <f t="shared" si="12"/>
        <v>-392.60100000021225</v>
      </c>
      <c r="AE11" s="218">
        <f t="shared" si="13"/>
        <v>-3.9522290877703917E-4</v>
      </c>
    </row>
    <row r="12" spans="1:31" ht="14.4">
      <c r="A12" s="180" t="s">
        <v>137</v>
      </c>
      <c r="B12" s="152"/>
      <c r="C12" s="158">
        <v>1202</v>
      </c>
      <c r="D12" s="282">
        <f>E12/(SUM($E$3:$E$8,$E$11:$E$13))</f>
        <v>3.7356432211509125E-2</v>
      </c>
      <c r="E12" s="182">
        <v>12227010.183</v>
      </c>
      <c r="F12" s="182">
        <v>-2683359</v>
      </c>
      <c r="G12" s="182">
        <v>4808391</v>
      </c>
      <c r="H12" s="189">
        <f t="shared" si="4"/>
        <v>2125032</v>
      </c>
      <c r="I12" s="159">
        <f t="shared" si="5"/>
        <v>14352042.183</v>
      </c>
      <c r="J12" s="282"/>
      <c r="M12" s="151"/>
      <c r="N12" s="151"/>
      <c r="O12" s="221">
        <f>SUM(O3:O11)</f>
        <v>735532.27999999991</v>
      </c>
      <c r="P12" s="51">
        <f>SUM(P3:P11)</f>
        <v>327306690.15101999</v>
      </c>
      <c r="Q12" s="51">
        <f>SUM(Q3:Q11)</f>
        <v>167557110</v>
      </c>
      <c r="R12" s="151"/>
      <c r="S12" s="221">
        <f>SUM(S3:S11)</f>
        <v>385866.00329999992</v>
      </c>
      <c r="T12" s="51">
        <f>SUM(T3:T11)</f>
        <v>-171988155</v>
      </c>
      <c r="U12" s="151"/>
      <c r="V12" s="221">
        <f>SUM(V3:V11)</f>
        <v>-412618.7686500001</v>
      </c>
      <c r="W12" s="151"/>
      <c r="X12" s="221">
        <f>SUM(X3:X11)</f>
        <v>708779.51464999991</v>
      </c>
      <c r="Y12" s="151"/>
      <c r="Z12" s="51">
        <f>SUM(Z3:Z11)</f>
        <v>322875645.15101999</v>
      </c>
      <c r="AA12" s="151"/>
      <c r="AB12" s="51">
        <f>SUM(AB3:AB11)</f>
        <v>708738.70130403899</v>
      </c>
      <c r="AC12" s="221">
        <f>SUM(AC3:AC11)</f>
        <v>40.813345961109746</v>
      </c>
      <c r="AD12" s="51">
        <f>SUM(AD3:AD11)</f>
        <v>49288.781564279328</v>
      </c>
      <c r="AE12" s="218">
        <f t="shared" si="13"/>
        <v>5.7582569921287374E-5</v>
      </c>
    </row>
    <row r="13" spans="1:31" ht="14.4">
      <c r="A13" s="180" t="s">
        <v>138</v>
      </c>
      <c r="B13" s="152"/>
      <c r="C13" s="158">
        <v>1196</v>
      </c>
      <c r="D13" s="282">
        <f>E13/(SUM($E$3:$E$8,$E$11:$E$13))</f>
        <v>2.7525181369935175E-3</v>
      </c>
      <c r="E13" s="182">
        <v>900917.60100000002</v>
      </c>
      <c r="F13" s="182">
        <v>-181337</v>
      </c>
      <c r="G13" s="182">
        <v>274178</v>
      </c>
      <c r="H13" s="189">
        <f t="shared" si="4"/>
        <v>92841</v>
      </c>
      <c r="I13" s="159">
        <f t="shared" si="5"/>
        <v>993758.60100000002</v>
      </c>
      <c r="J13" s="282"/>
      <c r="M13" s="151"/>
      <c r="N13" s="151"/>
      <c r="O13" s="151"/>
      <c r="P13" s="151"/>
      <c r="Q13" s="151"/>
      <c r="R13" s="151"/>
      <c r="S13" s="151"/>
      <c r="T13" s="151"/>
      <c r="U13" s="222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4">
      <c r="A14" s="180" t="s">
        <v>181</v>
      </c>
      <c r="B14" s="152"/>
      <c r="C14" s="158">
        <v>425</v>
      </c>
      <c r="D14" s="194"/>
      <c r="E14" s="182">
        <v>907027.47</v>
      </c>
      <c r="F14" s="182"/>
      <c r="G14" s="182"/>
      <c r="H14" s="189"/>
      <c r="I14" s="159">
        <f t="shared" si="5"/>
        <v>907027.47</v>
      </c>
      <c r="M14" s="151"/>
      <c r="N14" s="151"/>
      <c r="O14" s="151"/>
      <c r="P14" s="151"/>
      <c r="Q14" s="151"/>
      <c r="R14" s="151"/>
      <c r="S14" s="151"/>
      <c r="T14" s="151"/>
      <c r="U14" s="222" t="s">
        <v>251</v>
      </c>
      <c r="V14" s="151" t="s">
        <v>252</v>
      </c>
      <c r="W14" s="151"/>
      <c r="X14" s="170">
        <v>0.95332300000000003</v>
      </c>
      <c r="Y14" s="151"/>
      <c r="Z14" s="151"/>
      <c r="AA14" s="151" t="s">
        <v>253</v>
      </c>
      <c r="AB14" s="151" t="s">
        <v>254</v>
      </c>
      <c r="AC14" s="151"/>
      <c r="AD14" s="151" t="s">
        <v>255</v>
      </c>
      <c r="AE14" s="151"/>
    </row>
    <row r="15" spans="1:31" ht="14.4">
      <c r="A15" s="180" t="s">
        <v>182</v>
      </c>
      <c r="B15" s="152"/>
      <c r="C15" s="158"/>
      <c r="D15" s="194"/>
      <c r="E15" s="182">
        <v>417708.83600000001</v>
      </c>
      <c r="F15" s="182"/>
      <c r="G15" s="182"/>
      <c r="H15" s="189">
        <f t="shared" si="4"/>
        <v>0</v>
      </c>
      <c r="I15" s="159">
        <f t="shared" si="5"/>
        <v>417708.83600000001</v>
      </c>
      <c r="M15" s="151"/>
      <c r="N15" s="151"/>
      <c r="O15" s="151"/>
      <c r="P15" s="151"/>
      <c r="Q15" s="151"/>
      <c r="R15" s="151"/>
      <c r="S15" s="151"/>
      <c r="T15" s="151" t="s">
        <v>142</v>
      </c>
      <c r="U15" s="151" t="s">
        <v>256</v>
      </c>
      <c r="V15" s="151"/>
      <c r="W15" s="151"/>
      <c r="X15" s="223">
        <f>(X3+X4)*X14</f>
        <v>607128.45038274571</v>
      </c>
      <c r="Y15" s="151"/>
      <c r="Z15" s="151" t="s">
        <v>19</v>
      </c>
      <c r="AA15" s="50">
        <f>P3+P4+Q3+Q4+T3+T4</f>
        <v>143108257.59101999</v>
      </c>
      <c r="AB15" s="170">
        <v>4.2399999999999998E-3</v>
      </c>
      <c r="AC15" s="150">
        <f>AA15*AB15</f>
        <v>606779.01218592469</v>
      </c>
      <c r="AD15" s="150">
        <f>X15-AC15</f>
        <v>349.43819682102185</v>
      </c>
      <c r="AE15" s="218">
        <f>AD15/X15</f>
        <v>5.75558922664107E-4</v>
      </c>
    </row>
    <row r="16" spans="1:31" ht="14.4">
      <c r="A16" s="180" t="s">
        <v>183</v>
      </c>
      <c r="B16" s="152"/>
      <c r="C16" s="158"/>
      <c r="D16" s="195"/>
      <c r="E16" s="182">
        <v>219539.967</v>
      </c>
      <c r="F16" s="182"/>
      <c r="G16" s="182"/>
      <c r="H16" s="189">
        <f t="shared" si="4"/>
        <v>0</v>
      </c>
      <c r="I16" s="159">
        <f t="shared" si="5"/>
        <v>219539.967</v>
      </c>
      <c r="M16" s="151"/>
      <c r="N16" s="151"/>
      <c r="O16" s="151"/>
      <c r="P16" s="151"/>
      <c r="Q16" s="151"/>
      <c r="R16" s="151"/>
      <c r="S16" s="151"/>
      <c r="T16" s="151" t="s">
        <v>142</v>
      </c>
      <c r="U16" s="151" t="s">
        <v>257</v>
      </c>
      <c r="V16" s="151"/>
      <c r="W16" s="151"/>
      <c r="X16" s="223">
        <f>SUM(X5:X11)*X14</f>
        <v>68567.362861936403</v>
      </c>
      <c r="Y16" s="151"/>
      <c r="Z16" s="151" t="s">
        <v>184</v>
      </c>
      <c r="AA16" s="50">
        <f>SUM(P5:Q11,T5:T11)</f>
        <v>179767387.56000003</v>
      </c>
      <c r="AB16" s="170">
        <v>3.8000000000000002E-4</v>
      </c>
      <c r="AC16" s="150">
        <f>AA16*AB16</f>
        <v>68311.607272800014</v>
      </c>
      <c r="AD16" s="150">
        <f>X16-AC16</f>
        <v>255.75558913638815</v>
      </c>
      <c r="AE16" s="218">
        <f>AD16/X16</f>
        <v>3.7299901653117971E-3</v>
      </c>
    </row>
    <row r="17" spans="1:26" ht="14.4">
      <c r="A17" s="152"/>
      <c r="B17" s="152"/>
      <c r="C17" s="160">
        <f>SUM(C3:C16)</f>
        <v>251763</v>
      </c>
      <c r="E17" s="160">
        <f>SUM(E3:E16)</f>
        <v>422918343.32402003</v>
      </c>
      <c r="F17" s="160">
        <f>SUM(F3:F16)</f>
        <v>-264392947</v>
      </c>
      <c r="G17" s="160">
        <f>SUM(G3:G16)</f>
        <v>261603338</v>
      </c>
      <c r="H17" s="160">
        <f>SUM(H3:H16)</f>
        <v>-2789609</v>
      </c>
      <c r="I17" s="160">
        <f>SUM(I3:I16)</f>
        <v>420128734.32402003</v>
      </c>
      <c r="Z17" s="151" t="s">
        <v>236</v>
      </c>
    </row>
    <row r="18" spans="1:26" ht="14.4" thickBot="1">
      <c r="A18" s="152"/>
      <c r="B18" s="152"/>
      <c r="C18" s="152"/>
      <c r="E18" s="152"/>
      <c r="F18" s="152"/>
      <c r="G18" s="152"/>
      <c r="I18" s="152"/>
    </row>
    <row r="19" spans="1:26">
      <c r="A19" s="152" t="s">
        <v>19</v>
      </c>
      <c r="B19" s="152"/>
      <c r="C19" s="161">
        <f>C3+C4</f>
        <v>214829</v>
      </c>
      <c r="E19" s="162">
        <f>E3+E4</f>
        <v>149276244.59101999</v>
      </c>
      <c r="F19" s="162">
        <f>F3+F4</f>
        <v>-84894693</v>
      </c>
      <c r="G19" s="162">
        <f>G3+G4</f>
        <v>78726706</v>
      </c>
      <c r="H19" s="162">
        <f>H3+H4</f>
        <v>-6167987</v>
      </c>
      <c r="I19" s="161">
        <f>I3+I4</f>
        <v>143108257.59101999</v>
      </c>
    </row>
    <row r="20" spans="1:26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26" ht="14.4" thickBot="1">
      <c r="A21" s="152" t="s">
        <v>184</v>
      </c>
      <c r="B21" s="152"/>
      <c r="C21" s="177">
        <f>SUM(C5:C8,C11:C13)</f>
        <v>36486</v>
      </c>
      <c r="E21" s="178">
        <f>SUM(E5:E8,E11:E13)</f>
        <v>178030445.56000003</v>
      </c>
      <c r="F21" s="178">
        <f>SUM(F5:F8,F11:F13)</f>
        <v>-87093462</v>
      </c>
      <c r="G21" s="178">
        <f>SUM(G5:G8,G11:G13)</f>
        <v>88830404</v>
      </c>
      <c r="H21" s="178">
        <f>SUM(H5:H8,H11:H13)</f>
        <v>1736942</v>
      </c>
      <c r="I21" s="177">
        <f>SUM(I5:I8,I11:I13)</f>
        <v>179767387.56000003</v>
      </c>
    </row>
    <row r="22" spans="1:26">
      <c r="A22" s="152"/>
      <c r="B22" s="152"/>
      <c r="C22" s="152"/>
      <c r="D22" s="152"/>
      <c r="E22" s="152"/>
    </row>
    <row r="23" spans="1:26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26">
      <c r="A24" s="180" t="s">
        <v>131</v>
      </c>
      <c r="B24" s="152"/>
      <c r="C24" s="181">
        <v>1996124.5</v>
      </c>
      <c r="D24" s="181">
        <v>13680604.449999999</v>
      </c>
      <c r="E24" s="183">
        <v>-8173540</v>
      </c>
      <c r="F24" s="183">
        <v>7557929</v>
      </c>
      <c r="G24" s="174">
        <f>SUM(D24:F24)</f>
        <v>13064993.449999999</v>
      </c>
      <c r="H24" s="174">
        <f>-K62</f>
        <v>157934.39693999998</v>
      </c>
      <c r="I24" s="174">
        <f>SUM(G24:H24)</f>
        <v>13222927.84694</v>
      </c>
    </row>
    <row r="25" spans="1:26">
      <c r="A25" s="180" t="s">
        <v>178</v>
      </c>
      <c r="B25" s="152"/>
      <c r="C25" s="181">
        <v>3645</v>
      </c>
      <c r="D25" s="181">
        <v>24356.99</v>
      </c>
      <c r="E25" s="183">
        <v>-11339</v>
      </c>
      <c r="F25" s="183">
        <v>9170</v>
      </c>
      <c r="G25" s="174">
        <f t="shared" ref="G25:G33" si="15">SUM(D25:F25)</f>
        <v>22187.99</v>
      </c>
      <c r="H25" s="174">
        <f t="shared" ref="H25:H30" si="16">-K63</f>
        <v>-714.63701000000015</v>
      </c>
      <c r="I25" s="174">
        <f t="shared" ref="I25:I34" si="17">SUM(G25:H25)</f>
        <v>21473.352990000003</v>
      </c>
    </row>
    <row r="26" spans="1:26">
      <c r="A26" s="180" t="s">
        <v>132</v>
      </c>
      <c r="B26" s="152"/>
      <c r="C26" s="181">
        <v>462133.45</v>
      </c>
      <c r="D26" s="181">
        <v>5103412.7799999993</v>
      </c>
      <c r="E26" s="183">
        <v>-2727768</v>
      </c>
      <c r="F26" s="183">
        <v>2630163</v>
      </c>
      <c r="G26" s="174">
        <f t="shared" si="15"/>
        <v>5005807.7799999993</v>
      </c>
      <c r="H26" s="174">
        <f t="shared" si="16"/>
        <v>44189.48646</v>
      </c>
      <c r="I26" s="174">
        <f t="shared" si="17"/>
        <v>5049997.2664599996</v>
      </c>
    </row>
    <row r="27" spans="1:26">
      <c r="A27" s="180" t="s">
        <v>133</v>
      </c>
      <c r="B27" s="152"/>
      <c r="C27" s="181">
        <v>190245.46</v>
      </c>
      <c r="D27" s="181">
        <v>597530.71</v>
      </c>
      <c r="E27" s="183">
        <v>-349193</v>
      </c>
      <c r="F27" s="183">
        <v>316539</v>
      </c>
      <c r="G27" s="174">
        <f t="shared" si="15"/>
        <v>564876.71</v>
      </c>
      <c r="H27" s="174">
        <f t="shared" si="16"/>
        <v>4875.2521899999992</v>
      </c>
      <c r="I27" s="174">
        <f t="shared" si="17"/>
        <v>569751.96218999999</v>
      </c>
    </row>
    <row r="28" spans="1:26">
      <c r="A28" s="180" t="s">
        <v>134</v>
      </c>
      <c r="B28" s="152"/>
      <c r="C28" s="181">
        <v>927389.98</v>
      </c>
      <c r="D28" s="181">
        <v>10304256.229999999</v>
      </c>
      <c r="E28" s="183">
        <v>-4819547</v>
      </c>
      <c r="F28" s="183">
        <v>4745224</v>
      </c>
      <c r="G28" s="174">
        <f t="shared" si="15"/>
        <v>10229933.229999999</v>
      </c>
      <c r="H28" s="174">
        <f t="shared" si="16"/>
        <v>82960.957340000008</v>
      </c>
      <c r="I28" s="174">
        <f t="shared" si="17"/>
        <v>10312894.187339999</v>
      </c>
    </row>
    <row r="29" spans="1:26">
      <c r="A29" s="180" t="s">
        <v>135</v>
      </c>
      <c r="B29" s="152"/>
      <c r="C29" s="181">
        <v>24000</v>
      </c>
      <c r="D29" s="181">
        <v>203023.03000000003</v>
      </c>
      <c r="E29" s="183">
        <v>-107104</v>
      </c>
      <c r="F29" s="183">
        <v>98074</v>
      </c>
      <c r="G29" s="174">
        <f t="shared" si="15"/>
        <v>193993.03000000003</v>
      </c>
      <c r="H29" s="174">
        <f t="shared" si="16"/>
        <v>2034.46792</v>
      </c>
      <c r="I29" s="174">
        <f t="shared" si="17"/>
        <v>196027.49792000002</v>
      </c>
    </row>
    <row r="30" spans="1:26">
      <c r="A30" s="180" t="s">
        <v>136</v>
      </c>
      <c r="B30" s="152"/>
      <c r="C30" s="181">
        <v>552000</v>
      </c>
      <c r="D30" s="181">
        <v>5628281.6299999999</v>
      </c>
      <c r="E30" s="183">
        <v>-6174557</v>
      </c>
      <c r="F30" s="183">
        <v>5918000</v>
      </c>
      <c r="G30" s="174">
        <f t="shared" si="15"/>
        <v>5371724.6299999999</v>
      </c>
      <c r="H30" s="174">
        <f t="shared" si="16"/>
        <v>83457.888200000016</v>
      </c>
      <c r="I30" s="174">
        <f t="shared" si="17"/>
        <v>5455182.5181999998</v>
      </c>
      <c r="J30" s="283"/>
    </row>
    <row r="31" spans="1:26">
      <c r="A31" s="180" t="s">
        <v>180</v>
      </c>
      <c r="B31" s="152"/>
      <c r="C31" s="181">
        <v>980</v>
      </c>
      <c r="D31" s="181">
        <v>375032.20999999996</v>
      </c>
      <c r="E31" s="183">
        <v>0</v>
      </c>
      <c r="F31" s="183">
        <v>0</v>
      </c>
      <c r="G31" s="174">
        <f t="shared" si="15"/>
        <v>375032.20999999996</v>
      </c>
      <c r="H31" s="174">
        <f>-K69</f>
        <v>0</v>
      </c>
      <c r="I31" s="174">
        <f t="shared" si="17"/>
        <v>375032.20999999996</v>
      </c>
    </row>
    <row r="32" spans="1:26">
      <c r="A32" s="180" t="s">
        <v>137</v>
      </c>
      <c r="B32" s="152"/>
      <c r="C32" s="181">
        <v>24160</v>
      </c>
      <c r="D32" s="181">
        <v>1011285.75</v>
      </c>
      <c r="E32" s="183">
        <v>-165633</v>
      </c>
      <c r="F32" s="183">
        <v>278734</v>
      </c>
      <c r="G32" s="174">
        <f t="shared" si="15"/>
        <v>1124386.75</v>
      </c>
      <c r="H32" s="174">
        <f>-K70</f>
        <v>-8840.1331200000004</v>
      </c>
      <c r="I32" s="174">
        <f t="shared" si="17"/>
        <v>1115546.6168800001</v>
      </c>
    </row>
    <row r="33" spans="1:13">
      <c r="A33" s="180" t="s">
        <v>138</v>
      </c>
      <c r="B33" s="152"/>
      <c r="C33" s="181">
        <v>24120</v>
      </c>
      <c r="D33" s="181">
        <v>100638.78</v>
      </c>
      <c r="E33" s="183">
        <v>-27222</v>
      </c>
      <c r="F33" s="183">
        <v>33875</v>
      </c>
      <c r="G33" s="174">
        <f t="shared" si="15"/>
        <v>107291.78</v>
      </c>
      <c r="H33" s="174">
        <f>-K71</f>
        <v>5939.8909499999991</v>
      </c>
      <c r="I33" s="174">
        <f t="shared" si="17"/>
        <v>113231.67095</v>
      </c>
    </row>
    <row r="34" spans="1:13">
      <c r="A34" s="180" t="s">
        <v>192</v>
      </c>
      <c r="B34" s="152"/>
      <c r="C34" s="174"/>
      <c r="D34" s="181">
        <v>558015.03</v>
      </c>
      <c r="E34" s="181"/>
      <c r="F34" s="181"/>
      <c r="G34" s="174">
        <f>SUM(D34:F34)</f>
        <v>558015.03</v>
      </c>
      <c r="H34" s="174"/>
      <c r="I34" s="174">
        <f t="shared" si="17"/>
        <v>558015.03</v>
      </c>
    </row>
    <row r="35" spans="1:13">
      <c r="A35" s="180" t="s">
        <v>193</v>
      </c>
      <c r="B35" s="152"/>
      <c r="C35" s="194"/>
      <c r="D35" s="181">
        <v>1998448.74</v>
      </c>
      <c r="E35" s="181"/>
      <c r="F35" s="181"/>
      <c r="G35" s="174"/>
      <c r="H35" s="174"/>
      <c r="I35" s="174"/>
    </row>
    <row r="36" spans="1:13">
      <c r="A36" s="180" t="s">
        <v>194</v>
      </c>
      <c r="B36" s="152"/>
      <c r="C36" s="194"/>
      <c r="D36" s="181">
        <v>1469523.4200000002</v>
      </c>
      <c r="E36" s="181"/>
      <c r="F36" s="181"/>
      <c r="G36" s="174"/>
      <c r="H36" s="174"/>
      <c r="I36" s="174"/>
    </row>
    <row r="37" spans="1:13">
      <c r="A37" s="152"/>
      <c r="B37" s="152"/>
      <c r="C37" s="166">
        <f t="shared" ref="C37:I37" si="18">SUM(C24:C36)</f>
        <v>4204798.3900000006</v>
      </c>
      <c r="D37" s="166">
        <f t="shared" si="18"/>
        <v>41054409.750000007</v>
      </c>
      <c r="E37" s="166">
        <f t="shared" si="18"/>
        <v>-22555903</v>
      </c>
      <c r="F37" s="166">
        <f t="shared" si="18"/>
        <v>21587708</v>
      </c>
      <c r="G37" s="166">
        <f t="shared" si="18"/>
        <v>36618242.590000004</v>
      </c>
      <c r="H37" s="166">
        <f t="shared" si="18"/>
        <v>371837.56986999995</v>
      </c>
      <c r="I37" s="166">
        <f t="shared" si="18"/>
        <v>36990080.159869999</v>
      </c>
    </row>
    <row r="38" spans="1:13" ht="14.4" thickBot="1">
      <c r="A38" s="152"/>
      <c r="B38" s="152"/>
      <c r="D38" s="167"/>
      <c r="E38" s="152"/>
      <c r="F38" s="152"/>
    </row>
    <row r="39" spans="1:13">
      <c r="A39" s="152" t="s">
        <v>19</v>
      </c>
      <c r="B39" s="152"/>
      <c r="C39" s="169">
        <f t="shared" ref="C39:I39" si="19">C24+C25</f>
        <v>1999769.5</v>
      </c>
      <c r="D39" s="168">
        <f t="shared" si="19"/>
        <v>13704961.439999999</v>
      </c>
      <c r="E39" s="168">
        <f t="shared" si="19"/>
        <v>-8184879</v>
      </c>
      <c r="F39" s="168">
        <f t="shared" si="19"/>
        <v>7567099</v>
      </c>
      <c r="G39" s="168">
        <f t="shared" si="19"/>
        <v>13087181.439999999</v>
      </c>
      <c r="H39" s="168">
        <f t="shared" si="19"/>
        <v>157219.75992999997</v>
      </c>
      <c r="I39" s="169">
        <f t="shared" si="19"/>
        <v>13244401.199929999</v>
      </c>
    </row>
    <row r="40" spans="1:13" ht="6" customHeight="1">
      <c r="A40" s="152"/>
      <c r="B40" s="152"/>
      <c r="C40" s="173"/>
      <c r="D40" s="168"/>
      <c r="E40" s="152"/>
      <c r="F40" s="152"/>
      <c r="I40" s="190"/>
    </row>
    <row r="41" spans="1:13" ht="14.4" thickBot="1">
      <c r="A41" s="152" t="s">
        <v>184</v>
      </c>
      <c r="B41" s="152"/>
      <c r="C41" s="175">
        <f>SUM(C26:C29,C31:C33)</f>
        <v>1653028.8900000001</v>
      </c>
      <c r="D41" s="176">
        <f t="shared" ref="D41:I41" si="20">SUM(D26:D29,D31:D33)</f>
        <v>17695179.489999998</v>
      </c>
      <c r="E41" s="176">
        <f t="shared" si="20"/>
        <v>-8196467</v>
      </c>
      <c r="F41" s="176">
        <f t="shared" si="20"/>
        <v>8102609</v>
      </c>
      <c r="G41" s="176">
        <f t="shared" si="20"/>
        <v>17601321.489999998</v>
      </c>
      <c r="H41" s="176">
        <f t="shared" si="20"/>
        <v>131159.92173999999</v>
      </c>
      <c r="I41" s="175">
        <f t="shared" si="20"/>
        <v>17732481.411739998</v>
      </c>
    </row>
    <row r="42" spans="1:13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3">
      <c r="C43" s="191">
        <v>43040</v>
      </c>
      <c r="D43" s="191">
        <v>43252</v>
      </c>
      <c r="E43" s="196">
        <v>43040</v>
      </c>
      <c r="F43" s="192">
        <v>42278</v>
      </c>
      <c r="G43" s="191">
        <v>42583</v>
      </c>
      <c r="H43" s="191">
        <v>43009</v>
      </c>
      <c r="I43" s="191">
        <v>42380</v>
      </c>
      <c r="J43" s="191">
        <v>42917</v>
      </c>
      <c r="K43" s="191"/>
      <c r="L43" s="196"/>
    </row>
    <row r="44" spans="1:13" ht="42" customHeight="1">
      <c r="A44" s="179" t="s">
        <v>195</v>
      </c>
      <c r="B44" s="154"/>
      <c r="C44" s="165" t="s">
        <v>196</v>
      </c>
      <c r="D44" s="165" t="s">
        <v>312</v>
      </c>
      <c r="E44" s="165" t="s">
        <v>213</v>
      </c>
      <c r="F44" s="165" t="s">
        <v>197</v>
      </c>
      <c r="G44" s="165" t="s">
        <v>198</v>
      </c>
      <c r="H44" s="165" t="s">
        <v>199</v>
      </c>
      <c r="I44" s="165" t="s">
        <v>200</v>
      </c>
      <c r="J44" s="165" t="s">
        <v>201</v>
      </c>
      <c r="K44" s="211" t="s">
        <v>229</v>
      </c>
      <c r="L44" s="1" t="s">
        <v>230</v>
      </c>
    </row>
    <row r="45" spans="1:13">
      <c r="A45" s="180" t="s">
        <v>131</v>
      </c>
      <c r="B45" s="152"/>
      <c r="C45" s="171">
        <v>-8.0999999999999996E-4</v>
      </c>
      <c r="D45" s="171">
        <v>-1.42E-3</v>
      </c>
      <c r="E45" s="171">
        <v>4.45E-3</v>
      </c>
      <c r="F45" s="171"/>
      <c r="G45" s="171">
        <v>3.4399999999999999E-3</v>
      </c>
      <c r="H45" s="171">
        <v>1.0499999999999999E-3</v>
      </c>
      <c r="I45" s="171">
        <v>0</v>
      </c>
      <c r="J45" s="171">
        <v>-5.6999999999999998E-4</v>
      </c>
      <c r="K45" s="171">
        <f t="shared" ref="K45:K57" si="21">SUM(B45:I45)</f>
        <v>6.7099999999999998E-3</v>
      </c>
      <c r="L45" s="212">
        <f t="shared" ref="L45:L57" si="22">K45*G3</f>
        <v>527314.58967000002</v>
      </c>
      <c r="M45" s="212"/>
    </row>
    <row r="46" spans="1:13">
      <c r="A46" s="180" t="s">
        <v>178</v>
      </c>
      <c r="B46" s="152"/>
      <c r="C46" s="171">
        <v>-8.0999999999999996E-4</v>
      </c>
      <c r="D46" s="171">
        <v>-1.42E-3</v>
      </c>
      <c r="E46" s="171">
        <v>4.45E-3</v>
      </c>
      <c r="F46" s="171">
        <v>-3.1530000000000002E-2</v>
      </c>
      <c r="G46" s="171">
        <v>3.4399999999999999E-3</v>
      </c>
      <c r="H46" s="171">
        <v>1.0499999999999999E-3</v>
      </c>
      <c r="I46" s="171">
        <v>0</v>
      </c>
      <c r="J46" s="171">
        <v>-5.6999999999999998E-4</v>
      </c>
      <c r="K46" s="171">
        <f t="shared" si="21"/>
        <v>-2.4820000000000005E-2</v>
      </c>
      <c r="L46" s="212">
        <f t="shared" si="22"/>
        <v>-3482.9657800000009</v>
      </c>
      <c r="M46" s="212"/>
    </row>
    <row r="47" spans="1:13">
      <c r="A47" s="180" t="s">
        <v>132</v>
      </c>
      <c r="B47" s="152"/>
      <c r="C47" s="171">
        <v>0</v>
      </c>
      <c r="D47" s="171">
        <v>-1.8799999999999999E-3</v>
      </c>
      <c r="E47" s="171">
        <v>4.0000000000000002E-4</v>
      </c>
      <c r="F47" s="171"/>
      <c r="G47" s="171">
        <v>4.6299999999999996E-3</v>
      </c>
      <c r="H47" s="171">
        <v>1.5200000000000001E-3</v>
      </c>
      <c r="I47" s="171">
        <v>0</v>
      </c>
      <c r="J47" s="171">
        <v>-5.6999999999999998E-4</v>
      </c>
      <c r="K47" s="171">
        <f t="shared" si="21"/>
        <v>4.6699999999999997E-3</v>
      </c>
      <c r="L47" s="212">
        <f t="shared" si="22"/>
        <v>104226.3676</v>
      </c>
      <c r="M47" s="212"/>
    </row>
    <row r="48" spans="1:13">
      <c r="A48" s="180" t="s">
        <v>133</v>
      </c>
      <c r="B48" s="152"/>
      <c r="C48" s="171">
        <v>-8.0999999999999996E-4</v>
      </c>
      <c r="D48" s="171">
        <v>-1.8799999999999999E-3</v>
      </c>
      <c r="E48" s="171">
        <v>4.0000000000000002E-4</v>
      </c>
      <c r="F48" s="171"/>
      <c r="G48" s="171">
        <v>4.6299999999999996E-3</v>
      </c>
      <c r="H48" s="171">
        <v>1.5200000000000001E-3</v>
      </c>
      <c r="I48" s="171">
        <v>0</v>
      </c>
      <c r="J48" s="171">
        <v>-5.6999999999999998E-4</v>
      </c>
      <c r="K48" s="171">
        <f t="shared" si="21"/>
        <v>3.8600000000000001E-3</v>
      </c>
      <c r="L48" s="212">
        <f t="shared" si="22"/>
        <v>7468.3511600000002</v>
      </c>
      <c r="M48" s="212"/>
    </row>
    <row r="49" spans="1:14">
      <c r="A49" s="180" t="s">
        <v>134</v>
      </c>
      <c r="B49" s="152"/>
      <c r="C49" s="171">
        <v>0</v>
      </c>
      <c r="D49" s="171">
        <v>-1.4400000000000001E-3</v>
      </c>
      <c r="E49" s="171">
        <v>4.0000000000000002E-4</v>
      </c>
      <c r="F49" s="171"/>
      <c r="G49" s="171">
        <v>3.6600000000000001E-3</v>
      </c>
      <c r="H49" s="171">
        <v>1.1000000000000001E-3</v>
      </c>
      <c r="I49" s="171">
        <v>0</v>
      </c>
      <c r="J49" s="171">
        <v>-5.9000000000000003E-4</v>
      </c>
      <c r="K49" s="171">
        <f t="shared" si="21"/>
        <v>3.7200000000000002E-3</v>
      </c>
      <c r="L49" s="212">
        <f t="shared" si="22"/>
        <v>216971.95368000001</v>
      </c>
      <c r="M49" s="212"/>
    </row>
    <row r="50" spans="1:14">
      <c r="A50" s="180" t="s">
        <v>135</v>
      </c>
      <c r="B50" s="152"/>
      <c r="C50" s="171">
        <v>-8.0999999999999996E-4</v>
      </c>
      <c r="D50" s="171">
        <v>-1.4400000000000001E-3</v>
      </c>
      <c r="E50" s="171">
        <v>4.0000000000000002E-4</v>
      </c>
      <c r="F50" s="171"/>
      <c r="G50" s="171">
        <v>3.6600000000000001E-3</v>
      </c>
      <c r="H50" s="171">
        <v>1.1000000000000001E-3</v>
      </c>
      <c r="I50" s="171">
        <v>0</v>
      </c>
      <c r="J50" s="171">
        <v>-5.9000000000000003E-4</v>
      </c>
      <c r="K50" s="171">
        <f t="shared" si="21"/>
        <v>2.9099999999999998E-3</v>
      </c>
      <c r="L50" s="212">
        <f t="shared" si="22"/>
        <v>3401.6590499999998</v>
      </c>
      <c r="M50" s="212"/>
    </row>
    <row r="51" spans="1:14">
      <c r="A51" s="180" t="s">
        <v>136</v>
      </c>
      <c r="B51" s="152"/>
      <c r="C51" s="171">
        <v>0</v>
      </c>
      <c r="D51" s="171">
        <v>-9.3000000000000005E-4</v>
      </c>
      <c r="E51" s="171">
        <v>0</v>
      </c>
      <c r="F51" s="171"/>
      <c r="G51" s="171">
        <v>2.32E-3</v>
      </c>
      <c r="H51" s="171">
        <v>6.8999999999999997E-4</v>
      </c>
      <c r="I51" s="171">
        <v>0</v>
      </c>
      <c r="J51" s="171">
        <v>-5.6999999999999998E-4</v>
      </c>
      <c r="K51" s="171">
        <f t="shared" si="21"/>
        <v>2.0799999999999998E-3</v>
      </c>
      <c r="L51" s="212">
        <f t="shared" si="22"/>
        <v>122816.15423999999</v>
      </c>
      <c r="M51" s="212"/>
    </row>
    <row r="52" spans="1:14">
      <c r="A52" s="180" t="s">
        <v>179</v>
      </c>
      <c r="B52" s="152"/>
      <c r="C52" s="171">
        <v>0</v>
      </c>
      <c r="D52" s="171">
        <v>0</v>
      </c>
      <c r="E52" s="171">
        <v>0</v>
      </c>
      <c r="F52" s="171"/>
      <c r="G52" s="171">
        <v>2.32E-3</v>
      </c>
      <c r="H52" s="171">
        <v>0</v>
      </c>
      <c r="I52" s="171">
        <v>0</v>
      </c>
      <c r="J52" s="171">
        <v>-5.6999999999999998E-4</v>
      </c>
      <c r="K52" s="171">
        <f t="shared" si="21"/>
        <v>2.32E-3</v>
      </c>
      <c r="L52" s="212">
        <f t="shared" si="22"/>
        <v>81200</v>
      </c>
      <c r="M52" s="212"/>
    </row>
    <row r="53" spans="1:14">
      <c r="A53" s="180" t="s">
        <v>180</v>
      </c>
      <c r="B53" s="152"/>
      <c r="C53" s="171">
        <v>0</v>
      </c>
      <c r="D53" s="171">
        <v>-1.2999999999999999E-3</v>
      </c>
      <c r="E53" s="171">
        <v>4.0000000000000002E-4</v>
      </c>
      <c r="F53" s="171"/>
      <c r="G53" s="171">
        <v>3.4099999999999998E-3</v>
      </c>
      <c r="H53" s="171">
        <v>9.6000000000000002E-4</v>
      </c>
      <c r="I53" s="171">
        <v>0</v>
      </c>
      <c r="J53" s="171">
        <v>-6.0999999999999997E-4</v>
      </c>
      <c r="K53" s="171">
        <f t="shared" si="21"/>
        <v>3.47E-3</v>
      </c>
      <c r="L53" s="212">
        <f t="shared" si="22"/>
        <v>0</v>
      </c>
      <c r="M53" s="212"/>
    </row>
    <row r="54" spans="1:14">
      <c r="A54" s="180" t="s">
        <v>137</v>
      </c>
      <c r="B54" s="152"/>
      <c r="C54" s="171">
        <v>0</v>
      </c>
      <c r="D54" s="171">
        <v>-1.2999999999999999E-3</v>
      </c>
      <c r="E54" s="171">
        <v>4.0000000000000002E-4</v>
      </c>
      <c r="F54" s="171"/>
      <c r="G54" s="171">
        <v>3.4099999999999998E-3</v>
      </c>
      <c r="H54" s="171">
        <v>9.6000000000000002E-4</v>
      </c>
      <c r="I54" s="171">
        <v>0</v>
      </c>
      <c r="J54" s="171">
        <v>-6.0999999999999997E-4</v>
      </c>
      <c r="K54" s="171">
        <f t="shared" si="21"/>
        <v>3.47E-3</v>
      </c>
      <c r="L54" s="212">
        <f t="shared" si="22"/>
        <v>16685.116770000001</v>
      </c>
      <c r="M54" s="212"/>
    </row>
    <row r="55" spans="1:14">
      <c r="A55" s="180" t="s">
        <v>138</v>
      </c>
      <c r="B55" s="152"/>
      <c r="C55" s="171">
        <v>-8.0999999999999996E-4</v>
      </c>
      <c r="D55" s="171">
        <v>-1.2999999999999999E-3</v>
      </c>
      <c r="E55" s="171">
        <v>4.0000000000000002E-4</v>
      </c>
      <c r="F55" s="171"/>
      <c r="G55" s="171">
        <v>3.4099999999999998E-3</v>
      </c>
      <c r="H55" s="171">
        <v>9.6000000000000002E-4</v>
      </c>
      <c r="I55" s="171">
        <v>0</v>
      </c>
      <c r="J55" s="171">
        <v>-6.0999999999999997E-4</v>
      </c>
      <c r="K55" s="171">
        <f t="shared" si="21"/>
        <v>2.66E-3</v>
      </c>
      <c r="L55" s="212">
        <f t="shared" si="22"/>
        <v>729.31348000000003</v>
      </c>
      <c r="M55" s="212"/>
    </row>
    <row r="56" spans="1:14" ht="14.4" customHeight="1">
      <c r="A56" s="180" t="s">
        <v>192</v>
      </c>
      <c r="B56" s="152"/>
      <c r="C56" s="171">
        <v>0</v>
      </c>
      <c r="D56" s="171">
        <v>0</v>
      </c>
      <c r="E56" s="171">
        <v>0</v>
      </c>
      <c r="F56" s="171"/>
      <c r="G56" s="186">
        <v>1.2149999999999999E-2</v>
      </c>
      <c r="H56" s="401" t="s">
        <v>214</v>
      </c>
      <c r="I56" s="171">
        <v>0</v>
      </c>
      <c r="J56" s="186">
        <v>-6.4999999999999997E-4</v>
      </c>
      <c r="K56" s="171">
        <f t="shared" si="21"/>
        <v>1.2149999999999999E-2</v>
      </c>
      <c r="L56" s="212">
        <f t="shared" si="22"/>
        <v>0</v>
      </c>
      <c r="M56" s="212"/>
    </row>
    <row r="57" spans="1:14">
      <c r="A57" s="180" t="s">
        <v>183</v>
      </c>
      <c r="B57" s="152"/>
      <c r="C57" s="171">
        <v>-8.0999999999999996E-4</v>
      </c>
      <c r="D57" s="171">
        <v>0</v>
      </c>
      <c r="E57" s="171">
        <v>0</v>
      </c>
      <c r="F57" s="171"/>
      <c r="G57" s="186">
        <v>1.2149999999999999E-2</v>
      </c>
      <c r="H57" s="401"/>
      <c r="I57" s="171">
        <v>0</v>
      </c>
      <c r="J57" s="186">
        <v>-6.4999999999999997E-4</v>
      </c>
      <c r="K57" s="171">
        <f t="shared" si="21"/>
        <v>1.1339999999999999E-2</v>
      </c>
      <c r="L57" s="212">
        <f t="shared" si="22"/>
        <v>0</v>
      </c>
      <c r="M57" s="212"/>
    </row>
    <row r="58" spans="1:14">
      <c r="A58" s="180"/>
      <c r="B58" s="152"/>
      <c r="C58" s="171"/>
      <c r="D58" s="171"/>
      <c r="E58" s="171"/>
      <c r="F58" s="171"/>
      <c r="G58" s="186"/>
      <c r="H58" s="289"/>
      <c r="I58" s="171"/>
      <c r="J58" s="186"/>
      <c r="K58" s="171"/>
      <c r="L58" s="212"/>
      <c r="M58" s="212"/>
    </row>
    <row r="59" spans="1:14">
      <c r="A59" s="180"/>
      <c r="B59" s="152"/>
      <c r="C59" s="171"/>
      <c r="D59" s="171"/>
      <c r="E59" s="171"/>
      <c r="F59" s="171"/>
      <c r="G59" s="186"/>
      <c r="H59" s="289"/>
      <c r="I59" s="171"/>
      <c r="J59" s="186"/>
      <c r="K59" s="171"/>
      <c r="L59" s="212"/>
      <c r="M59" s="212"/>
    </row>
    <row r="60" spans="1:14">
      <c r="F60" s="152"/>
      <c r="L60" s="212">
        <f>SUM(L45:L57)</f>
        <v>1077330.5398699997</v>
      </c>
      <c r="M60" s="212"/>
      <c r="N60" s="288"/>
    </row>
    <row r="61" spans="1:14" ht="52.8">
      <c r="A61" s="179" t="s">
        <v>202</v>
      </c>
      <c r="B61" s="154"/>
      <c r="C61" s="172" t="s">
        <v>209</v>
      </c>
      <c r="D61" s="172" t="s">
        <v>312</v>
      </c>
      <c r="E61" s="172" t="s">
        <v>213</v>
      </c>
      <c r="F61" s="172" t="s">
        <v>203</v>
      </c>
      <c r="G61" s="172" t="s">
        <v>204</v>
      </c>
      <c r="H61" s="172" t="s">
        <v>205</v>
      </c>
      <c r="I61" s="172" t="s">
        <v>206</v>
      </c>
      <c r="J61" s="172" t="s">
        <v>207</v>
      </c>
      <c r="K61" s="172" t="s">
        <v>208</v>
      </c>
      <c r="N61" s="168"/>
    </row>
    <row r="62" spans="1:14">
      <c r="A62" s="180" t="s">
        <v>131</v>
      </c>
      <c r="C62" s="168">
        <f t="shared" ref="C62:C67" si="23">C45*H3</f>
        <v>4965.1866</v>
      </c>
      <c r="D62" s="168">
        <f>D45*G3</f>
        <v>-111592.65534</v>
      </c>
      <c r="E62" s="168">
        <f t="shared" ref="E62:E67" si="24">E45*H3</f>
        <v>-27277.877</v>
      </c>
      <c r="F62" s="168">
        <f t="shared" ref="F62:F67" si="25">$H3*F45</f>
        <v>0</v>
      </c>
      <c r="G62" s="168">
        <f t="shared" ref="G62:H67" si="26">($H3*G45)</f>
        <v>-21086.718399999998</v>
      </c>
      <c r="H62" s="168">
        <f t="shared" si="26"/>
        <v>-6436.3529999999992</v>
      </c>
      <c r="I62" s="168">
        <f t="shared" ref="I62:I67" si="27">$H3*I45</f>
        <v>0</v>
      </c>
      <c r="J62" s="168">
        <f t="shared" ref="J62:J67" si="28">(J45*H3)</f>
        <v>3494.0201999999999</v>
      </c>
      <c r="K62" s="168">
        <f t="shared" ref="K62:K72" si="29">SUM(C62:J62)</f>
        <v>-157934.39693999998</v>
      </c>
      <c r="N62" s="168"/>
    </row>
    <row r="63" spans="1:14">
      <c r="A63" s="180" t="s">
        <v>178</v>
      </c>
      <c r="C63" s="168">
        <f t="shared" si="23"/>
        <v>30.882869999999997</v>
      </c>
      <c r="D63" s="168">
        <f t="shared" ref="D63:D72" si="30">D46*G4</f>
        <v>-199.26718</v>
      </c>
      <c r="E63" s="168">
        <f t="shared" si="24"/>
        <v>-169.66515000000001</v>
      </c>
      <c r="F63" s="168">
        <f t="shared" si="25"/>
        <v>1202.1443100000001</v>
      </c>
      <c r="G63" s="168">
        <f t="shared" si="26"/>
        <v>-131.15688</v>
      </c>
      <c r="H63" s="168">
        <f t="shared" si="26"/>
        <v>-40.033349999999999</v>
      </c>
      <c r="I63" s="168">
        <f t="shared" si="27"/>
        <v>0</v>
      </c>
      <c r="J63" s="168">
        <f t="shared" si="28"/>
        <v>21.732389999999999</v>
      </c>
      <c r="K63" s="168">
        <f t="shared" si="29"/>
        <v>714.63701000000015</v>
      </c>
      <c r="N63" s="168"/>
    </row>
    <row r="64" spans="1:14">
      <c r="A64" s="180" t="s">
        <v>132</v>
      </c>
      <c r="C64" s="168">
        <f t="shared" si="23"/>
        <v>0</v>
      </c>
      <c r="D64" s="168">
        <f t="shared" si="30"/>
        <v>-41958.366399999999</v>
      </c>
      <c r="E64" s="168">
        <f t="shared" si="24"/>
        <v>-149.2388</v>
      </c>
      <c r="F64" s="168">
        <f t="shared" si="25"/>
        <v>0</v>
      </c>
      <c r="G64" s="168">
        <f t="shared" si="26"/>
        <v>-1727.4391099999998</v>
      </c>
      <c r="H64" s="168">
        <f t="shared" si="26"/>
        <v>-567.10744</v>
      </c>
      <c r="I64" s="168">
        <f t="shared" si="27"/>
        <v>0</v>
      </c>
      <c r="J64" s="168">
        <f t="shared" si="28"/>
        <v>212.66529</v>
      </c>
      <c r="K64" s="168">
        <f t="shared" si="29"/>
        <v>-44189.48646</v>
      </c>
      <c r="N64" s="168"/>
    </row>
    <row r="65" spans="1:14">
      <c r="A65" s="180" t="s">
        <v>133</v>
      </c>
      <c r="C65" s="168">
        <f t="shared" si="23"/>
        <v>193.93262999999999</v>
      </c>
      <c r="D65" s="168">
        <f t="shared" si="30"/>
        <v>-3637.4352799999997</v>
      </c>
      <c r="E65" s="168">
        <f t="shared" si="24"/>
        <v>-95.769199999999998</v>
      </c>
      <c r="F65" s="168">
        <f t="shared" si="25"/>
        <v>0</v>
      </c>
      <c r="G65" s="168">
        <f t="shared" si="26"/>
        <v>-1108.5284899999999</v>
      </c>
      <c r="H65" s="168">
        <f t="shared" si="26"/>
        <v>-363.92296000000005</v>
      </c>
      <c r="I65" s="168">
        <f t="shared" si="27"/>
        <v>0</v>
      </c>
      <c r="J65" s="168">
        <f t="shared" si="28"/>
        <v>136.47110999999998</v>
      </c>
      <c r="K65" s="168">
        <f t="shared" si="29"/>
        <v>-4875.2521899999992</v>
      </c>
      <c r="N65" s="168"/>
    </row>
    <row r="66" spans="1:14">
      <c r="A66" s="180" t="s">
        <v>134</v>
      </c>
      <c r="C66" s="168">
        <f t="shared" si="23"/>
        <v>0</v>
      </c>
      <c r="D66" s="168">
        <f t="shared" si="30"/>
        <v>-83989.143360000002</v>
      </c>
      <c r="E66" s="168">
        <f t="shared" si="24"/>
        <v>89.994399999999999</v>
      </c>
      <c r="F66" s="168">
        <f t="shared" si="25"/>
        <v>0</v>
      </c>
      <c r="G66" s="168">
        <f t="shared" si="26"/>
        <v>823.44875999999999</v>
      </c>
      <c r="H66" s="168">
        <f t="shared" si="26"/>
        <v>247.48460000000003</v>
      </c>
      <c r="I66" s="168">
        <f t="shared" si="27"/>
        <v>0</v>
      </c>
      <c r="J66" s="168">
        <f t="shared" si="28"/>
        <v>-132.74173999999999</v>
      </c>
      <c r="K66" s="168">
        <f t="shared" si="29"/>
        <v>-82960.957340000008</v>
      </c>
      <c r="N66" s="168"/>
    </row>
    <row r="67" spans="1:14">
      <c r="A67" s="180" t="s">
        <v>135</v>
      </c>
      <c r="C67" s="168">
        <f t="shared" si="23"/>
        <v>75.651569999999992</v>
      </c>
      <c r="D67" s="168">
        <f>D50*G8</f>
        <v>-1683.2952</v>
      </c>
      <c r="E67" s="168">
        <f t="shared" si="24"/>
        <v>-37.358800000000002</v>
      </c>
      <c r="F67" s="168">
        <f t="shared" si="25"/>
        <v>0</v>
      </c>
      <c r="G67" s="168">
        <f t="shared" si="26"/>
        <v>-341.83302000000003</v>
      </c>
      <c r="H67" s="168">
        <f t="shared" si="26"/>
        <v>-102.73670000000001</v>
      </c>
      <c r="I67" s="168">
        <f t="shared" si="27"/>
        <v>0</v>
      </c>
      <c r="J67" s="168">
        <f t="shared" si="28"/>
        <v>55.104230000000001</v>
      </c>
      <c r="K67" s="168">
        <f t="shared" si="29"/>
        <v>-2034.46792</v>
      </c>
      <c r="N67" s="168"/>
    </row>
    <row r="68" spans="1:14">
      <c r="A68" s="180" t="s">
        <v>136</v>
      </c>
      <c r="C68" s="168">
        <f t="shared" ref="C68:J68" si="31">$H9*C51+$H10*C52</f>
        <v>0</v>
      </c>
      <c r="D68" s="168">
        <f>D51*(G9+G10)</f>
        <v>-87462.992040000012</v>
      </c>
      <c r="E68" s="168">
        <f t="shared" si="31"/>
        <v>0</v>
      </c>
      <c r="F68" s="168">
        <f t="shared" si="31"/>
        <v>0</v>
      </c>
      <c r="G68" s="168">
        <f t="shared" si="31"/>
        <v>3808.1315199999999</v>
      </c>
      <c r="H68" s="168">
        <f t="shared" si="31"/>
        <v>1132.5908399999998</v>
      </c>
      <c r="I68" s="168">
        <f t="shared" si="31"/>
        <v>0</v>
      </c>
      <c r="J68" s="168">
        <f t="shared" si="31"/>
        <v>-935.61851999999999</v>
      </c>
      <c r="K68" s="168">
        <f t="shared" si="29"/>
        <v>-83457.888200000016</v>
      </c>
      <c r="N68" s="168"/>
    </row>
    <row r="69" spans="1:14">
      <c r="A69" s="180" t="s">
        <v>180</v>
      </c>
      <c r="C69" s="168">
        <f>$H11*C53</f>
        <v>0</v>
      </c>
      <c r="D69" s="168">
        <f t="shared" si="30"/>
        <v>0</v>
      </c>
      <c r="E69" s="168">
        <f t="shared" ref="C69:F71" si="32">$H11*E53</f>
        <v>0</v>
      </c>
      <c r="F69" s="168">
        <f t="shared" si="32"/>
        <v>0</v>
      </c>
      <c r="G69" s="168">
        <f t="shared" ref="G69:H71" si="33">($H11*G53)</f>
        <v>0</v>
      </c>
      <c r="H69" s="168">
        <f t="shared" si="33"/>
        <v>0</v>
      </c>
      <c r="I69" s="168">
        <f t="shared" ref="I69:J71" si="34">$H11*I53</f>
        <v>0</v>
      </c>
      <c r="J69" s="168">
        <f t="shared" si="34"/>
        <v>0</v>
      </c>
      <c r="K69" s="168">
        <f t="shared" si="29"/>
        <v>0</v>
      </c>
      <c r="N69" s="168"/>
    </row>
    <row r="70" spans="1:14">
      <c r="A70" s="180" t="s">
        <v>137</v>
      </c>
      <c r="C70" s="168">
        <f t="shared" si="32"/>
        <v>0</v>
      </c>
      <c r="D70" s="168">
        <f t="shared" si="30"/>
        <v>0</v>
      </c>
      <c r="E70" s="168">
        <f t="shared" si="32"/>
        <v>850.01280000000008</v>
      </c>
      <c r="F70" s="168">
        <f t="shared" si="32"/>
        <v>0</v>
      </c>
      <c r="G70" s="168">
        <f t="shared" si="33"/>
        <v>7246.3591200000001</v>
      </c>
      <c r="H70" s="168">
        <f t="shared" si="33"/>
        <v>2040.03072</v>
      </c>
      <c r="I70" s="168">
        <f t="shared" si="34"/>
        <v>0</v>
      </c>
      <c r="J70" s="168">
        <f t="shared" si="34"/>
        <v>-1296.2695200000001</v>
      </c>
      <c r="K70" s="168">
        <f t="shared" si="29"/>
        <v>8840.1331200000004</v>
      </c>
      <c r="N70" s="168"/>
    </row>
    <row r="71" spans="1:14">
      <c r="A71" s="180" t="s">
        <v>138</v>
      </c>
      <c r="C71" s="168">
        <f t="shared" si="32"/>
        <v>-75.201209999999989</v>
      </c>
      <c r="D71" s="168">
        <f t="shared" si="30"/>
        <v>-6250.9083000000001</v>
      </c>
      <c r="E71" s="168">
        <f t="shared" si="32"/>
        <v>37.136400000000002</v>
      </c>
      <c r="F71" s="168">
        <f t="shared" si="32"/>
        <v>0</v>
      </c>
      <c r="G71" s="168">
        <f t="shared" si="33"/>
        <v>316.58780999999999</v>
      </c>
      <c r="H71" s="168">
        <f t="shared" si="33"/>
        <v>89.127359999999996</v>
      </c>
      <c r="I71" s="168">
        <f t="shared" si="34"/>
        <v>0</v>
      </c>
      <c r="J71" s="168">
        <f t="shared" si="34"/>
        <v>-56.633009999999999</v>
      </c>
      <c r="K71" s="168">
        <f t="shared" si="29"/>
        <v>-5939.8909499999991</v>
      </c>
      <c r="N71" s="168"/>
    </row>
    <row r="72" spans="1:14">
      <c r="A72" s="180" t="s">
        <v>192</v>
      </c>
      <c r="C72" s="168">
        <f>($H14+$H15)*C56+$H16*C57</f>
        <v>0</v>
      </c>
      <c r="D72" s="168">
        <f t="shared" si="30"/>
        <v>-356.4314</v>
      </c>
      <c r="E72" s="168">
        <f>($H14+$H15)*E56+$H16*E57</f>
        <v>0</v>
      </c>
      <c r="F72" s="168">
        <f>($H14+$H15)*F56+$H16*F57</f>
        <v>0</v>
      </c>
      <c r="G72" s="168">
        <f>($H14+$H15)*G56+$H16*G57</f>
        <v>0</v>
      </c>
      <c r="H72" s="168"/>
      <c r="I72" s="168">
        <f>($H14+$H15)*I56+$H16*I57</f>
        <v>0</v>
      </c>
      <c r="J72" s="168">
        <f>($H14+$H15)*J56+$H16*J57</f>
        <v>0</v>
      </c>
      <c r="K72" s="168">
        <f t="shared" si="29"/>
        <v>-356.4314</v>
      </c>
    </row>
    <row r="73" spans="1:14">
      <c r="A73" s="157"/>
      <c r="C73" s="193">
        <f t="shared" ref="C73:J73" si="35">SUM(C62:C72)</f>
        <v>5190.4524600000004</v>
      </c>
      <c r="D73" s="193">
        <f>SUM(D62:D72)</f>
        <v>-337130.49450000003</v>
      </c>
      <c r="E73" s="193">
        <f t="shared" si="35"/>
        <v>-26752.765350000001</v>
      </c>
      <c r="F73" s="193">
        <f t="shared" si="35"/>
        <v>1202.1443100000001</v>
      </c>
      <c r="G73" s="193">
        <f t="shared" si="35"/>
        <v>-12201.148689999995</v>
      </c>
      <c r="H73" s="193">
        <f t="shared" si="35"/>
        <v>-4000.9199299999996</v>
      </c>
      <c r="I73" s="193">
        <f t="shared" si="35"/>
        <v>0</v>
      </c>
      <c r="J73" s="193">
        <f t="shared" si="35"/>
        <v>1498.7304299999998</v>
      </c>
      <c r="K73" s="193">
        <f>SUM(K62:K72)</f>
        <v>-372194.00126999995</v>
      </c>
    </row>
    <row r="74" spans="1:14" ht="15.75" customHeight="1"/>
    <row r="75" spans="1:14">
      <c r="A75" s="152" t="s">
        <v>19</v>
      </c>
      <c r="B75" s="152"/>
      <c r="C75" s="168">
        <f t="shared" ref="C75:J75" si="36">C62+C63</f>
        <v>4996.0694700000004</v>
      </c>
      <c r="D75" s="168">
        <f t="shared" si="36"/>
        <v>-111791.92251999999</v>
      </c>
      <c r="E75" s="168">
        <f t="shared" si="36"/>
        <v>-27447.542150000001</v>
      </c>
      <c r="F75" s="168">
        <f t="shared" si="36"/>
        <v>1202.1443100000001</v>
      </c>
      <c r="G75" s="168">
        <f t="shared" si="36"/>
        <v>-21217.875279999997</v>
      </c>
      <c r="H75" s="168">
        <f t="shared" si="36"/>
        <v>-6476.3863499999989</v>
      </c>
      <c r="I75" s="168">
        <f t="shared" si="36"/>
        <v>0</v>
      </c>
      <c r="J75" s="168">
        <f t="shared" si="36"/>
        <v>3515.7525900000001</v>
      </c>
      <c r="K75" s="168">
        <f>K62+K63</f>
        <v>-157219.75992999997</v>
      </c>
    </row>
    <row r="76" spans="1:14">
      <c r="A76" s="152"/>
      <c r="B76" s="152"/>
      <c r="C76" s="168"/>
      <c r="D76" s="168"/>
      <c r="E76" s="168"/>
      <c r="F76" s="168"/>
      <c r="G76" s="168"/>
      <c r="H76" s="168"/>
      <c r="I76" s="168"/>
      <c r="J76" s="168"/>
      <c r="K76" s="168"/>
    </row>
    <row r="77" spans="1:14">
      <c r="A77" s="152" t="s">
        <v>184</v>
      </c>
      <c r="B77" s="152"/>
      <c r="C77" s="176">
        <f t="shared" ref="C77:J77" si="37">SUM(C64:C67,C69:C71)</f>
        <v>194.38299000000001</v>
      </c>
      <c r="D77" s="176">
        <f>SUM(D64:D67,D69:D71)</f>
        <v>-137519.14853999999</v>
      </c>
      <c r="E77" s="176">
        <f>SUM(E64:E67,E69:E71)</f>
        <v>694.77680000000009</v>
      </c>
      <c r="F77" s="176">
        <f>SUM(F64:F67,F69:F71)</f>
        <v>0</v>
      </c>
      <c r="G77" s="176">
        <f t="shared" si="37"/>
        <v>5208.5950700000003</v>
      </c>
      <c r="H77" s="176">
        <f t="shared" si="37"/>
        <v>1342.8755799999999</v>
      </c>
      <c r="I77" s="176">
        <f t="shared" si="37"/>
        <v>0</v>
      </c>
      <c r="J77" s="176">
        <f t="shared" si="37"/>
        <v>-1081.40364</v>
      </c>
      <c r="K77" s="176">
        <f>SUM(K64:K67,K69:K71)</f>
        <v>-131159.92173999999</v>
      </c>
    </row>
    <row r="78" spans="1:14" ht="15.75" customHeight="1"/>
    <row r="79" spans="1:14" ht="14.4">
      <c r="A79" s="151" t="s">
        <v>215</v>
      </c>
      <c r="B79" s="151"/>
      <c r="C79" s="151"/>
      <c r="D79" s="151"/>
      <c r="E79" s="151"/>
      <c r="F79" s="151"/>
    </row>
    <row r="80" spans="1:14" ht="14.4">
      <c r="A80" s="151" t="s">
        <v>223</v>
      </c>
      <c r="B80" s="151"/>
      <c r="C80" s="151"/>
      <c r="D80" s="151"/>
      <c r="E80" s="151"/>
      <c r="F80" s="151"/>
    </row>
    <row r="81" spans="1:14" ht="14.4">
      <c r="A81" s="170" t="s">
        <v>222</v>
      </c>
      <c r="B81" s="170"/>
      <c r="C81" s="170"/>
      <c r="D81" s="170"/>
      <c r="E81" s="170"/>
      <c r="F81" s="151"/>
    </row>
    <row r="82" spans="1:14" ht="28.2" customHeight="1">
      <c r="A82" s="170"/>
      <c r="B82" s="197" t="s">
        <v>216</v>
      </c>
      <c r="C82" s="197" t="s">
        <v>217</v>
      </c>
      <c r="D82" s="197" t="s">
        <v>218</v>
      </c>
      <c r="E82" s="197" t="s">
        <v>221</v>
      </c>
      <c r="F82" s="151"/>
      <c r="G82" s="403" t="s">
        <v>313</v>
      </c>
      <c r="H82" s="403"/>
      <c r="I82" s="403"/>
      <c r="J82" s="403"/>
      <c r="M82" s="200"/>
      <c r="N82" s="200"/>
    </row>
    <row r="83" spans="1:14" ht="14.4">
      <c r="A83" s="170" t="s">
        <v>311</v>
      </c>
      <c r="B83" s="198">
        <v>1</v>
      </c>
      <c r="C83" s="199">
        <v>896023</v>
      </c>
      <c r="D83" s="200">
        <f>76880.5-C83*SUM(K51)</f>
        <v>75016.772159999993</v>
      </c>
      <c r="E83" s="200">
        <f>500*B83</f>
        <v>500</v>
      </c>
      <c r="F83" s="201" t="s">
        <v>219</v>
      </c>
      <c r="H83" s="198"/>
      <c r="I83" s="199"/>
      <c r="J83" s="200"/>
      <c r="K83" s="200"/>
      <c r="L83" s="201"/>
    </row>
    <row r="84" spans="1:14" ht="14.4" customHeight="1">
      <c r="A84" s="202" t="s">
        <v>258</v>
      </c>
      <c r="B84" s="203">
        <f>SUM(B83:B83)</f>
        <v>1</v>
      </c>
      <c r="C84" s="204">
        <f>SUM(C83:C83)</f>
        <v>896023</v>
      </c>
      <c r="D84" s="205">
        <f>SUM(D83:D83)</f>
        <v>75016.772159999993</v>
      </c>
      <c r="E84" s="205">
        <f>SUM(E83:E83)</f>
        <v>500</v>
      </c>
      <c r="F84" s="151"/>
    </row>
    <row r="85" spans="1:14" ht="9" customHeight="1">
      <c r="A85" s="170"/>
      <c r="B85" s="170"/>
      <c r="C85" s="170"/>
      <c r="D85" s="170"/>
      <c r="E85" s="170"/>
      <c r="F85" s="151"/>
    </row>
    <row r="86" spans="1:14" ht="14.4">
      <c r="A86" s="206"/>
      <c r="B86" s="206"/>
      <c r="C86" s="206"/>
      <c r="D86" s="206"/>
      <c r="E86" s="151"/>
      <c r="F86" s="151"/>
    </row>
    <row r="87" spans="1:14" ht="15.75" customHeight="1"/>
    <row r="88" spans="1:14" ht="15.75" customHeight="1"/>
    <row r="89" spans="1:14" ht="15.75" customHeight="1"/>
  </sheetData>
  <mergeCells count="3">
    <mergeCell ref="A1:I1"/>
    <mergeCell ref="H56:H57"/>
    <mergeCell ref="G82:J82"/>
  </mergeCells>
  <printOptions horizontalCentered="1"/>
  <pageMargins left="0.45" right="0.45" top="0.5" bottom="0.5" header="0.3" footer="0.3"/>
  <pageSetup scale="74" orientation="landscape" r:id="rId1"/>
  <headerFooter>
    <oddFooter>&amp;L&amp;F / &amp;A&amp;RPage &amp;P</oddFooter>
  </headerFooter>
  <rowBreaks count="1" manualBreakCount="1">
    <brk id="41" max="16383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</sheetPr>
  <dimension ref="A1:AE86"/>
  <sheetViews>
    <sheetView workbookViewId="0">
      <selection sqref="A1:I1"/>
    </sheetView>
  </sheetViews>
  <sheetFormatPr defaultColWidth="9.109375" defaultRowHeight="15.75" customHeight="1"/>
  <cols>
    <col min="1" max="1" width="13.6640625" style="1" customWidth="1"/>
    <col min="2" max="2" width="10.109375" style="1" customWidth="1"/>
    <col min="3" max="3" width="17.44140625" style="1" customWidth="1"/>
    <col min="4" max="4" width="20.6640625" style="1" bestFit="1" customWidth="1"/>
    <col min="5" max="5" width="16.109375" style="1" customWidth="1"/>
    <col min="6" max="6" width="15.6640625" style="1" bestFit="1" customWidth="1"/>
    <col min="7" max="7" width="19" style="1" bestFit="1" customWidth="1"/>
    <col min="8" max="8" width="13.6640625" style="1" bestFit="1" customWidth="1"/>
    <col min="9" max="9" width="19.88671875" style="1" bestFit="1" customWidth="1"/>
    <col min="10" max="10" width="14.109375" style="1" customWidth="1"/>
    <col min="11" max="11" width="13.109375" style="1" customWidth="1"/>
    <col min="12" max="12" width="13.5546875" style="1" bestFit="1" customWidth="1"/>
    <col min="13" max="13" width="14.6640625" style="1" customWidth="1"/>
    <col min="14" max="14" width="2.6640625" style="1" customWidth="1"/>
    <col min="15" max="15" width="13.44140625" style="1" customWidth="1"/>
    <col min="16" max="16" width="13.33203125" style="1" customWidth="1"/>
    <col min="17" max="17" width="13" style="1" customWidth="1"/>
    <col min="18" max="18" width="10.109375" style="1" customWidth="1"/>
    <col min="19" max="19" width="12.33203125" style="1" customWidth="1"/>
    <col min="20" max="20" width="14.33203125" style="1" customWidth="1"/>
    <col min="21" max="21" width="11" style="1" customWidth="1"/>
    <col min="22" max="22" width="15.5546875" style="1" customWidth="1"/>
    <col min="23" max="23" width="1.6640625" style="1" customWidth="1"/>
    <col min="24" max="24" width="16.109375" style="1" customWidth="1"/>
    <col min="25" max="25" width="2" style="1" customWidth="1"/>
    <col min="26" max="26" width="14.33203125" style="1" customWidth="1"/>
    <col min="27" max="27" width="12.33203125" style="1" customWidth="1"/>
    <col min="28" max="28" width="14.109375" style="1" customWidth="1"/>
    <col min="29" max="29" width="15.6640625" style="1" customWidth="1"/>
    <col min="30" max="30" width="16.6640625" style="1" customWidth="1"/>
    <col min="31" max="16384" width="9.109375" style="1"/>
  </cols>
  <sheetData>
    <row r="1" spans="1:31" ht="14.4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M1" s="151" t="s">
        <v>234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 t="s">
        <v>235</v>
      </c>
      <c r="AA1" s="224" t="s">
        <v>39</v>
      </c>
      <c r="AB1" s="151"/>
      <c r="AC1" s="151" t="s">
        <v>237</v>
      </c>
      <c r="AD1" s="224" t="s">
        <v>83</v>
      </c>
      <c r="AE1" s="151"/>
    </row>
    <row r="2" spans="1:31" ht="42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M2" s="151"/>
      <c r="N2" s="151"/>
      <c r="O2" s="213" t="str">
        <f>AA1&amp;" Billed Schedule 75 Revenue"</f>
        <v>May Billed Schedule 75 Revenue</v>
      </c>
      <c r="P2" s="213" t="str">
        <f>AA1&amp;" Billed kWhs"</f>
        <v>May Billed kWhs</v>
      </c>
      <c r="Q2" s="213" t="str">
        <f>AA1&amp;" Unbilled kWhs"</f>
        <v>May Unbilled kWhs</v>
      </c>
      <c r="R2" s="213" t="s">
        <v>238</v>
      </c>
      <c r="S2" s="213" t="s">
        <v>239</v>
      </c>
      <c r="T2" s="213" t="str">
        <f>AD1&amp;" Unbilled kWhs reversal"</f>
        <v>April Unbilled kWhs reversal</v>
      </c>
      <c r="U2" s="213" t="s">
        <v>238</v>
      </c>
      <c r="V2" s="213" t="str">
        <f>AD1&amp;" Schedule 75 Unbilled Reversal"</f>
        <v>April Schedule 75 Unbilled Reversal</v>
      </c>
      <c r="W2" s="151"/>
      <c r="X2" s="213" t="str">
        <f>"Total "&amp;AA1&amp;" Schedule 75 Revenue"</f>
        <v>Total May Schedule 75 Revenue</v>
      </c>
      <c r="Y2" s="151"/>
      <c r="Z2" s="213" t="str">
        <f>"Calendar "&amp;AA1&amp;" Usage"</f>
        <v>Calendar May Usage</v>
      </c>
      <c r="AA2" s="213" t="str">
        <f>R2</f>
        <v>11/1/2017 rate</v>
      </c>
      <c r="AB2" s="213" t="s">
        <v>240</v>
      </c>
      <c r="AC2" s="213" t="s">
        <v>241</v>
      </c>
      <c r="AD2" s="213" t="str">
        <f>"implied "&amp;AD1&amp;" unbilled/Cancel-Rebill True-up kWhs"</f>
        <v>implied April unbilled/Cancel-Rebill True-up kWhs</v>
      </c>
      <c r="AE2" s="151"/>
    </row>
    <row r="3" spans="1:31" ht="15" customHeight="1">
      <c r="A3" s="180" t="s">
        <v>131</v>
      </c>
      <c r="B3" s="152"/>
      <c r="C3" s="158">
        <v>214700</v>
      </c>
      <c r="D3" s="282">
        <f t="shared" ref="D3:D8" si="0">E3/(SUM($E$3:$E$8,$E$11:$E$13))</f>
        <v>0.48429964286705263</v>
      </c>
      <c r="E3" s="182">
        <v>159351282.44622001</v>
      </c>
      <c r="F3" s="182">
        <v>-96562318</v>
      </c>
      <c r="G3" s="182">
        <v>84716237</v>
      </c>
      <c r="H3" s="189">
        <f>SUM(F3:G3)</f>
        <v>-11846081</v>
      </c>
      <c r="I3" s="159">
        <f>E3+H3</f>
        <v>147505201.44622001</v>
      </c>
      <c r="J3" s="282"/>
      <c r="M3" s="151" t="s">
        <v>242</v>
      </c>
      <c r="N3" s="151"/>
      <c r="O3" s="214">
        <v>709133.24</v>
      </c>
      <c r="P3" s="225">
        <f t="shared" ref="P3:P8" si="1">E3</f>
        <v>159351282.44622001</v>
      </c>
      <c r="Q3" s="225">
        <f t="shared" ref="Q3:Q8" si="2">G3</f>
        <v>84716237</v>
      </c>
      <c r="R3" s="206">
        <v>4.45E-3</v>
      </c>
      <c r="S3" s="215">
        <f>Q3*R3</f>
        <v>376987.25465000002</v>
      </c>
      <c r="T3" s="225">
        <f t="shared" ref="T3:T8" si="3">F3</f>
        <v>-96562318</v>
      </c>
      <c r="U3" s="206">
        <v>4.45E-3</v>
      </c>
      <c r="V3" s="216">
        <f>T3*U3</f>
        <v>-429702.31510000001</v>
      </c>
      <c r="W3" s="151"/>
      <c r="X3" s="150">
        <f>O3+S3+V3</f>
        <v>656418.17955</v>
      </c>
      <c r="Y3" s="151"/>
      <c r="Z3" s="95">
        <f>P3+Q3+T3</f>
        <v>147505201.44622001</v>
      </c>
      <c r="AA3" s="170">
        <f>R3</f>
        <v>4.45E-3</v>
      </c>
      <c r="AB3" s="217">
        <f>Z3*AA3</f>
        <v>656398.14643567905</v>
      </c>
      <c r="AC3" s="150">
        <f>X3-AB3</f>
        <v>20.033114320947789</v>
      </c>
      <c r="AD3" s="95">
        <f>AC3/AA3</f>
        <v>4501.8234429096156</v>
      </c>
      <c r="AE3" s="218">
        <f>AC3/X3</f>
        <v>3.0518829223592286E-5</v>
      </c>
    </row>
    <row r="4" spans="1:31" ht="14.4">
      <c r="A4" s="180" t="s">
        <v>178</v>
      </c>
      <c r="B4" s="152"/>
      <c r="C4" s="158">
        <v>399</v>
      </c>
      <c r="D4" s="282">
        <f t="shared" si="0"/>
        <v>1.0201369785927581E-3</v>
      </c>
      <c r="E4" s="182">
        <v>335660.24300000002</v>
      </c>
      <c r="F4" s="182">
        <v>-214941</v>
      </c>
      <c r="G4" s="182">
        <v>178456</v>
      </c>
      <c r="H4" s="189">
        <f t="shared" ref="H4:H16" si="4">SUM(F4:G4)</f>
        <v>-36485</v>
      </c>
      <c r="I4" s="159">
        <f t="shared" ref="I4:I16" si="5">E4+H4</f>
        <v>299175.24300000002</v>
      </c>
      <c r="J4" s="282"/>
      <c r="M4" s="151" t="s">
        <v>243</v>
      </c>
      <c r="N4" s="151"/>
      <c r="O4" s="214">
        <v>1493.82</v>
      </c>
      <c r="P4" s="225">
        <f t="shared" si="1"/>
        <v>335660.24300000002</v>
      </c>
      <c r="Q4" s="225">
        <f t="shared" si="2"/>
        <v>178456</v>
      </c>
      <c r="R4" s="206">
        <v>4.45E-3</v>
      </c>
      <c r="S4" s="215">
        <f>Q4*R4</f>
        <v>794.12919999999997</v>
      </c>
      <c r="T4" s="225">
        <f t="shared" si="3"/>
        <v>-214941</v>
      </c>
      <c r="U4" s="206">
        <v>4.45E-3</v>
      </c>
      <c r="V4" s="216">
        <f t="shared" ref="V4:V11" si="6">T4*U4</f>
        <v>-956.48744999999997</v>
      </c>
      <c r="W4" s="151"/>
      <c r="X4" s="150">
        <f t="shared" ref="X4:X11" si="7">O4+S4+V4</f>
        <v>1331.4617499999999</v>
      </c>
      <c r="Y4" s="151"/>
      <c r="Z4" s="95">
        <f t="shared" ref="Z4:Z11" si="8">P4+Q4+T4</f>
        <v>299175.24300000002</v>
      </c>
      <c r="AA4" s="170">
        <f t="shared" ref="AA4:AA11" si="9">R4</f>
        <v>4.45E-3</v>
      </c>
      <c r="AB4" s="217">
        <f t="shared" ref="AB4:AB11" si="10">Z4*AA4</f>
        <v>1331.3298313500002</v>
      </c>
      <c r="AC4" s="150">
        <f t="shared" ref="AC4:AC11" si="11">X4-AB4</f>
        <v>0.13191864999976133</v>
      </c>
      <c r="AD4" s="95">
        <f t="shared" ref="AD4:AD11" si="12">AC4/AA4</f>
        <v>29.644640449384568</v>
      </c>
      <c r="AE4" s="218">
        <f t="shared" ref="AE4:AE12" si="13">AC4/X4</f>
        <v>9.9078062137167159E-5</v>
      </c>
    </row>
    <row r="5" spans="1:31" ht="14.4">
      <c r="A5" s="180" t="s">
        <v>132</v>
      </c>
      <c r="B5" s="152"/>
      <c r="C5" s="158">
        <v>22741</v>
      </c>
      <c r="D5" s="282">
        <f t="shared" si="0"/>
        <v>0.13025583513233255</v>
      </c>
      <c r="E5" s="182">
        <v>42858661.327030003</v>
      </c>
      <c r="F5" s="182">
        <v>-22407616</v>
      </c>
      <c r="G5" s="182">
        <v>22691377</v>
      </c>
      <c r="H5" s="189">
        <f t="shared" si="4"/>
        <v>283761</v>
      </c>
      <c r="I5" s="159">
        <f t="shared" si="5"/>
        <v>43142422.327030003</v>
      </c>
      <c r="J5" s="282"/>
      <c r="M5" s="151" t="s">
        <v>244</v>
      </c>
      <c r="N5" s="151"/>
      <c r="O5" s="214">
        <v>17313.95</v>
      </c>
      <c r="P5" s="225">
        <f t="shared" si="1"/>
        <v>42858661.327030003</v>
      </c>
      <c r="Q5" s="225">
        <f t="shared" si="2"/>
        <v>22691377</v>
      </c>
      <c r="R5" s="219">
        <v>4.0000000000000002E-4</v>
      </c>
      <c r="S5" s="215">
        <f>Q5*R5</f>
        <v>9076.5508000000009</v>
      </c>
      <c r="T5" s="225">
        <f t="shared" si="3"/>
        <v>-22407616</v>
      </c>
      <c r="U5" s="219">
        <v>4.0000000000000002E-4</v>
      </c>
      <c r="V5" s="216">
        <f t="shared" si="6"/>
        <v>-8963.0464000000011</v>
      </c>
      <c r="W5" s="151"/>
      <c r="X5" s="150">
        <f t="shared" si="7"/>
        <v>17427.454400000002</v>
      </c>
      <c r="Y5" s="151"/>
      <c r="Z5" s="95">
        <f t="shared" si="8"/>
        <v>43142422.327030003</v>
      </c>
      <c r="AA5" s="220">
        <f t="shared" si="9"/>
        <v>4.0000000000000002E-4</v>
      </c>
      <c r="AB5" s="217">
        <f t="shared" si="10"/>
        <v>17256.968930812003</v>
      </c>
      <c r="AC5" s="150">
        <f t="shared" si="11"/>
        <v>170.48546918799912</v>
      </c>
      <c r="AD5" s="95">
        <f t="shared" si="12"/>
        <v>426213.67296999774</v>
      </c>
      <c r="AE5" s="218">
        <f t="shared" si="13"/>
        <v>9.7825801333325593E-3</v>
      </c>
    </row>
    <row r="6" spans="1:31" ht="14.4">
      <c r="A6" s="180" t="s">
        <v>133</v>
      </c>
      <c r="B6" s="152"/>
      <c r="C6" s="158">
        <v>9435</v>
      </c>
      <c r="D6" s="282">
        <f t="shared" si="0"/>
        <v>1.2428872827769505E-2</v>
      </c>
      <c r="E6" s="182">
        <v>4089527.74101</v>
      </c>
      <c r="F6" s="182">
        <v>-2552426</v>
      </c>
      <c r="G6" s="182">
        <v>2174229</v>
      </c>
      <c r="H6" s="189">
        <f t="shared" si="4"/>
        <v>-378197</v>
      </c>
      <c r="I6" s="159">
        <f t="shared" si="5"/>
        <v>3711330.74101</v>
      </c>
      <c r="J6" s="282"/>
      <c r="M6" s="151" t="s">
        <v>245</v>
      </c>
      <c r="N6" s="151"/>
      <c r="O6" s="214">
        <v>1635</v>
      </c>
      <c r="P6" s="225">
        <f t="shared" si="1"/>
        <v>4089527.74101</v>
      </c>
      <c r="Q6" s="225">
        <f t="shared" si="2"/>
        <v>2174229</v>
      </c>
      <c r="R6" s="219">
        <v>4.0000000000000002E-4</v>
      </c>
      <c r="S6" s="215">
        <f t="shared" ref="S6:S11" si="14">Q6*R6</f>
        <v>869.69159999999999</v>
      </c>
      <c r="T6" s="225">
        <f t="shared" si="3"/>
        <v>-2552426</v>
      </c>
      <c r="U6" s="219">
        <v>4.0000000000000002E-4</v>
      </c>
      <c r="V6" s="216">
        <f t="shared" si="6"/>
        <v>-1020.9704</v>
      </c>
      <c r="W6" s="151"/>
      <c r="X6" s="150">
        <f t="shared" si="7"/>
        <v>1483.7212</v>
      </c>
      <c r="Y6" s="151"/>
      <c r="Z6" s="95">
        <f t="shared" si="8"/>
        <v>3711330.74101</v>
      </c>
      <c r="AA6" s="220">
        <f t="shared" si="9"/>
        <v>4.0000000000000002E-4</v>
      </c>
      <c r="AB6" s="217">
        <f t="shared" si="10"/>
        <v>1484.5322964040001</v>
      </c>
      <c r="AC6" s="150">
        <f t="shared" si="11"/>
        <v>-0.81109640400018179</v>
      </c>
      <c r="AD6" s="95">
        <f t="shared" si="12"/>
        <v>-2027.7410100004545</v>
      </c>
      <c r="AE6" s="218">
        <f t="shared" si="13"/>
        <v>-5.4666362117100024E-4</v>
      </c>
    </row>
    <row r="7" spans="1:31" ht="14.4">
      <c r="A7" s="180" t="s">
        <v>134</v>
      </c>
      <c r="B7" s="152"/>
      <c r="C7" s="158">
        <v>1856</v>
      </c>
      <c r="D7" s="282">
        <f t="shared" si="0"/>
        <v>0.33400403536266177</v>
      </c>
      <c r="E7" s="182">
        <v>109898844.984</v>
      </c>
      <c r="F7" s="182">
        <v>-53278541</v>
      </c>
      <c r="G7" s="182">
        <v>58100808</v>
      </c>
      <c r="H7" s="189">
        <f t="shared" si="4"/>
        <v>4822267</v>
      </c>
      <c r="I7" s="159">
        <f t="shared" si="5"/>
        <v>114721111.984</v>
      </c>
      <c r="J7" s="282"/>
      <c r="M7" s="151" t="s">
        <v>246</v>
      </c>
      <c r="N7" s="151"/>
      <c r="O7" s="214">
        <v>43959.45</v>
      </c>
      <c r="P7" s="225">
        <f t="shared" si="1"/>
        <v>109898844.984</v>
      </c>
      <c r="Q7" s="225">
        <f t="shared" si="2"/>
        <v>58100808</v>
      </c>
      <c r="R7" s="219">
        <v>4.0000000000000002E-4</v>
      </c>
      <c r="S7" s="215">
        <f t="shared" si="14"/>
        <v>23240.323200000003</v>
      </c>
      <c r="T7" s="225">
        <f t="shared" si="3"/>
        <v>-53278541</v>
      </c>
      <c r="U7" s="219">
        <v>4.0000000000000002E-4</v>
      </c>
      <c r="V7" s="216">
        <f t="shared" si="6"/>
        <v>-21311.416400000002</v>
      </c>
      <c r="W7" s="151"/>
      <c r="X7" s="150">
        <f t="shared" si="7"/>
        <v>45888.356799999994</v>
      </c>
      <c r="Y7" s="151"/>
      <c r="Z7" s="95">
        <f t="shared" si="8"/>
        <v>114721111.984</v>
      </c>
      <c r="AA7" s="220">
        <f t="shared" si="9"/>
        <v>4.0000000000000002E-4</v>
      </c>
      <c r="AB7" s="217">
        <f t="shared" si="10"/>
        <v>45888.4447936</v>
      </c>
      <c r="AC7" s="150">
        <f t="shared" si="11"/>
        <v>-8.799360000557499E-2</v>
      </c>
      <c r="AD7" s="95">
        <f t="shared" si="12"/>
        <v>-219.98400001393748</v>
      </c>
      <c r="AE7" s="218">
        <f t="shared" si="13"/>
        <v>-1.9175583119937519E-6</v>
      </c>
    </row>
    <row r="8" spans="1:31" ht="14.4">
      <c r="A8" s="180" t="s">
        <v>135</v>
      </c>
      <c r="B8" s="152"/>
      <c r="C8" s="158">
        <v>49</v>
      </c>
      <c r="D8" s="282">
        <f t="shared" si="0"/>
        <v>7.2161744895541955E-3</v>
      </c>
      <c r="E8" s="182">
        <v>2374370.2400000002</v>
      </c>
      <c r="F8" s="182">
        <v>-1316515</v>
      </c>
      <c r="G8" s="182">
        <v>1262352</v>
      </c>
      <c r="H8" s="189">
        <f t="shared" si="4"/>
        <v>-54163</v>
      </c>
      <c r="I8" s="159">
        <f t="shared" si="5"/>
        <v>2320207.2400000002</v>
      </c>
      <c r="J8" s="282"/>
      <c r="M8" s="151" t="s">
        <v>247</v>
      </c>
      <c r="N8" s="151"/>
      <c r="O8" s="214">
        <v>949.75</v>
      </c>
      <c r="P8" s="225">
        <f t="shared" si="1"/>
        <v>2374370.2400000002</v>
      </c>
      <c r="Q8" s="225">
        <f t="shared" si="2"/>
        <v>1262352</v>
      </c>
      <c r="R8" s="219">
        <v>4.0000000000000002E-4</v>
      </c>
      <c r="S8" s="215">
        <f t="shared" si="14"/>
        <v>504.94080000000002</v>
      </c>
      <c r="T8" s="225">
        <f t="shared" si="3"/>
        <v>-1316515</v>
      </c>
      <c r="U8" s="219">
        <v>4.0000000000000002E-4</v>
      </c>
      <c r="V8" s="216">
        <f t="shared" si="6"/>
        <v>-526.60599999999999</v>
      </c>
      <c r="W8" s="151"/>
      <c r="X8" s="150">
        <f t="shared" si="7"/>
        <v>928.08480000000009</v>
      </c>
      <c r="Y8" s="151"/>
      <c r="Z8" s="95">
        <f t="shared" si="8"/>
        <v>2320207.2400000002</v>
      </c>
      <c r="AA8" s="220">
        <f t="shared" si="9"/>
        <v>4.0000000000000002E-4</v>
      </c>
      <c r="AB8" s="217">
        <f t="shared" si="10"/>
        <v>928.08289600000012</v>
      </c>
      <c r="AC8" s="150">
        <f t="shared" si="11"/>
        <v>1.9039999999677093E-3</v>
      </c>
      <c r="AD8" s="95">
        <f t="shared" si="12"/>
        <v>4.7599999999192733</v>
      </c>
      <c r="AE8" s="218">
        <f t="shared" si="13"/>
        <v>2.0515366698901966E-6</v>
      </c>
    </row>
    <row r="9" spans="1:31" ht="14.4">
      <c r="A9" s="180" t="s">
        <v>136</v>
      </c>
      <c r="B9" s="152"/>
      <c r="C9" s="158">
        <v>4</v>
      </c>
      <c r="D9" s="194"/>
      <c r="E9" s="182">
        <f>50375927.6-E10</f>
        <v>15517707.600000001</v>
      </c>
      <c r="F9" s="182">
        <v>-14900218</v>
      </c>
      <c r="G9" s="182">
        <f>92404792-G10</f>
        <v>57404792</v>
      </c>
      <c r="H9" s="189">
        <f t="shared" si="4"/>
        <v>42504574</v>
      </c>
      <c r="I9" s="159">
        <f t="shared" si="5"/>
        <v>58022281.600000001</v>
      </c>
      <c r="J9" s="282"/>
      <c r="M9" s="151" t="s">
        <v>248</v>
      </c>
      <c r="N9" s="151"/>
      <c r="O9" s="214">
        <v>1150.21</v>
      </c>
      <c r="P9" s="225">
        <f>E11</f>
        <v>2875569.1579999998</v>
      </c>
      <c r="Q9" s="225">
        <f>G11</f>
        <v>0</v>
      </c>
      <c r="R9" s="219">
        <v>4.0000000000000002E-4</v>
      </c>
      <c r="S9" s="215">
        <f t="shared" si="14"/>
        <v>0</v>
      </c>
      <c r="T9" s="225">
        <f>F11</f>
        <v>0</v>
      </c>
      <c r="U9" s="219">
        <v>4.0000000000000002E-4</v>
      </c>
      <c r="V9" s="216">
        <f t="shared" si="6"/>
        <v>0</v>
      </c>
      <c r="W9" s="151"/>
      <c r="X9" s="150">
        <f t="shared" si="7"/>
        <v>1150.21</v>
      </c>
      <c r="Y9" s="151"/>
      <c r="Z9" s="95">
        <f t="shared" si="8"/>
        <v>2875569.1579999998</v>
      </c>
      <c r="AA9" s="220">
        <f t="shared" si="9"/>
        <v>4.0000000000000002E-4</v>
      </c>
      <c r="AB9" s="217">
        <f t="shared" si="10"/>
        <v>1150.2276632000001</v>
      </c>
      <c r="AC9" s="150">
        <f t="shared" si="11"/>
        <v>-1.7663200000015422E-2</v>
      </c>
      <c r="AD9" s="95">
        <f t="shared" si="12"/>
        <v>-44.158000000038555</v>
      </c>
      <c r="AE9" s="218">
        <f t="shared" si="13"/>
        <v>-1.535650011738328E-5</v>
      </c>
    </row>
    <row r="10" spans="1:31" ht="14.4">
      <c r="A10" s="180" t="s">
        <v>179</v>
      </c>
      <c r="B10" s="152"/>
      <c r="C10" s="158"/>
      <c r="D10" s="194"/>
      <c r="E10" s="182">
        <v>34858220</v>
      </c>
      <c r="F10" s="182">
        <v>-35000000</v>
      </c>
      <c r="G10" s="182">
        <v>35000000</v>
      </c>
      <c r="H10" s="189">
        <f t="shared" si="4"/>
        <v>0</v>
      </c>
      <c r="I10" s="159">
        <f t="shared" si="5"/>
        <v>34858220</v>
      </c>
      <c r="J10" s="282"/>
      <c r="M10" s="151" t="s">
        <v>249</v>
      </c>
      <c r="N10" s="151"/>
      <c r="O10" s="214">
        <v>2653.59</v>
      </c>
      <c r="P10" s="225">
        <f>E12</f>
        <v>6634148.1610099999</v>
      </c>
      <c r="Q10" s="225">
        <f>G12</f>
        <v>2683359</v>
      </c>
      <c r="R10" s="219">
        <v>4.0000000000000002E-4</v>
      </c>
      <c r="S10" s="215">
        <f t="shared" si="14"/>
        <v>1073.3436000000002</v>
      </c>
      <c r="T10" s="225">
        <f>F12</f>
        <v>-1826999</v>
      </c>
      <c r="U10" s="219">
        <v>4.0000000000000002E-4</v>
      </c>
      <c r="V10" s="216">
        <f t="shared" si="6"/>
        <v>-730.79960000000005</v>
      </c>
      <c r="W10" s="151"/>
      <c r="X10" s="150">
        <f>O10+S10+V10</f>
        <v>2996.134</v>
      </c>
      <c r="Y10" s="151"/>
      <c r="Z10" s="95">
        <f t="shared" si="8"/>
        <v>7490508.1610100009</v>
      </c>
      <c r="AA10" s="220">
        <f t="shared" si="9"/>
        <v>4.0000000000000002E-4</v>
      </c>
      <c r="AB10" s="217">
        <f t="shared" si="10"/>
        <v>2996.2032644040005</v>
      </c>
      <c r="AC10" s="150">
        <f t="shared" si="11"/>
        <v>-6.9264404000477953E-2</v>
      </c>
      <c r="AD10" s="95">
        <f t="shared" si="12"/>
        <v>-173.16101000119488</v>
      </c>
      <c r="AE10" s="218">
        <f t="shared" si="13"/>
        <v>-2.3117925967422668E-5</v>
      </c>
    </row>
    <row r="11" spans="1:31" ht="14.4">
      <c r="A11" s="180" t="s">
        <v>180</v>
      </c>
      <c r="B11" s="152"/>
      <c r="C11" s="158">
        <v>50</v>
      </c>
      <c r="D11" s="282">
        <f>E11/(SUM($E$3:$E$8,$E$11:$E$13))</f>
        <v>8.7394158043812217E-3</v>
      </c>
      <c r="E11" s="182">
        <v>2875569.1579999998</v>
      </c>
      <c r="F11" s="182">
        <v>0</v>
      </c>
      <c r="G11" s="182">
        <v>0</v>
      </c>
      <c r="H11" s="189">
        <f t="shared" si="4"/>
        <v>0</v>
      </c>
      <c r="I11" s="159">
        <f t="shared" si="5"/>
        <v>2875569.1579999998</v>
      </c>
      <c r="J11" s="282"/>
      <c r="M11" s="151" t="s">
        <v>250</v>
      </c>
      <c r="N11" s="151"/>
      <c r="O11" s="214">
        <v>246.42</v>
      </c>
      <c r="P11" s="225">
        <f>E13</f>
        <v>616418.36600000004</v>
      </c>
      <c r="Q11" s="225">
        <f>G13</f>
        <v>181337</v>
      </c>
      <c r="R11" s="219">
        <v>4.0000000000000002E-4</v>
      </c>
      <c r="S11" s="215">
        <f t="shared" si="14"/>
        <v>72.534800000000004</v>
      </c>
      <c r="T11" s="225">
        <f>F13</f>
        <v>-107471</v>
      </c>
      <c r="U11" s="219">
        <v>4.0000000000000002E-4</v>
      </c>
      <c r="V11" s="216">
        <f t="shared" si="6"/>
        <v>-42.988399999999999</v>
      </c>
      <c r="W11" s="151"/>
      <c r="X11" s="150">
        <f t="shared" si="7"/>
        <v>275.96639999999996</v>
      </c>
      <c r="Y11" s="151"/>
      <c r="Z11" s="95">
        <f t="shared" si="8"/>
        <v>690284.36600000004</v>
      </c>
      <c r="AA11" s="220">
        <f t="shared" si="9"/>
        <v>4.0000000000000002E-4</v>
      </c>
      <c r="AB11" s="217">
        <f t="shared" si="10"/>
        <v>276.11374640000003</v>
      </c>
      <c r="AC11" s="150">
        <f t="shared" si="11"/>
        <v>-0.14734640000006038</v>
      </c>
      <c r="AD11" s="95">
        <f t="shared" si="12"/>
        <v>-368.36600000015096</v>
      </c>
      <c r="AE11" s="218">
        <f t="shared" si="13"/>
        <v>-5.3392876814010841E-4</v>
      </c>
    </row>
    <row r="12" spans="1:31" ht="14.4">
      <c r="A12" s="180" t="s">
        <v>137</v>
      </c>
      <c r="B12" s="152"/>
      <c r="C12" s="158">
        <v>1203</v>
      </c>
      <c r="D12" s="282">
        <f>E12/(SUM($E$3:$E$8,$E$11:$E$13))</f>
        <v>2.0162470836647295E-2</v>
      </c>
      <c r="E12" s="182">
        <v>6634148.1610099999</v>
      </c>
      <c r="F12" s="182">
        <v>-1826999</v>
      </c>
      <c r="G12" s="182">
        <v>2683359</v>
      </c>
      <c r="H12" s="189">
        <f t="shared" si="4"/>
        <v>856360</v>
      </c>
      <c r="I12" s="159">
        <f t="shared" si="5"/>
        <v>7490508.1610099999</v>
      </c>
      <c r="J12" s="282"/>
      <c r="M12" s="151"/>
      <c r="N12" s="151"/>
      <c r="O12" s="221">
        <f>SUM(O3:O11)</f>
        <v>778535.42999999982</v>
      </c>
      <c r="P12" s="51">
        <f>SUM(P3:P11)</f>
        <v>329034482.66627008</v>
      </c>
      <c r="Q12" s="51">
        <f>SUM(Q3:Q11)</f>
        <v>171988155</v>
      </c>
      <c r="R12" s="151"/>
      <c r="S12" s="221">
        <f>SUM(S3:S11)</f>
        <v>412618.7686500001</v>
      </c>
      <c r="T12" s="51">
        <f>SUM(T3:T11)</f>
        <v>-178266827</v>
      </c>
      <c r="U12" s="151"/>
      <c r="V12" s="221">
        <f>SUM(V3:V11)</f>
        <v>-463254.62975000002</v>
      </c>
      <c r="W12" s="151"/>
      <c r="X12" s="221">
        <f>SUM(X3:X11)</f>
        <v>727899.56889999995</v>
      </c>
      <c r="Y12" s="151"/>
      <c r="Z12" s="51">
        <f>SUM(Z3:Z11)</f>
        <v>322755810.66627008</v>
      </c>
      <c r="AA12" s="151"/>
      <c r="AB12" s="51">
        <f>SUM(AB3:AB11)</f>
        <v>727710.04985784902</v>
      </c>
      <c r="AC12" s="221">
        <f>SUM(AC3:AC11)</f>
        <v>189.51904215094032</v>
      </c>
      <c r="AD12" s="51">
        <f>SUM(AD3:AD11)</f>
        <v>427916.4910333408</v>
      </c>
      <c r="AE12" s="218">
        <f t="shared" si="13"/>
        <v>2.6036427310616633E-4</v>
      </c>
    </row>
    <row r="13" spans="1:31" ht="14.4">
      <c r="A13" s="180" t="s">
        <v>138</v>
      </c>
      <c r="B13" s="152"/>
      <c r="C13" s="158">
        <v>1210</v>
      </c>
      <c r="D13" s="282">
        <f>E13/(SUM($E$3:$E$8,$E$11:$E$13))</f>
        <v>1.8734157010078939E-3</v>
      </c>
      <c r="E13" s="182">
        <v>616418.36600000004</v>
      </c>
      <c r="F13" s="182">
        <v>-107471</v>
      </c>
      <c r="G13" s="182">
        <v>181337</v>
      </c>
      <c r="H13" s="189">
        <f t="shared" si="4"/>
        <v>73866</v>
      </c>
      <c r="I13" s="159">
        <f t="shared" si="5"/>
        <v>690284.36600000004</v>
      </c>
      <c r="J13" s="282"/>
      <c r="M13" s="151"/>
      <c r="N13" s="151"/>
      <c r="O13" s="151"/>
      <c r="P13" s="151"/>
      <c r="Q13" s="151"/>
      <c r="R13" s="151"/>
      <c r="S13" s="151"/>
      <c r="T13" s="151"/>
      <c r="U13" s="222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4">
      <c r="A14" s="180" t="s">
        <v>181</v>
      </c>
      <c r="B14" s="152"/>
      <c r="C14" s="158">
        <v>425</v>
      </c>
      <c r="D14" s="194"/>
      <c r="E14" s="182">
        <v>941379.97799999989</v>
      </c>
      <c r="F14" s="182"/>
      <c r="G14" s="182"/>
      <c r="H14" s="189"/>
      <c r="I14" s="159">
        <f t="shared" si="5"/>
        <v>941379.97799999989</v>
      </c>
      <c r="M14" s="151"/>
      <c r="N14" s="151"/>
      <c r="O14" s="151"/>
      <c r="P14" s="151"/>
      <c r="Q14" s="151"/>
      <c r="R14" s="151"/>
      <c r="S14" s="151"/>
      <c r="T14" s="151"/>
      <c r="U14" s="222" t="s">
        <v>251</v>
      </c>
      <c r="V14" s="151" t="s">
        <v>252</v>
      </c>
      <c r="W14" s="151"/>
      <c r="X14" s="170">
        <v>0.95332300000000003</v>
      </c>
      <c r="Y14" s="151"/>
      <c r="Z14" s="151"/>
      <c r="AA14" s="151" t="s">
        <v>253</v>
      </c>
      <c r="AB14" s="151" t="s">
        <v>254</v>
      </c>
      <c r="AC14" s="151"/>
      <c r="AD14" s="151" t="s">
        <v>255</v>
      </c>
      <c r="AE14" s="151"/>
    </row>
    <row r="15" spans="1:31" ht="14.4">
      <c r="A15" s="180" t="s">
        <v>182</v>
      </c>
      <c r="B15" s="152"/>
      <c r="C15" s="158"/>
      <c r="D15" s="194"/>
      <c r="E15" s="182">
        <v>406203.65600000002</v>
      </c>
      <c r="F15" s="182"/>
      <c r="G15" s="182"/>
      <c r="H15" s="189">
        <f t="shared" si="4"/>
        <v>0</v>
      </c>
      <c r="I15" s="159">
        <f t="shared" si="5"/>
        <v>406203.65600000002</v>
      </c>
      <c r="M15" s="151"/>
      <c r="N15" s="151"/>
      <c r="O15" s="151"/>
      <c r="P15" s="151"/>
      <c r="Q15" s="151"/>
      <c r="R15" s="151"/>
      <c r="S15" s="151"/>
      <c r="T15" s="151" t="s">
        <v>142</v>
      </c>
      <c r="U15" s="151" t="s">
        <v>256</v>
      </c>
      <c r="V15" s="151"/>
      <c r="W15" s="151"/>
      <c r="X15" s="223">
        <f>(X3+X4)*X14</f>
        <v>627047.86129303998</v>
      </c>
      <c r="Y15" s="151"/>
      <c r="Z15" s="151" t="s">
        <v>19</v>
      </c>
      <c r="AA15" s="50">
        <f>P3+P4+Q3+Q4+T3+T4</f>
        <v>147804376.68922001</v>
      </c>
      <c r="AB15" s="170">
        <v>4.2399999999999998E-3</v>
      </c>
      <c r="AC15" s="150">
        <f>AA15*AB15</f>
        <v>626690.55716229277</v>
      </c>
      <c r="AD15" s="150">
        <f>X15-AC15</f>
        <v>357.30413074721582</v>
      </c>
      <c r="AE15" s="218">
        <f>AD15/X15</f>
        <v>5.6981955095168711E-4</v>
      </c>
    </row>
    <row r="16" spans="1:31" ht="14.4">
      <c r="A16" s="180" t="s">
        <v>183</v>
      </c>
      <c r="B16" s="152"/>
      <c r="C16" s="158"/>
      <c r="D16" s="195"/>
      <c r="E16" s="182">
        <v>217937.796</v>
      </c>
      <c r="F16" s="182"/>
      <c r="G16" s="182"/>
      <c r="H16" s="189">
        <f t="shared" si="4"/>
        <v>0</v>
      </c>
      <c r="I16" s="159">
        <f t="shared" si="5"/>
        <v>217937.796</v>
      </c>
      <c r="M16" s="151"/>
      <c r="N16" s="151"/>
      <c r="O16" s="151"/>
      <c r="P16" s="151"/>
      <c r="Q16" s="151"/>
      <c r="R16" s="151"/>
      <c r="S16" s="151"/>
      <c r="T16" s="151" t="s">
        <v>142</v>
      </c>
      <c r="U16" s="151" t="s">
        <v>257</v>
      </c>
      <c r="V16" s="151"/>
      <c r="W16" s="151"/>
      <c r="X16" s="223">
        <f>SUM(X5:X11)*X14</f>
        <v>66875.539429414814</v>
      </c>
      <c r="Y16" s="151"/>
      <c r="Z16" s="151" t="s">
        <v>184</v>
      </c>
      <c r="AA16" s="50">
        <f>SUM(P5:Q11,T5:T11)</f>
        <v>174951433.97704998</v>
      </c>
      <c r="AB16" s="170">
        <v>3.8000000000000002E-4</v>
      </c>
      <c r="AC16" s="150">
        <f>AA16*AB16</f>
        <v>66481.544911278994</v>
      </c>
      <c r="AD16" s="150">
        <f>X16-AC16</f>
        <v>393.99451813581982</v>
      </c>
      <c r="AE16" s="218">
        <f>AD16/X16</f>
        <v>5.8914592913552428E-3</v>
      </c>
    </row>
    <row r="17" spans="1:26" ht="14.4">
      <c r="A17" s="152"/>
      <c r="B17" s="152"/>
      <c r="C17" s="160">
        <f>SUM(C3:C16)</f>
        <v>252072</v>
      </c>
      <c r="E17" s="160">
        <f>SUM(E3:E16)</f>
        <v>380975931.69627011</v>
      </c>
      <c r="F17" s="160">
        <f>SUM(F3:F16)</f>
        <v>-228167045</v>
      </c>
      <c r="G17" s="160">
        <f>SUM(G3:G16)</f>
        <v>264392947</v>
      </c>
      <c r="H17" s="160">
        <f>SUM(H3:H16)</f>
        <v>36225902</v>
      </c>
      <c r="I17" s="160">
        <f>SUM(I3:I16)</f>
        <v>417201833.69627011</v>
      </c>
      <c r="Z17" s="151" t="s">
        <v>236</v>
      </c>
    </row>
    <row r="18" spans="1:26" ht="14.4" thickBot="1">
      <c r="A18" s="152"/>
      <c r="B18" s="152"/>
      <c r="C18" s="152"/>
      <c r="E18" s="152"/>
      <c r="F18" s="152"/>
      <c r="G18" s="152"/>
      <c r="I18" s="152"/>
    </row>
    <row r="19" spans="1:26" ht="13.8">
      <c r="A19" s="152" t="s">
        <v>19</v>
      </c>
      <c r="B19" s="152"/>
      <c r="C19" s="161">
        <f>C3+C4</f>
        <v>215099</v>
      </c>
      <c r="E19" s="162">
        <f>E3+E4</f>
        <v>159686942.68922001</v>
      </c>
      <c r="F19" s="162">
        <f>F3+F4</f>
        <v>-96777259</v>
      </c>
      <c r="G19" s="162">
        <f>G3+G4</f>
        <v>84894693</v>
      </c>
      <c r="H19" s="162">
        <f>H3+H4</f>
        <v>-11882566</v>
      </c>
      <c r="I19" s="161">
        <f>I3+I4</f>
        <v>147804376.68922001</v>
      </c>
    </row>
    <row r="20" spans="1:26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26" ht="14.4" thickBot="1">
      <c r="A21" s="152" t="s">
        <v>184</v>
      </c>
      <c r="B21" s="152"/>
      <c r="C21" s="177">
        <f>SUM(C5:C8,C11:C13)</f>
        <v>36544</v>
      </c>
      <c r="E21" s="178">
        <f>SUM(E5:E8,E11:E13)</f>
        <v>169347539.97705001</v>
      </c>
      <c r="F21" s="178">
        <f>SUM(F5:F8,F11:F13)</f>
        <v>-81489568</v>
      </c>
      <c r="G21" s="178">
        <f>SUM(G5:G8,G11:G13)</f>
        <v>87093462</v>
      </c>
      <c r="H21" s="178">
        <f>SUM(H5:H8,H11:H13)</f>
        <v>5603894</v>
      </c>
      <c r="I21" s="177">
        <f>SUM(I5:I8,I11:I13)</f>
        <v>174951433.97705001</v>
      </c>
    </row>
    <row r="22" spans="1:26" ht="13.8">
      <c r="A22" s="152"/>
      <c r="B22" s="152"/>
      <c r="C22" s="152"/>
      <c r="D22" s="152"/>
      <c r="E22" s="152"/>
    </row>
    <row r="23" spans="1:26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26" ht="13.8">
      <c r="A24" s="180" t="s">
        <v>131</v>
      </c>
      <c r="B24" s="152"/>
      <c r="C24" s="181">
        <v>1986339.5</v>
      </c>
      <c r="D24" s="181">
        <v>14399728.27</v>
      </c>
      <c r="E24" s="183">
        <v>-9217175</v>
      </c>
      <c r="F24" s="183">
        <v>8173540</v>
      </c>
      <c r="G24" s="174">
        <f>SUM(D24:F24)</f>
        <v>13356093.27</v>
      </c>
      <c r="H24" s="174">
        <f>-J62</f>
        <v>89556.372359999994</v>
      </c>
      <c r="I24" s="174">
        <f>SUM(G24:H24)</f>
        <v>13445649.64236</v>
      </c>
    </row>
    <row r="25" spans="1:26" ht="13.8">
      <c r="A25" s="180" t="s">
        <v>178</v>
      </c>
      <c r="B25" s="152"/>
      <c r="C25" s="181">
        <v>3604.5</v>
      </c>
      <c r="D25" s="181">
        <v>29975.61</v>
      </c>
      <c r="E25" s="183">
        <v>-13428</v>
      </c>
      <c r="F25" s="183">
        <v>11339</v>
      </c>
      <c r="G25" s="174">
        <f t="shared" ref="G25:G33" si="15">SUM(D25:F25)</f>
        <v>27886.61</v>
      </c>
      <c r="H25" s="174">
        <f t="shared" ref="H25:H30" si="16">-J63</f>
        <v>-874.5454500000003</v>
      </c>
      <c r="I25" s="174">
        <f t="shared" ref="I25:I34" si="17">SUM(G25:H25)</f>
        <v>27012.064549999999</v>
      </c>
    </row>
    <row r="26" spans="1:26" ht="13.8">
      <c r="A26" s="180" t="s">
        <v>132</v>
      </c>
      <c r="B26" s="152"/>
      <c r="C26" s="181">
        <v>456206.06</v>
      </c>
      <c r="D26" s="181">
        <v>5130035.96</v>
      </c>
      <c r="E26" s="183">
        <v>-2678368</v>
      </c>
      <c r="F26" s="183">
        <v>2727768</v>
      </c>
      <c r="G26" s="174">
        <f t="shared" si="15"/>
        <v>5179435.96</v>
      </c>
      <c r="H26" s="174">
        <f t="shared" si="16"/>
        <v>-1696.8907799999999</v>
      </c>
      <c r="I26" s="174">
        <f t="shared" si="17"/>
        <v>5177739.0692199999</v>
      </c>
    </row>
    <row r="27" spans="1:26" ht="13.8">
      <c r="A27" s="180" t="s">
        <v>133</v>
      </c>
      <c r="B27" s="152"/>
      <c r="C27" s="181">
        <v>189792.27</v>
      </c>
      <c r="D27" s="181">
        <v>644451.87000000011</v>
      </c>
      <c r="E27" s="183">
        <v>-377537</v>
      </c>
      <c r="F27" s="183">
        <v>349193</v>
      </c>
      <c r="G27" s="174">
        <f t="shared" si="15"/>
        <v>616107.87000000011</v>
      </c>
      <c r="H27" s="174">
        <f t="shared" si="16"/>
        <v>1955.2784899999997</v>
      </c>
      <c r="I27" s="174">
        <f t="shared" si="17"/>
        <v>618063.14849000017</v>
      </c>
    </row>
    <row r="28" spans="1:26" ht="13.8">
      <c r="A28" s="180" t="s">
        <v>134</v>
      </c>
      <c r="B28" s="152"/>
      <c r="C28" s="181">
        <v>931123.33</v>
      </c>
      <c r="D28" s="181">
        <v>10075469.110000001</v>
      </c>
      <c r="E28" s="183">
        <v>-4443577</v>
      </c>
      <c r="F28" s="183">
        <v>4819547</v>
      </c>
      <c r="G28" s="174">
        <f t="shared" si="15"/>
        <v>10451439.110000001</v>
      </c>
      <c r="H28" s="174">
        <f t="shared" si="16"/>
        <v>-22037.760190000001</v>
      </c>
      <c r="I28" s="174">
        <f t="shared" si="17"/>
        <v>10429401.349810001</v>
      </c>
    </row>
    <row r="29" spans="1:26" ht="13.8">
      <c r="A29" s="180" t="s">
        <v>135</v>
      </c>
      <c r="B29" s="152"/>
      <c r="C29" s="181">
        <v>24500</v>
      </c>
      <c r="D29" s="181">
        <v>215818.22000000003</v>
      </c>
      <c r="E29" s="183">
        <v>-110290</v>
      </c>
      <c r="F29" s="183">
        <v>107104</v>
      </c>
      <c r="G29" s="174">
        <f t="shared" si="15"/>
        <v>212632.22000000003</v>
      </c>
      <c r="H29" s="174">
        <f t="shared" si="16"/>
        <v>203.65288000000004</v>
      </c>
      <c r="I29" s="174">
        <f t="shared" si="17"/>
        <v>212835.87288000004</v>
      </c>
    </row>
    <row r="30" spans="1:26" ht="13.8">
      <c r="A30" s="180" t="s">
        <v>136</v>
      </c>
      <c r="B30" s="152"/>
      <c r="C30" s="181">
        <v>93286.27</v>
      </c>
      <c r="D30" s="181">
        <f>2777525.28-83147.87</f>
        <v>2694377.4099999997</v>
      </c>
      <c r="E30" s="183">
        <v>-2876434</v>
      </c>
      <c r="F30" s="183">
        <v>6174557</v>
      </c>
      <c r="G30" s="174">
        <f t="shared" si="15"/>
        <v>5992500.4100000001</v>
      </c>
      <c r="H30" s="174">
        <f t="shared" si="16"/>
        <v>-103711.16055999999</v>
      </c>
      <c r="I30" s="174">
        <f t="shared" si="17"/>
        <v>5888789.2494400004</v>
      </c>
      <c r="J30" s="283"/>
    </row>
    <row r="31" spans="1:26" ht="13.8">
      <c r="A31" s="180" t="s">
        <v>180</v>
      </c>
      <c r="B31" s="152"/>
      <c r="C31" s="181">
        <v>992</v>
      </c>
      <c r="D31" s="181">
        <v>199493.18</v>
      </c>
      <c r="E31" s="183">
        <v>0</v>
      </c>
      <c r="F31" s="183">
        <v>0</v>
      </c>
      <c r="G31" s="174">
        <f t="shared" si="15"/>
        <v>199493.18</v>
      </c>
      <c r="H31" s="174">
        <f>-J69</f>
        <v>0</v>
      </c>
      <c r="I31" s="174">
        <f t="shared" si="17"/>
        <v>199493.18</v>
      </c>
    </row>
    <row r="32" spans="1:26" ht="13.8">
      <c r="A32" s="180" t="s">
        <v>137</v>
      </c>
      <c r="B32" s="152"/>
      <c r="C32" s="181">
        <v>23782</v>
      </c>
      <c r="D32" s="181">
        <v>581893.98</v>
      </c>
      <c r="E32" s="183">
        <v>-116144</v>
      </c>
      <c r="F32" s="183">
        <v>165633</v>
      </c>
      <c r="G32" s="174">
        <f t="shared" si="15"/>
        <v>631382.98</v>
      </c>
      <c r="H32" s="174">
        <f>-J70</f>
        <v>-3562.4575999999997</v>
      </c>
      <c r="I32" s="174">
        <f t="shared" si="17"/>
        <v>627820.52240000002</v>
      </c>
    </row>
    <row r="33" spans="1:12" ht="13.8">
      <c r="A33" s="180" t="s">
        <v>138</v>
      </c>
      <c r="B33" s="152"/>
      <c r="C33" s="181">
        <v>24236</v>
      </c>
      <c r="D33" s="181">
        <v>76465.19</v>
      </c>
      <c r="E33" s="183">
        <v>-19268</v>
      </c>
      <c r="F33" s="183">
        <v>27222</v>
      </c>
      <c r="G33" s="174">
        <f t="shared" si="15"/>
        <v>84419.19</v>
      </c>
      <c r="H33" s="174">
        <f>-J71</f>
        <v>-247.45110000000003</v>
      </c>
      <c r="I33" s="174">
        <f t="shared" si="17"/>
        <v>84171.738899999997</v>
      </c>
    </row>
    <row r="34" spans="1:12" ht="13.8">
      <c r="A34" s="180" t="s">
        <v>192</v>
      </c>
      <c r="B34" s="152"/>
      <c r="C34" s="174"/>
      <c r="D34" s="181">
        <v>548624.18000000005</v>
      </c>
      <c r="E34" s="181"/>
      <c r="F34" s="181"/>
      <c r="G34" s="174">
        <f>SUM(D34:F34)</f>
        <v>548624.18000000005</v>
      </c>
      <c r="H34" s="174"/>
      <c r="I34" s="174">
        <f t="shared" si="17"/>
        <v>548624.18000000005</v>
      </c>
    </row>
    <row r="35" spans="1:12" ht="13.8">
      <c r="A35" s="180" t="s">
        <v>193</v>
      </c>
      <c r="B35" s="152"/>
      <c r="C35" s="194"/>
      <c r="D35" s="181">
        <v>2150447.5700000003</v>
      </c>
      <c r="E35" s="181"/>
      <c r="F35" s="181"/>
      <c r="G35" s="174"/>
      <c r="H35" s="174"/>
      <c r="I35" s="174"/>
    </row>
    <row r="36" spans="1:12" ht="13.8">
      <c r="A36" s="180" t="s">
        <v>194</v>
      </c>
      <c r="B36" s="152"/>
      <c r="C36" s="194"/>
      <c r="D36" s="181">
        <v>1343608.8100000003</v>
      </c>
      <c r="E36" s="181"/>
      <c r="F36" s="181"/>
      <c r="G36" s="174"/>
      <c r="H36" s="174"/>
      <c r="I36" s="174"/>
    </row>
    <row r="37" spans="1:12" ht="13.8">
      <c r="A37" s="152"/>
      <c r="B37" s="152"/>
      <c r="C37" s="166">
        <f t="shared" ref="C37:I37" si="18">SUM(C24:C36)</f>
        <v>3733861.93</v>
      </c>
      <c r="D37" s="166">
        <f t="shared" si="18"/>
        <v>38090389.359999999</v>
      </c>
      <c r="E37" s="166">
        <f t="shared" si="18"/>
        <v>-19852221</v>
      </c>
      <c r="F37" s="166">
        <f t="shared" si="18"/>
        <v>22555903</v>
      </c>
      <c r="G37" s="166">
        <f t="shared" si="18"/>
        <v>37300014.979999997</v>
      </c>
      <c r="H37" s="166">
        <f t="shared" si="18"/>
        <v>-40414.961950000012</v>
      </c>
      <c r="I37" s="166">
        <f t="shared" si="18"/>
        <v>37259600.01805</v>
      </c>
    </row>
    <row r="38" spans="1:12" ht="14.4" thickBot="1">
      <c r="A38" s="152"/>
      <c r="B38" s="152"/>
      <c r="D38" s="167"/>
      <c r="E38" s="152"/>
      <c r="F38" s="152"/>
    </row>
    <row r="39" spans="1:12" ht="13.8">
      <c r="A39" s="152" t="s">
        <v>19</v>
      </c>
      <c r="B39" s="152"/>
      <c r="C39" s="169">
        <f t="shared" ref="C39:I39" si="19">C24+C25</f>
        <v>1989944</v>
      </c>
      <c r="D39" s="168">
        <f t="shared" si="19"/>
        <v>14429703.879999999</v>
      </c>
      <c r="E39" s="168">
        <f t="shared" si="19"/>
        <v>-9230603</v>
      </c>
      <c r="F39" s="168">
        <f t="shared" si="19"/>
        <v>8184879</v>
      </c>
      <c r="G39" s="168">
        <f t="shared" si="19"/>
        <v>13383979.879999999</v>
      </c>
      <c r="H39" s="168">
        <f t="shared" si="19"/>
        <v>88681.826909999989</v>
      </c>
      <c r="I39" s="169">
        <f t="shared" si="19"/>
        <v>13472661.706909999</v>
      </c>
    </row>
    <row r="40" spans="1:12" ht="6" customHeight="1">
      <c r="A40" s="152"/>
      <c r="B40" s="152"/>
      <c r="C40" s="173"/>
      <c r="D40" s="168"/>
      <c r="E40" s="152"/>
      <c r="F40" s="152"/>
      <c r="I40" s="190"/>
    </row>
    <row r="41" spans="1:12" ht="14.4" thickBot="1">
      <c r="A41" s="152" t="s">
        <v>184</v>
      </c>
      <c r="B41" s="152"/>
      <c r="C41" s="175">
        <f>SUM(C26:C29,C31:C33)</f>
        <v>1650631.66</v>
      </c>
      <c r="D41" s="176">
        <f t="shared" ref="D41:I41" si="20">SUM(D26:D29,D31:D33)</f>
        <v>16923627.510000002</v>
      </c>
      <c r="E41" s="176">
        <f t="shared" si="20"/>
        <v>-7745184</v>
      </c>
      <c r="F41" s="176">
        <f t="shared" si="20"/>
        <v>8196467</v>
      </c>
      <c r="G41" s="176">
        <f t="shared" si="20"/>
        <v>17374910.510000002</v>
      </c>
      <c r="H41" s="176">
        <f t="shared" si="20"/>
        <v>-25385.628299999997</v>
      </c>
      <c r="I41" s="175">
        <f t="shared" si="20"/>
        <v>17349524.881699998</v>
      </c>
    </row>
    <row r="42" spans="1:12" ht="13.8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2" ht="13.8">
      <c r="C43" s="191">
        <v>43040</v>
      </c>
      <c r="D43" s="196">
        <v>43040</v>
      </c>
      <c r="E43" s="192">
        <v>42278</v>
      </c>
      <c r="F43" s="191">
        <v>42583</v>
      </c>
      <c r="G43" s="191">
        <v>43009</v>
      </c>
      <c r="H43" s="191">
        <v>42380</v>
      </c>
      <c r="I43" s="191">
        <v>42917</v>
      </c>
      <c r="J43" s="191"/>
      <c r="K43" s="196"/>
    </row>
    <row r="44" spans="1:12" ht="42" customHeight="1">
      <c r="A44" s="179" t="s">
        <v>195</v>
      </c>
      <c r="B44" s="154"/>
      <c r="C44" s="165" t="s">
        <v>196</v>
      </c>
      <c r="D44" s="165" t="s">
        <v>213</v>
      </c>
      <c r="E44" s="165" t="s">
        <v>197</v>
      </c>
      <c r="F44" s="165" t="s">
        <v>198</v>
      </c>
      <c r="G44" s="165" t="s">
        <v>199</v>
      </c>
      <c r="H44" s="165" t="s">
        <v>200</v>
      </c>
      <c r="I44" s="165" t="s">
        <v>201</v>
      </c>
      <c r="K44" s="211" t="s">
        <v>229</v>
      </c>
      <c r="L44" s="1" t="s">
        <v>230</v>
      </c>
    </row>
    <row r="45" spans="1:12" ht="13.8">
      <c r="A45" s="180" t="s">
        <v>131</v>
      </c>
      <c r="B45" s="152"/>
      <c r="C45" s="171">
        <v>-8.0999999999999996E-4</v>
      </c>
      <c r="D45" s="171">
        <v>4.45E-3</v>
      </c>
      <c r="E45" s="171"/>
      <c r="F45" s="171">
        <v>3.4399999999999999E-3</v>
      </c>
      <c r="G45" s="171">
        <v>1.0499999999999999E-3</v>
      </c>
      <c r="H45" s="171">
        <v>0</v>
      </c>
      <c r="I45" s="171">
        <v>-5.6999999999999998E-4</v>
      </c>
      <c r="K45" s="171">
        <f>SUM(C45:I45)</f>
        <v>7.5599999999999999E-3</v>
      </c>
      <c r="L45" s="212">
        <f t="shared" ref="L45:L57" si="21">K45*H3</f>
        <v>-89556.372359999994</v>
      </c>
    </row>
    <row r="46" spans="1:12" ht="13.8">
      <c r="A46" s="180" t="s">
        <v>178</v>
      </c>
      <c r="B46" s="152"/>
      <c r="C46" s="171">
        <v>-8.0999999999999996E-4</v>
      </c>
      <c r="D46" s="171">
        <v>4.45E-3</v>
      </c>
      <c r="E46" s="171">
        <v>-3.1530000000000002E-2</v>
      </c>
      <c r="F46" s="171">
        <v>3.4399999999999999E-3</v>
      </c>
      <c r="G46" s="171">
        <v>1.0499999999999999E-3</v>
      </c>
      <c r="H46" s="171">
        <v>0</v>
      </c>
      <c r="I46" s="171">
        <v>-5.6999999999999998E-4</v>
      </c>
      <c r="K46" s="171">
        <f>SUM(C46:I46)</f>
        <v>-2.3970000000000005E-2</v>
      </c>
      <c r="L46" s="212">
        <f t="shared" si="21"/>
        <v>874.54545000000019</v>
      </c>
    </row>
    <row r="47" spans="1:12" ht="13.8">
      <c r="A47" s="180" t="s">
        <v>132</v>
      </c>
      <c r="B47" s="152"/>
      <c r="C47" s="171">
        <v>0</v>
      </c>
      <c r="D47" s="171">
        <v>4.0000000000000002E-4</v>
      </c>
      <c r="E47" s="171"/>
      <c r="F47" s="171">
        <v>4.6299999999999996E-3</v>
      </c>
      <c r="G47" s="171">
        <v>1.5200000000000001E-3</v>
      </c>
      <c r="H47" s="171">
        <v>0</v>
      </c>
      <c r="I47" s="171">
        <v>-5.6999999999999998E-4</v>
      </c>
      <c r="K47" s="171">
        <f t="shared" ref="K47:K57" si="22">SUM(C47:I47)</f>
        <v>5.9800000000000001E-3</v>
      </c>
      <c r="L47" s="212">
        <f t="shared" si="21"/>
        <v>1696.8907799999999</v>
      </c>
    </row>
    <row r="48" spans="1:12" ht="13.8">
      <c r="A48" s="180" t="s">
        <v>133</v>
      </c>
      <c r="B48" s="152"/>
      <c r="C48" s="171">
        <v>-8.0999999999999996E-4</v>
      </c>
      <c r="D48" s="171">
        <v>4.0000000000000002E-4</v>
      </c>
      <c r="E48" s="171"/>
      <c r="F48" s="171">
        <v>4.6299999999999996E-3</v>
      </c>
      <c r="G48" s="171">
        <v>1.5200000000000001E-3</v>
      </c>
      <c r="H48" s="171">
        <v>0</v>
      </c>
      <c r="I48" s="171">
        <v>-5.6999999999999998E-4</v>
      </c>
      <c r="K48" s="171">
        <f t="shared" si="22"/>
        <v>5.1700000000000001E-3</v>
      </c>
      <c r="L48" s="212">
        <f t="shared" si="21"/>
        <v>-1955.2784900000001</v>
      </c>
    </row>
    <row r="49" spans="1:13" ht="13.8">
      <c r="A49" s="180" t="s">
        <v>134</v>
      </c>
      <c r="B49" s="152"/>
      <c r="C49" s="171">
        <v>0</v>
      </c>
      <c r="D49" s="171">
        <v>4.0000000000000002E-4</v>
      </c>
      <c r="E49" s="171"/>
      <c r="F49" s="171">
        <v>3.6600000000000001E-3</v>
      </c>
      <c r="G49" s="171">
        <v>1.1000000000000001E-3</v>
      </c>
      <c r="H49" s="171">
        <v>0</v>
      </c>
      <c r="I49" s="171">
        <v>-5.9000000000000003E-4</v>
      </c>
      <c r="K49" s="171">
        <f t="shared" si="22"/>
        <v>4.5700000000000003E-3</v>
      </c>
      <c r="L49" s="212">
        <f t="shared" si="21"/>
        <v>22037.760190000001</v>
      </c>
    </row>
    <row r="50" spans="1:13" ht="13.8">
      <c r="A50" s="180" t="s">
        <v>135</v>
      </c>
      <c r="B50" s="152"/>
      <c r="C50" s="171">
        <v>-8.0999999999999996E-4</v>
      </c>
      <c r="D50" s="171">
        <v>4.0000000000000002E-4</v>
      </c>
      <c r="E50" s="171"/>
      <c r="F50" s="171">
        <v>3.6600000000000001E-3</v>
      </c>
      <c r="G50" s="171">
        <v>1.1000000000000001E-3</v>
      </c>
      <c r="H50" s="171">
        <v>0</v>
      </c>
      <c r="I50" s="171">
        <v>-5.9000000000000003E-4</v>
      </c>
      <c r="K50" s="171">
        <f t="shared" si="22"/>
        <v>3.7600000000000003E-3</v>
      </c>
      <c r="L50" s="212">
        <f t="shared" si="21"/>
        <v>-203.65288000000001</v>
      </c>
    </row>
    <row r="51" spans="1:13" ht="13.8">
      <c r="A51" s="180" t="s">
        <v>136</v>
      </c>
      <c r="B51" s="152"/>
      <c r="C51" s="171">
        <v>0</v>
      </c>
      <c r="D51" s="171">
        <v>0</v>
      </c>
      <c r="E51" s="171"/>
      <c r="F51" s="171">
        <v>2.32E-3</v>
      </c>
      <c r="G51" s="171">
        <v>6.8999999999999997E-4</v>
      </c>
      <c r="H51" s="171">
        <v>0</v>
      </c>
      <c r="I51" s="171">
        <v>-5.6999999999999998E-4</v>
      </c>
      <c r="K51" s="171">
        <f t="shared" si="22"/>
        <v>2.4400000000000003E-3</v>
      </c>
      <c r="L51" s="212">
        <f t="shared" si="21"/>
        <v>103711.16056000002</v>
      </c>
    </row>
    <row r="52" spans="1:13" ht="13.8">
      <c r="A52" s="180" t="s">
        <v>179</v>
      </c>
      <c r="B52" s="152"/>
      <c r="C52" s="171">
        <v>0</v>
      </c>
      <c r="D52" s="171">
        <v>0</v>
      </c>
      <c r="E52" s="171"/>
      <c r="F52" s="171">
        <v>2.32E-3</v>
      </c>
      <c r="G52" s="171">
        <v>0</v>
      </c>
      <c r="H52" s="171">
        <v>0</v>
      </c>
      <c r="I52" s="171">
        <v>-5.6999999999999998E-4</v>
      </c>
      <c r="K52" s="171">
        <f t="shared" si="22"/>
        <v>1.75E-3</v>
      </c>
      <c r="L52" s="212">
        <f t="shared" si="21"/>
        <v>0</v>
      </c>
    </row>
    <row r="53" spans="1:13" ht="13.8">
      <c r="A53" s="180" t="s">
        <v>180</v>
      </c>
      <c r="B53" s="152"/>
      <c r="C53" s="171">
        <v>0</v>
      </c>
      <c r="D53" s="171">
        <v>4.0000000000000002E-4</v>
      </c>
      <c r="E53" s="171"/>
      <c r="F53" s="171">
        <v>3.4099999999999998E-3</v>
      </c>
      <c r="G53" s="171">
        <v>9.6000000000000002E-4</v>
      </c>
      <c r="H53" s="171">
        <v>0</v>
      </c>
      <c r="I53" s="171">
        <v>-6.0999999999999997E-4</v>
      </c>
      <c r="K53" s="171">
        <f t="shared" si="22"/>
        <v>4.1599999999999996E-3</v>
      </c>
      <c r="L53" s="212">
        <f t="shared" si="21"/>
        <v>0</v>
      </c>
    </row>
    <row r="54" spans="1:13" ht="13.8">
      <c r="A54" s="180" t="s">
        <v>137</v>
      </c>
      <c r="B54" s="152"/>
      <c r="C54" s="171">
        <v>0</v>
      </c>
      <c r="D54" s="171">
        <v>4.0000000000000002E-4</v>
      </c>
      <c r="E54" s="171"/>
      <c r="F54" s="171">
        <v>3.4099999999999998E-3</v>
      </c>
      <c r="G54" s="171">
        <v>9.6000000000000002E-4</v>
      </c>
      <c r="H54" s="171">
        <v>0</v>
      </c>
      <c r="I54" s="171">
        <v>-6.0999999999999997E-4</v>
      </c>
      <c r="K54" s="171">
        <f t="shared" si="22"/>
        <v>4.1599999999999996E-3</v>
      </c>
      <c r="L54" s="212">
        <f t="shared" si="21"/>
        <v>3562.4575999999997</v>
      </c>
    </row>
    <row r="55" spans="1:13" ht="13.8">
      <c r="A55" s="180" t="s">
        <v>138</v>
      </c>
      <c r="B55" s="152"/>
      <c r="C55" s="171">
        <v>-8.0999999999999996E-4</v>
      </c>
      <c r="D55" s="171">
        <v>4.0000000000000002E-4</v>
      </c>
      <c r="E55" s="171"/>
      <c r="F55" s="171">
        <v>3.4099999999999998E-3</v>
      </c>
      <c r="G55" s="171">
        <v>9.6000000000000002E-4</v>
      </c>
      <c r="H55" s="171">
        <v>0</v>
      </c>
      <c r="I55" s="171">
        <v>-6.0999999999999997E-4</v>
      </c>
      <c r="K55" s="171">
        <f t="shared" si="22"/>
        <v>3.3500000000000001E-3</v>
      </c>
      <c r="L55" s="212">
        <f t="shared" si="21"/>
        <v>247.4511</v>
      </c>
    </row>
    <row r="56" spans="1:13" ht="14.4" customHeight="1">
      <c r="A56" s="180" t="s">
        <v>192</v>
      </c>
      <c r="B56" s="152"/>
      <c r="C56" s="171">
        <v>0</v>
      </c>
      <c r="D56" s="171">
        <v>0</v>
      </c>
      <c r="E56" s="171"/>
      <c r="F56" s="186">
        <v>1.2149999999999999E-2</v>
      </c>
      <c r="G56" s="401" t="s">
        <v>214</v>
      </c>
      <c r="H56" s="171">
        <v>0</v>
      </c>
      <c r="I56" s="186">
        <v>-6.4999999999999997E-4</v>
      </c>
      <c r="K56" s="171">
        <f>SUM(C56:I56)</f>
        <v>1.15E-2</v>
      </c>
      <c r="L56" s="212">
        <f t="shared" si="21"/>
        <v>0</v>
      </c>
    </row>
    <row r="57" spans="1:13" ht="13.8">
      <c r="A57" s="180" t="s">
        <v>183</v>
      </c>
      <c r="B57" s="152"/>
      <c r="C57" s="171">
        <v>-8.0999999999999996E-4</v>
      </c>
      <c r="D57" s="171">
        <v>0</v>
      </c>
      <c r="E57" s="171"/>
      <c r="F57" s="186">
        <v>1.2149999999999999E-2</v>
      </c>
      <c r="G57" s="401"/>
      <c r="H57" s="171">
        <v>0</v>
      </c>
      <c r="I57" s="186">
        <v>-6.4999999999999997E-4</v>
      </c>
      <c r="K57" s="171">
        <f t="shared" si="22"/>
        <v>1.069E-2</v>
      </c>
      <c r="L57" s="212">
        <f t="shared" si="21"/>
        <v>0</v>
      </c>
    </row>
    <row r="58" spans="1:13" ht="13.8">
      <c r="A58" s="180"/>
      <c r="B58" s="152"/>
      <c r="C58" s="171"/>
      <c r="D58" s="171"/>
      <c r="E58" s="171"/>
      <c r="F58" s="186"/>
      <c r="G58" s="236"/>
      <c r="H58" s="171"/>
      <c r="I58" s="186"/>
      <c r="K58" s="171"/>
      <c r="L58" s="212"/>
    </row>
    <row r="59" spans="1:13" ht="13.8">
      <c r="A59" s="180"/>
      <c r="B59" s="152"/>
      <c r="C59" s="171"/>
      <c r="D59" s="171"/>
      <c r="E59" s="171"/>
      <c r="F59" s="186"/>
      <c r="G59" s="236"/>
      <c r="H59" s="171"/>
      <c r="I59" s="186"/>
      <c r="K59" s="171"/>
      <c r="L59" s="212"/>
    </row>
    <row r="60" spans="1:13" ht="13.8">
      <c r="E60" s="152"/>
      <c r="L60" s="212">
        <f>SUM(L45:L57)</f>
        <v>40414.961950000041</v>
      </c>
      <c r="M60" s="235"/>
    </row>
    <row r="61" spans="1:13" ht="52.8">
      <c r="A61" s="179" t="s">
        <v>202</v>
      </c>
      <c r="B61" s="154"/>
      <c r="C61" s="172" t="s">
        <v>209</v>
      </c>
      <c r="D61" s="172" t="s">
        <v>213</v>
      </c>
      <c r="E61" s="172" t="s">
        <v>203</v>
      </c>
      <c r="F61" s="172" t="s">
        <v>204</v>
      </c>
      <c r="G61" s="172" t="s">
        <v>205</v>
      </c>
      <c r="H61" s="172" t="s">
        <v>206</v>
      </c>
      <c r="I61" s="172" t="s">
        <v>207</v>
      </c>
      <c r="J61" s="172" t="s">
        <v>208</v>
      </c>
      <c r="M61" s="168"/>
    </row>
    <row r="62" spans="1:13" ht="13.8">
      <c r="A62" s="180" t="s">
        <v>131</v>
      </c>
      <c r="C62" s="168">
        <f t="shared" ref="C62:C67" si="23">C45*H3</f>
        <v>9595.3256099999999</v>
      </c>
      <c r="D62" s="168">
        <f t="shared" ref="D62:D67" si="24">D45*H3</f>
        <v>-52715.060449999997</v>
      </c>
      <c r="E62" s="168">
        <f t="shared" ref="E62:E67" si="25">$H3*E45</f>
        <v>0</v>
      </c>
      <c r="F62" s="168">
        <f t="shared" ref="F62:G67" si="26">($H3*F45)</f>
        <v>-40750.518640000002</v>
      </c>
      <c r="G62" s="168">
        <f t="shared" si="26"/>
        <v>-12438.385049999999</v>
      </c>
      <c r="H62" s="168">
        <f t="shared" ref="H62:H67" si="27">$H3*H45</f>
        <v>0</v>
      </c>
      <c r="I62" s="168">
        <f t="shared" ref="I62:I67" si="28">(I45*H3)</f>
        <v>6752.2661699999999</v>
      </c>
      <c r="J62" s="168">
        <f>SUM(C62:I62)</f>
        <v>-89556.372359999994</v>
      </c>
      <c r="M62" s="168"/>
    </row>
    <row r="63" spans="1:13" ht="13.8">
      <c r="A63" s="180" t="s">
        <v>178</v>
      </c>
      <c r="C63" s="168">
        <f t="shared" si="23"/>
        <v>29.552849999999999</v>
      </c>
      <c r="D63" s="168">
        <f t="shared" si="24"/>
        <v>-162.35825</v>
      </c>
      <c r="E63" s="168">
        <f t="shared" si="25"/>
        <v>1150.3720500000002</v>
      </c>
      <c r="F63" s="168">
        <f t="shared" si="26"/>
        <v>-125.50839999999999</v>
      </c>
      <c r="G63" s="168">
        <f t="shared" si="26"/>
        <v>-38.309249999999999</v>
      </c>
      <c r="H63" s="168">
        <f t="shared" si="27"/>
        <v>0</v>
      </c>
      <c r="I63" s="168">
        <f t="shared" si="28"/>
        <v>20.79645</v>
      </c>
      <c r="J63" s="168">
        <f t="shared" ref="J63:J72" si="29">SUM(C63:I63)</f>
        <v>874.5454500000003</v>
      </c>
      <c r="M63" s="168"/>
    </row>
    <row r="64" spans="1:13" ht="13.8">
      <c r="A64" s="180" t="s">
        <v>132</v>
      </c>
      <c r="C64" s="168">
        <f t="shared" si="23"/>
        <v>0</v>
      </c>
      <c r="D64" s="168">
        <f t="shared" si="24"/>
        <v>113.5044</v>
      </c>
      <c r="E64" s="168">
        <f t="shared" si="25"/>
        <v>0</v>
      </c>
      <c r="F64" s="168">
        <f t="shared" si="26"/>
        <v>1313.8134299999999</v>
      </c>
      <c r="G64" s="168">
        <f t="shared" si="26"/>
        <v>431.31672000000003</v>
      </c>
      <c r="H64" s="168">
        <f t="shared" si="27"/>
        <v>0</v>
      </c>
      <c r="I64" s="168">
        <f t="shared" si="28"/>
        <v>-161.74376999999998</v>
      </c>
      <c r="J64" s="168">
        <f t="shared" si="29"/>
        <v>1696.8907799999999</v>
      </c>
      <c r="M64" s="168"/>
    </row>
    <row r="65" spans="1:13" ht="13.8">
      <c r="A65" s="180" t="s">
        <v>133</v>
      </c>
      <c r="C65" s="168">
        <f t="shared" si="23"/>
        <v>306.33956999999998</v>
      </c>
      <c r="D65" s="168">
        <f t="shared" si="24"/>
        <v>-151.27880000000002</v>
      </c>
      <c r="E65" s="168">
        <f t="shared" si="25"/>
        <v>0</v>
      </c>
      <c r="F65" s="168">
        <f t="shared" si="26"/>
        <v>-1751.0521099999999</v>
      </c>
      <c r="G65" s="168">
        <f t="shared" si="26"/>
        <v>-574.85944000000006</v>
      </c>
      <c r="H65" s="168">
        <f t="shared" si="27"/>
        <v>0</v>
      </c>
      <c r="I65" s="168">
        <f t="shared" si="28"/>
        <v>215.57228999999998</v>
      </c>
      <c r="J65" s="168">
        <f t="shared" si="29"/>
        <v>-1955.2784899999997</v>
      </c>
      <c r="M65" s="168"/>
    </row>
    <row r="66" spans="1:13" ht="13.8">
      <c r="A66" s="180" t="s">
        <v>134</v>
      </c>
      <c r="C66" s="168">
        <f t="shared" si="23"/>
        <v>0</v>
      </c>
      <c r="D66" s="168">
        <f t="shared" si="24"/>
        <v>1928.9068000000002</v>
      </c>
      <c r="E66" s="168">
        <f t="shared" si="25"/>
        <v>0</v>
      </c>
      <c r="F66" s="168">
        <f t="shared" si="26"/>
        <v>17649.497220000001</v>
      </c>
      <c r="G66" s="168">
        <f t="shared" si="26"/>
        <v>5304.4937</v>
      </c>
      <c r="H66" s="168">
        <f t="shared" si="27"/>
        <v>0</v>
      </c>
      <c r="I66" s="168">
        <f t="shared" si="28"/>
        <v>-2845.13753</v>
      </c>
      <c r="J66" s="168">
        <f t="shared" si="29"/>
        <v>22037.760190000001</v>
      </c>
      <c r="M66" s="168"/>
    </row>
    <row r="67" spans="1:13" ht="13.8">
      <c r="A67" s="180" t="s">
        <v>135</v>
      </c>
      <c r="C67" s="168">
        <f t="shared" si="23"/>
        <v>43.872029999999995</v>
      </c>
      <c r="D67" s="168">
        <f t="shared" si="24"/>
        <v>-21.665200000000002</v>
      </c>
      <c r="E67" s="168">
        <f t="shared" si="25"/>
        <v>0</v>
      </c>
      <c r="F67" s="168">
        <f t="shared" si="26"/>
        <v>-198.23658</v>
      </c>
      <c r="G67" s="168">
        <f t="shared" si="26"/>
        <v>-59.579300000000003</v>
      </c>
      <c r="H67" s="168">
        <f t="shared" si="27"/>
        <v>0</v>
      </c>
      <c r="I67" s="168">
        <f t="shared" si="28"/>
        <v>31.95617</v>
      </c>
      <c r="J67" s="168">
        <f>SUM(C67:I67)</f>
        <v>-203.65288000000004</v>
      </c>
      <c r="M67" s="168"/>
    </row>
    <row r="68" spans="1:13" ht="13.8">
      <c r="A68" s="180" t="s">
        <v>136</v>
      </c>
      <c r="C68" s="168">
        <f t="shared" ref="C68:I68" si="30">$H9*C51+$H10*C52</f>
        <v>0</v>
      </c>
      <c r="D68" s="168">
        <f t="shared" si="30"/>
        <v>0</v>
      </c>
      <c r="E68" s="168">
        <f t="shared" si="30"/>
        <v>0</v>
      </c>
      <c r="F68" s="168">
        <f t="shared" si="30"/>
        <v>98610.611680000002</v>
      </c>
      <c r="G68" s="168">
        <f t="shared" si="30"/>
        <v>29328.156059999998</v>
      </c>
      <c r="H68" s="168">
        <f t="shared" si="30"/>
        <v>0</v>
      </c>
      <c r="I68" s="168">
        <f t="shared" si="30"/>
        <v>-24227.607179999999</v>
      </c>
      <c r="J68" s="168">
        <f t="shared" si="29"/>
        <v>103711.16055999999</v>
      </c>
      <c r="M68" s="168"/>
    </row>
    <row r="69" spans="1:13" ht="13.8">
      <c r="A69" s="180" t="s">
        <v>180</v>
      </c>
      <c r="C69" s="168">
        <f t="shared" ref="C69:E71" si="31">$H11*C53</f>
        <v>0</v>
      </c>
      <c r="D69" s="168">
        <f t="shared" si="31"/>
        <v>0</v>
      </c>
      <c r="E69" s="168">
        <f t="shared" si="31"/>
        <v>0</v>
      </c>
      <c r="F69" s="168">
        <f t="shared" ref="F69:G71" si="32">($H11*F53)</f>
        <v>0</v>
      </c>
      <c r="G69" s="168">
        <f t="shared" si="32"/>
        <v>0</v>
      </c>
      <c r="H69" s="168">
        <f t="shared" ref="H69:I71" si="33">$H11*H53</f>
        <v>0</v>
      </c>
      <c r="I69" s="168">
        <f t="shared" si="33"/>
        <v>0</v>
      </c>
      <c r="J69" s="168">
        <f t="shared" si="29"/>
        <v>0</v>
      </c>
      <c r="M69" s="168"/>
    </row>
    <row r="70" spans="1:13" ht="13.8">
      <c r="A70" s="180" t="s">
        <v>137</v>
      </c>
      <c r="C70" s="168">
        <f t="shared" si="31"/>
        <v>0</v>
      </c>
      <c r="D70" s="168">
        <f t="shared" si="31"/>
        <v>342.54400000000004</v>
      </c>
      <c r="E70" s="168">
        <f t="shared" si="31"/>
        <v>0</v>
      </c>
      <c r="F70" s="168">
        <f t="shared" si="32"/>
        <v>2920.1875999999997</v>
      </c>
      <c r="G70" s="168">
        <f t="shared" si="32"/>
        <v>822.10559999999998</v>
      </c>
      <c r="H70" s="168">
        <f t="shared" si="33"/>
        <v>0</v>
      </c>
      <c r="I70" s="168">
        <f t="shared" si="33"/>
        <v>-522.37959999999998</v>
      </c>
      <c r="J70" s="168">
        <f t="shared" si="29"/>
        <v>3562.4575999999997</v>
      </c>
      <c r="M70" s="168"/>
    </row>
    <row r="71" spans="1:13" ht="13.8">
      <c r="A71" s="180" t="s">
        <v>138</v>
      </c>
      <c r="C71" s="168">
        <f t="shared" si="31"/>
        <v>-59.83146</v>
      </c>
      <c r="D71" s="168">
        <f t="shared" si="31"/>
        <v>29.546400000000002</v>
      </c>
      <c r="E71" s="168">
        <f t="shared" si="31"/>
        <v>0</v>
      </c>
      <c r="F71" s="168">
        <f t="shared" si="32"/>
        <v>251.88306</v>
      </c>
      <c r="G71" s="168">
        <f t="shared" si="32"/>
        <v>70.911360000000002</v>
      </c>
      <c r="H71" s="168">
        <f t="shared" si="33"/>
        <v>0</v>
      </c>
      <c r="I71" s="168">
        <f t="shared" si="33"/>
        <v>-45.058259999999997</v>
      </c>
      <c r="J71" s="168">
        <f t="shared" si="29"/>
        <v>247.45110000000003</v>
      </c>
      <c r="M71" s="168"/>
    </row>
    <row r="72" spans="1:13" ht="13.8">
      <c r="A72" s="180" t="s">
        <v>192</v>
      </c>
      <c r="C72" s="168">
        <f>($H14+$H15)*C56+$H16*C57</f>
        <v>0</v>
      </c>
      <c r="D72" s="168">
        <f>($H14+$H15)*D56+$H16*D57</f>
        <v>0</v>
      </c>
      <c r="E72" s="168">
        <f>($H14+$H15)*E56+$H16*E57</f>
        <v>0</v>
      </c>
      <c r="F72" s="168">
        <f>($H14+$H15)*F56+$H16*F57</f>
        <v>0</v>
      </c>
      <c r="G72" s="168"/>
      <c r="H72" s="168">
        <f>($H14+$H15)*H56+$H16*H57</f>
        <v>0</v>
      </c>
      <c r="I72" s="168">
        <f>($H14+$H15)*I56+$H16*I57</f>
        <v>0</v>
      </c>
      <c r="J72" s="168">
        <f t="shared" si="29"/>
        <v>0</v>
      </c>
    </row>
    <row r="73" spans="1:13" ht="13.8">
      <c r="A73" s="157"/>
      <c r="C73" s="193">
        <f t="shared" ref="C73:J73" si="34">SUM(C62:C72)</f>
        <v>9915.258600000001</v>
      </c>
      <c r="D73" s="193">
        <f t="shared" si="34"/>
        <v>-50635.861100000002</v>
      </c>
      <c r="E73" s="193">
        <f t="shared" si="34"/>
        <v>1150.3720500000002</v>
      </c>
      <c r="F73" s="193">
        <f t="shared" si="34"/>
        <v>77920.677259999997</v>
      </c>
      <c r="G73" s="193">
        <f t="shared" si="34"/>
        <v>22845.850399999996</v>
      </c>
      <c r="H73" s="193">
        <f t="shared" si="34"/>
        <v>0</v>
      </c>
      <c r="I73" s="193">
        <f t="shared" si="34"/>
        <v>-20781.33526</v>
      </c>
      <c r="J73" s="193">
        <f t="shared" si="34"/>
        <v>40414.961950000012</v>
      </c>
    </row>
    <row r="75" spans="1:13" ht="13.8">
      <c r="A75" s="152" t="s">
        <v>19</v>
      </c>
      <c r="B75" s="152"/>
      <c r="C75" s="168">
        <f t="shared" ref="C75:J75" si="35">C62+C63</f>
        <v>9624.8784599999999</v>
      </c>
      <c r="D75" s="168">
        <f t="shared" si="35"/>
        <v>-52877.418699999995</v>
      </c>
      <c r="E75" s="168">
        <f t="shared" si="35"/>
        <v>1150.3720500000002</v>
      </c>
      <c r="F75" s="168">
        <f t="shared" si="35"/>
        <v>-40876.027040000001</v>
      </c>
      <c r="G75" s="168">
        <f t="shared" si="35"/>
        <v>-12476.694299999999</v>
      </c>
      <c r="H75" s="168">
        <f t="shared" si="35"/>
        <v>0</v>
      </c>
      <c r="I75" s="168">
        <f t="shared" si="35"/>
        <v>6773.0626199999997</v>
      </c>
      <c r="J75" s="168">
        <f t="shared" si="35"/>
        <v>-88681.826909999989</v>
      </c>
    </row>
    <row r="76" spans="1:13" ht="13.8">
      <c r="A76" s="152"/>
      <c r="B76" s="152"/>
      <c r="C76" s="168"/>
      <c r="D76" s="168"/>
      <c r="E76" s="168"/>
      <c r="F76" s="168"/>
      <c r="G76" s="168"/>
      <c r="H76" s="168"/>
      <c r="I76" s="168"/>
      <c r="J76" s="168"/>
    </row>
    <row r="77" spans="1:13" ht="13.8">
      <c r="A77" s="152" t="s">
        <v>184</v>
      </c>
      <c r="B77" s="152"/>
      <c r="C77" s="176">
        <f t="shared" ref="C77:J77" si="36">SUM(C64:C67,C69:C71)</f>
        <v>290.38013999999998</v>
      </c>
      <c r="D77" s="176">
        <f t="shared" si="36"/>
        <v>2241.5576000000005</v>
      </c>
      <c r="E77" s="176">
        <f t="shared" si="36"/>
        <v>0</v>
      </c>
      <c r="F77" s="176">
        <f t="shared" si="36"/>
        <v>20186.092620000003</v>
      </c>
      <c r="G77" s="176">
        <f t="shared" si="36"/>
        <v>5994.3886399999992</v>
      </c>
      <c r="H77" s="176">
        <f t="shared" si="36"/>
        <v>0</v>
      </c>
      <c r="I77" s="176">
        <f t="shared" si="36"/>
        <v>-3326.7906999999996</v>
      </c>
      <c r="J77" s="176">
        <f t="shared" si="36"/>
        <v>25385.628299999997</v>
      </c>
    </row>
    <row r="79" spans="1:13" ht="14.4">
      <c r="A79" s="151" t="s">
        <v>215</v>
      </c>
      <c r="B79" s="151"/>
      <c r="C79" s="151"/>
      <c r="D79" s="151"/>
      <c r="E79" s="151"/>
      <c r="F79" s="151"/>
    </row>
    <row r="80" spans="1:13" ht="14.4">
      <c r="A80" s="151" t="s">
        <v>223</v>
      </c>
      <c r="B80" s="151"/>
      <c r="C80" s="151"/>
      <c r="D80" s="151"/>
      <c r="E80" s="151"/>
      <c r="F80" s="151"/>
    </row>
    <row r="81" spans="1:14" ht="14.4">
      <c r="A81" s="170" t="s">
        <v>222</v>
      </c>
      <c r="B81" s="170"/>
      <c r="C81" s="170"/>
      <c r="D81" s="170"/>
      <c r="E81" s="170"/>
      <c r="F81" s="151"/>
    </row>
    <row r="82" spans="1:14" ht="28.2" customHeight="1">
      <c r="A82" s="170"/>
      <c r="B82" s="197" t="s">
        <v>216</v>
      </c>
      <c r="C82" s="197" t="s">
        <v>217</v>
      </c>
      <c r="D82" s="197" t="s">
        <v>218</v>
      </c>
      <c r="E82" s="197" t="s">
        <v>221</v>
      </c>
      <c r="F82" s="151"/>
      <c r="G82" s="403" t="s">
        <v>310</v>
      </c>
      <c r="H82" s="403"/>
      <c r="I82" s="403"/>
      <c r="J82" s="403"/>
      <c r="M82" s="200"/>
      <c r="N82" s="200"/>
    </row>
    <row r="83" spans="1:14" ht="14.4">
      <c r="A83" s="170" t="s">
        <v>311</v>
      </c>
      <c r="B83" s="198">
        <v>1</v>
      </c>
      <c r="C83" s="199">
        <v>896023</v>
      </c>
      <c r="D83" s="200">
        <f>77630.31-C83*SUM(K51)</f>
        <v>75444.013879999999</v>
      </c>
      <c r="E83" s="200">
        <f>500*B83</f>
        <v>500</v>
      </c>
      <c r="F83" s="201" t="s">
        <v>219</v>
      </c>
      <c r="H83" s="198"/>
      <c r="I83" s="199"/>
      <c r="J83" s="200"/>
      <c r="K83" s="200"/>
      <c r="L83" s="201"/>
    </row>
    <row r="84" spans="1:14" ht="14.4" customHeight="1">
      <c r="A84" s="202" t="s">
        <v>258</v>
      </c>
      <c r="B84" s="203">
        <f>SUM(B83:B83)</f>
        <v>1</v>
      </c>
      <c r="C84" s="204">
        <f>SUM(C83:C83)</f>
        <v>896023</v>
      </c>
      <c r="D84" s="205">
        <f>SUM(D83:D83)</f>
        <v>75444.013879999999</v>
      </c>
      <c r="E84" s="205">
        <f>SUM(E83:E83)</f>
        <v>500</v>
      </c>
      <c r="F84" s="151"/>
    </row>
    <row r="85" spans="1:14" ht="9" customHeight="1">
      <c r="A85" s="170"/>
      <c r="B85" s="170"/>
      <c r="C85" s="170"/>
      <c r="D85" s="170"/>
      <c r="E85" s="170"/>
      <c r="F85" s="151"/>
    </row>
    <row r="86" spans="1:14" ht="14.4">
      <c r="A86" s="206"/>
      <c r="B86" s="206"/>
      <c r="C86" s="206"/>
      <c r="D86" s="206"/>
      <c r="E86" s="151"/>
      <c r="F86" s="151"/>
    </row>
  </sheetData>
  <mergeCells count="3">
    <mergeCell ref="A1:I1"/>
    <mergeCell ref="G56:G57"/>
    <mergeCell ref="G82:J82"/>
  </mergeCells>
  <printOptions horizontalCentered="1"/>
  <pageMargins left="0.45" right="0.45" top="0.5" bottom="0.5" header="0.3" footer="0.3"/>
  <pageSetup scale="74" fitToHeight="2" orientation="landscape" r:id="rId1"/>
  <headerFooter>
    <oddFooter>&amp;L&amp;F / &amp;A&amp;RPage &amp;P</oddFooter>
  </headerFooter>
  <rowBreaks count="1" manualBreakCount="1">
    <brk id="42" max="10" man="1"/>
  </rowBreaks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0.39997558519241921"/>
  </sheetPr>
  <dimension ref="A1:AE89"/>
  <sheetViews>
    <sheetView workbookViewId="0">
      <selection sqref="A1:I1"/>
    </sheetView>
  </sheetViews>
  <sheetFormatPr defaultColWidth="9.109375" defaultRowHeight="13.8"/>
  <cols>
    <col min="1" max="1" width="13.6640625" style="1" customWidth="1"/>
    <col min="2" max="2" width="10.109375" style="1" customWidth="1"/>
    <col min="3" max="3" width="17.44140625" style="1" customWidth="1"/>
    <col min="4" max="4" width="20.6640625" style="1" bestFit="1" customWidth="1"/>
    <col min="5" max="5" width="16.109375" style="1" customWidth="1"/>
    <col min="6" max="6" width="15.6640625" style="1" bestFit="1" customWidth="1"/>
    <col min="7" max="7" width="19" style="1" bestFit="1" customWidth="1"/>
    <col min="8" max="8" width="13.6640625" style="1" bestFit="1" customWidth="1"/>
    <col min="9" max="9" width="19.88671875" style="1" bestFit="1" customWidth="1"/>
    <col min="10" max="10" width="14.109375" style="1" customWidth="1"/>
    <col min="11" max="11" width="13.109375" style="1" customWidth="1"/>
    <col min="12" max="12" width="13.5546875" style="1" bestFit="1" customWidth="1"/>
    <col min="13" max="13" width="14.6640625" style="1" customWidth="1"/>
    <col min="14" max="14" width="2.6640625" style="1" customWidth="1"/>
    <col min="15" max="15" width="13.44140625" style="1" customWidth="1"/>
    <col min="16" max="16" width="13.33203125" style="1" customWidth="1"/>
    <col min="17" max="17" width="13" style="1" customWidth="1"/>
    <col min="18" max="18" width="10.109375" style="1" customWidth="1"/>
    <col min="19" max="19" width="12.33203125" style="1" customWidth="1"/>
    <col min="20" max="20" width="14.33203125" style="1" customWidth="1"/>
    <col min="21" max="21" width="11" style="1" customWidth="1"/>
    <col min="22" max="22" width="15.5546875" style="1" customWidth="1"/>
    <col min="23" max="23" width="1.6640625" style="1" customWidth="1"/>
    <col min="24" max="24" width="16.109375" style="1" customWidth="1"/>
    <col min="25" max="25" width="2" style="1" customWidth="1"/>
    <col min="26" max="26" width="14.33203125" style="1" customWidth="1"/>
    <col min="27" max="27" width="12.33203125" style="1" customWidth="1"/>
    <col min="28" max="28" width="14.109375" style="1" customWidth="1"/>
    <col min="29" max="29" width="15.6640625" style="1" customWidth="1"/>
    <col min="30" max="30" width="16.6640625" style="1" customWidth="1"/>
    <col min="31" max="16384" width="9.109375" style="1"/>
  </cols>
  <sheetData>
    <row r="1" spans="1:31" ht="14.4">
      <c r="A1" s="399" t="s">
        <v>172</v>
      </c>
      <c r="B1" s="399"/>
      <c r="C1" s="399"/>
      <c r="D1" s="399"/>
      <c r="E1" s="399"/>
      <c r="F1" s="399"/>
      <c r="G1" s="399"/>
      <c r="H1" s="399"/>
      <c r="I1" s="399"/>
      <c r="M1" s="151" t="s">
        <v>234</v>
      </c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 t="s">
        <v>235</v>
      </c>
      <c r="AA1" s="224" t="s">
        <v>83</v>
      </c>
      <c r="AB1" s="151"/>
      <c r="AC1" s="151" t="s">
        <v>237</v>
      </c>
      <c r="AD1" s="224" t="s">
        <v>82</v>
      </c>
      <c r="AE1" s="151"/>
    </row>
    <row r="2" spans="1:31" ht="42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  <c r="M2" s="151"/>
      <c r="N2" s="151"/>
      <c r="O2" s="213" t="str">
        <f>AA1&amp;" Billed Schedule 75 Revenue"</f>
        <v>April Billed Schedule 75 Revenue</v>
      </c>
      <c r="P2" s="213" t="str">
        <f>AA1&amp;" Billed kWhs"</f>
        <v>April Billed kWhs</v>
      </c>
      <c r="Q2" s="213" t="str">
        <f>AA1&amp;" Unbilled kWhs"</f>
        <v>April Unbilled kWhs</v>
      </c>
      <c r="R2" s="213" t="s">
        <v>238</v>
      </c>
      <c r="S2" s="213" t="s">
        <v>239</v>
      </c>
      <c r="T2" s="213" t="str">
        <f>AD1&amp;" Unbilled kWhs reversal"</f>
        <v>March Unbilled kWhs reversal</v>
      </c>
      <c r="U2" s="213" t="s">
        <v>238</v>
      </c>
      <c r="V2" s="213" t="str">
        <f>AD1&amp;" Schedule 75 Unbilled Reversal"</f>
        <v>March Schedule 75 Unbilled Reversal</v>
      </c>
      <c r="W2" s="151"/>
      <c r="X2" s="213" t="str">
        <f>"Total "&amp;AA1&amp;" Schedule 75 Revenue"</f>
        <v>Total April Schedule 75 Revenue</v>
      </c>
      <c r="Y2" s="151"/>
      <c r="Z2" s="213" t="str">
        <f>"Calendar "&amp;AA1&amp;" Usage"</f>
        <v>Calendar April Usage</v>
      </c>
      <c r="AA2" s="213" t="str">
        <f>R2</f>
        <v>11/1/2017 rate</v>
      </c>
      <c r="AB2" s="213" t="s">
        <v>240</v>
      </c>
      <c r="AC2" s="213" t="s">
        <v>241</v>
      </c>
      <c r="AD2" s="213" t="str">
        <f>"implied "&amp;AD1&amp;" unbilled/Cancel-Rebill True-up kWhs"</f>
        <v>implied March unbilled/Cancel-Rebill True-up kWhs</v>
      </c>
      <c r="AE2" s="151"/>
    </row>
    <row r="3" spans="1:31" ht="15" customHeight="1">
      <c r="A3" s="180" t="s">
        <v>131</v>
      </c>
      <c r="B3" s="152"/>
      <c r="C3" s="158">
        <v>214565</v>
      </c>
      <c r="D3" s="194"/>
      <c r="E3" s="182">
        <v>195370733.43000999</v>
      </c>
      <c r="F3" s="182">
        <v>-117838911</v>
      </c>
      <c r="G3" s="182">
        <v>96562318</v>
      </c>
      <c r="H3" s="189">
        <f>SUM(F3:G3)</f>
        <v>-21276593</v>
      </c>
      <c r="I3" s="159">
        <f>E3+H3</f>
        <v>174094140.43000999</v>
      </c>
      <c r="M3" s="151" t="s">
        <v>242</v>
      </c>
      <c r="N3" s="151"/>
      <c r="O3" s="214">
        <v>869427.59</v>
      </c>
      <c r="P3" s="225">
        <f t="shared" ref="P3:P8" si="0">E3</f>
        <v>195370733.43000999</v>
      </c>
      <c r="Q3" s="225">
        <f t="shared" ref="Q3:Q8" si="1">G3</f>
        <v>96562318</v>
      </c>
      <c r="R3" s="206">
        <v>4.45E-3</v>
      </c>
      <c r="S3" s="215">
        <f>Q3*R3</f>
        <v>429702.31510000001</v>
      </c>
      <c r="T3" s="225">
        <f t="shared" ref="T3:T8" si="2">F3</f>
        <v>-117838911</v>
      </c>
      <c r="U3" s="206">
        <v>4.45E-3</v>
      </c>
      <c r="V3" s="216">
        <f>T3*U3</f>
        <v>-524383.15394999995</v>
      </c>
      <c r="W3" s="151"/>
      <c r="X3" s="150">
        <f>O3+S3+V3</f>
        <v>774746.75115000014</v>
      </c>
      <c r="Y3" s="151"/>
      <c r="Z3" s="95">
        <f>P3+Q3+T3</f>
        <v>174094140.43000996</v>
      </c>
      <c r="AA3" s="170">
        <f>R3</f>
        <v>4.45E-3</v>
      </c>
      <c r="AB3" s="217">
        <f>Z3*AA3</f>
        <v>774718.92491354432</v>
      </c>
      <c r="AC3" s="150">
        <f>X3-AB3</f>
        <v>27.826236455817707</v>
      </c>
      <c r="AD3" s="95">
        <f>AC3/AA3</f>
        <v>6253.0868440039794</v>
      </c>
      <c r="AE3" s="218">
        <f>AC3/X3</f>
        <v>3.5916557784222598E-5</v>
      </c>
    </row>
    <row r="4" spans="1:31" ht="14.4">
      <c r="A4" s="180" t="s">
        <v>178</v>
      </c>
      <c r="B4" s="152"/>
      <c r="C4" s="158">
        <v>406</v>
      </c>
      <c r="D4" s="194"/>
      <c r="E4" s="182">
        <v>456615.86800000002</v>
      </c>
      <c r="F4" s="182">
        <v>-277558</v>
      </c>
      <c r="G4" s="182">
        <v>214941</v>
      </c>
      <c r="H4" s="189">
        <f t="shared" ref="H4:H16" si="3">SUM(F4:G4)</f>
        <v>-62617</v>
      </c>
      <c r="I4" s="159">
        <f t="shared" ref="I4:I16" si="4">E4+H4</f>
        <v>393998.86800000002</v>
      </c>
      <c r="M4" s="151" t="s">
        <v>243</v>
      </c>
      <c r="N4" s="151"/>
      <c r="O4" s="214">
        <v>2031.96</v>
      </c>
      <c r="P4" s="225">
        <f t="shared" si="0"/>
        <v>456615.86800000002</v>
      </c>
      <c r="Q4" s="225">
        <f t="shared" si="1"/>
        <v>214941</v>
      </c>
      <c r="R4" s="206">
        <v>4.45E-3</v>
      </c>
      <c r="S4" s="215">
        <f>Q4*R4</f>
        <v>956.48744999999997</v>
      </c>
      <c r="T4" s="225">
        <f t="shared" si="2"/>
        <v>-277558</v>
      </c>
      <c r="U4" s="206">
        <v>4.45E-3</v>
      </c>
      <c r="V4" s="216">
        <f t="shared" ref="V4:V11" si="5">T4*U4</f>
        <v>-1235.1331</v>
      </c>
      <c r="W4" s="151"/>
      <c r="X4" s="150">
        <f t="shared" ref="X4:X11" si="6">O4+S4+V4</f>
        <v>1753.3143500000001</v>
      </c>
      <c r="Y4" s="151"/>
      <c r="Z4" s="95">
        <f t="shared" ref="Z4:Z11" si="7">P4+Q4+T4</f>
        <v>393998.86800000002</v>
      </c>
      <c r="AA4" s="170">
        <f t="shared" ref="AA4:AA11" si="8">R4</f>
        <v>4.45E-3</v>
      </c>
      <c r="AB4" s="217">
        <f t="shared" ref="AB4:AB11" si="9">Z4*AA4</f>
        <v>1753.2949626</v>
      </c>
      <c r="AC4" s="150">
        <f t="shared" ref="AC4:AC11" si="10">X4-AB4</f>
        <v>1.9387400000141497E-2</v>
      </c>
      <c r="AD4" s="95">
        <f t="shared" ref="AD4:AD11" si="11">AC4/AA4</f>
        <v>4.3567191011553925</v>
      </c>
      <c r="AE4" s="218">
        <f t="shared" ref="AE4:AE12" si="12">AC4/X4</f>
        <v>1.1057572191855669E-5</v>
      </c>
    </row>
    <row r="5" spans="1:31" ht="14.4">
      <c r="A5" s="180" t="s">
        <v>132</v>
      </c>
      <c r="B5" s="152"/>
      <c r="C5" s="158">
        <v>22562</v>
      </c>
      <c r="D5" s="194"/>
      <c r="E5" s="182">
        <v>45542639.403999999</v>
      </c>
      <c r="F5" s="182">
        <v>-24980245</v>
      </c>
      <c r="G5" s="182">
        <v>22407616</v>
      </c>
      <c r="H5" s="189">
        <f t="shared" si="3"/>
        <v>-2572629</v>
      </c>
      <c r="I5" s="159">
        <f t="shared" si="4"/>
        <v>42970010.403999999</v>
      </c>
      <c r="M5" s="151" t="s">
        <v>244</v>
      </c>
      <c r="N5" s="151"/>
      <c r="O5" s="214">
        <v>18215.41</v>
      </c>
      <c r="P5" s="225">
        <f t="shared" si="0"/>
        <v>45542639.403999999</v>
      </c>
      <c r="Q5" s="225">
        <f t="shared" si="1"/>
        <v>22407616</v>
      </c>
      <c r="R5" s="219">
        <v>4.0000000000000002E-4</v>
      </c>
      <c r="S5" s="215">
        <f>Q5*R5</f>
        <v>8963.0464000000011</v>
      </c>
      <c r="T5" s="225">
        <f t="shared" si="2"/>
        <v>-24980245</v>
      </c>
      <c r="U5" s="219">
        <v>4.0000000000000002E-4</v>
      </c>
      <c r="V5" s="216">
        <f t="shared" si="5"/>
        <v>-9992.098</v>
      </c>
      <c r="W5" s="151"/>
      <c r="X5" s="150">
        <f t="shared" si="6"/>
        <v>17186.358400000005</v>
      </c>
      <c r="Y5" s="151"/>
      <c r="Z5" s="95">
        <f t="shared" si="7"/>
        <v>42970010.403999999</v>
      </c>
      <c r="AA5" s="220">
        <f t="shared" si="8"/>
        <v>4.0000000000000002E-4</v>
      </c>
      <c r="AB5" s="217">
        <f t="shared" si="9"/>
        <v>17188.004161600002</v>
      </c>
      <c r="AC5" s="150">
        <f t="shared" si="10"/>
        <v>-1.6457615999970585</v>
      </c>
      <c r="AD5" s="95">
        <f t="shared" si="11"/>
        <v>-4114.4039999926463</v>
      </c>
      <c r="AE5" s="218">
        <f t="shared" si="12"/>
        <v>-9.5759762579899308E-5</v>
      </c>
    </row>
    <row r="6" spans="1:31" ht="14.4">
      <c r="A6" s="180" t="s">
        <v>133</v>
      </c>
      <c r="B6" s="152"/>
      <c r="C6" s="158">
        <v>9385</v>
      </c>
      <c r="D6" s="194"/>
      <c r="E6" s="182">
        <v>5149600.71</v>
      </c>
      <c r="F6" s="182">
        <v>-3114821</v>
      </c>
      <c r="G6" s="182">
        <v>2552426</v>
      </c>
      <c r="H6" s="189">
        <f t="shared" si="3"/>
        <v>-562395</v>
      </c>
      <c r="I6" s="159">
        <f t="shared" si="4"/>
        <v>4587205.71</v>
      </c>
      <c r="M6" s="151" t="s">
        <v>245</v>
      </c>
      <c r="N6" s="151"/>
      <c r="O6" s="214">
        <v>2058.6799999999998</v>
      </c>
      <c r="P6" s="225">
        <f t="shared" si="0"/>
        <v>5149600.71</v>
      </c>
      <c r="Q6" s="225">
        <f t="shared" si="1"/>
        <v>2552426</v>
      </c>
      <c r="R6" s="219">
        <v>4.0000000000000002E-4</v>
      </c>
      <c r="S6" s="215">
        <f t="shared" ref="S6:S11" si="13">Q6*R6</f>
        <v>1020.9704</v>
      </c>
      <c r="T6" s="225">
        <f t="shared" si="2"/>
        <v>-3114821</v>
      </c>
      <c r="U6" s="219">
        <v>4.0000000000000002E-4</v>
      </c>
      <c r="V6" s="216">
        <f t="shared" si="5"/>
        <v>-1245.9284</v>
      </c>
      <c r="W6" s="151"/>
      <c r="X6" s="150">
        <f t="shared" si="6"/>
        <v>1833.722</v>
      </c>
      <c r="Y6" s="151"/>
      <c r="Z6" s="95">
        <f t="shared" si="7"/>
        <v>4587205.71</v>
      </c>
      <c r="AA6" s="220">
        <f t="shared" si="8"/>
        <v>4.0000000000000002E-4</v>
      </c>
      <c r="AB6" s="217">
        <f t="shared" si="9"/>
        <v>1834.882284</v>
      </c>
      <c r="AC6" s="150">
        <f t="shared" si="10"/>
        <v>-1.1602840000000469</v>
      </c>
      <c r="AD6" s="95">
        <f t="shared" si="11"/>
        <v>-2900.7100000001174</v>
      </c>
      <c r="AE6" s="218">
        <f t="shared" si="12"/>
        <v>-6.3274803923388983E-4</v>
      </c>
    </row>
    <row r="7" spans="1:31" ht="14.4">
      <c r="A7" s="180" t="s">
        <v>134</v>
      </c>
      <c r="B7" s="152"/>
      <c r="C7" s="158">
        <v>1842</v>
      </c>
      <c r="D7" s="194"/>
      <c r="E7" s="182">
        <v>108414515.04799999</v>
      </c>
      <c r="F7" s="182">
        <v>-54956540</v>
      </c>
      <c r="G7" s="182">
        <v>53278541</v>
      </c>
      <c r="H7" s="189">
        <f t="shared" si="3"/>
        <v>-1677999</v>
      </c>
      <c r="I7" s="159">
        <f t="shared" si="4"/>
        <v>106736516.04799999</v>
      </c>
      <c r="M7" s="151" t="s">
        <v>246</v>
      </c>
      <c r="N7" s="151"/>
      <c r="O7" s="214">
        <v>43365.95</v>
      </c>
      <c r="P7" s="225">
        <f t="shared" si="0"/>
        <v>108414515.04799999</v>
      </c>
      <c r="Q7" s="225">
        <f t="shared" si="1"/>
        <v>53278541</v>
      </c>
      <c r="R7" s="219">
        <v>4.0000000000000002E-4</v>
      </c>
      <c r="S7" s="215">
        <f t="shared" si="13"/>
        <v>21311.416400000002</v>
      </c>
      <c r="T7" s="225">
        <f t="shared" si="2"/>
        <v>-54956540</v>
      </c>
      <c r="U7" s="219">
        <v>4.0000000000000002E-4</v>
      </c>
      <c r="V7" s="216">
        <f t="shared" si="5"/>
        <v>-21982.616000000002</v>
      </c>
      <c r="W7" s="151"/>
      <c r="X7" s="150">
        <f t="shared" si="6"/>
        <v>42694.750399999997</v>
      </c>
      <c r="Y7" s="151"/>
      <c r="Z7" s="95">
        <f t="shared" si="7"/>
        <v>106736516.04799998</v>
      </c>
      <c r="AA7" s="220">
        <f t="shared" si="8"/>
        <v>4.0000000000000002E-4</v>
      </c>
      <c r="AB7" s="217">
        <f t="shared" si="9"/>
        <v>42694.60641919999</v>
      </c>
      <c r="AC7" s="150">
        <f t="shared" si="10"/>
        <v>0.14398080000682967</v>
      </c>
      <c r="AD7" s="95">
        <f t="shared" si="11"/>
        <v>359.95200001707417</v>
      </c>
      <c r="AE7" s="218">
        <f t="shared" si="12"/>
        <v>3.3723302902089265E-6</v>
      </c>
    </row>
    <row r="8" spans="1:31" ht="14.4">
      <c r="A8" s="180" t="s">
        <v>135</v>
      </c>
      <c r="B8" s="152"/>
      <c r="C8" s="158">
        <v>47</v>
      </c>
      <c r="D8" s="194"/>
      <c r="E8" s="182">
        <v>2676218.56</v>
      </c>
      <c r="F8" s="182">
        <v>-1541990</v>
      </c>
      <c r="G8" s="182">
        <v>1316515</v>
      </c>
      <c r="H8" s="189">
        <f t="shared" si="3"/>
        <v>-225475</v>
      </c>
      <c r="I8" s="159">
        <f t="shared" si="4"/>
        <v>2450743.56</v>
      </c>
      <c r="M8" s="151" t="s">
        <v>247</v>
      </c>
      <c r="N8" s="151"/>
      <c r="O8" s="214">
        <v>1070.48</v>
      </c>
      <c r="P8" s="225">
        <f t="shared" si="0"/>
        <v>2676218.56</v>
      </c>
      <c r="Q8" s="225">
        <f t="shared" si="1"/>
        <v>1316515</v>
      </c>
      <c r="R8" s="219">
        <v>4.0000000000000002E-4</v>
      </c>
      <c r="S8" s="215">
        <f t="shared" si="13"/>
        <v>526.60599999999999</v>
      </c>
      <c r="T8" s="225">
        <f t="shared" si="2"/>
        <v>-1541990</v>
      </c>
      <c r="U8" s="219">
        <v>4.0000000000000002E-4</v>
      </c>
      <c r="V8" s="216">
        <f t="shared" si="5"/>
        <v>-616.79600000000005</v>
      </c>
      <c r="W8" s="151"/>
      <c r="X8" s="150">
        <f t="shared" si="6"/>
        <v>980.29</v>
      </c>
      <c r="Y8" s="151"/>
      <c r="Z8" s="95">
        <f t="shared" si="7"/>
        <v>2450743.56</v>
      </c>
      <c r="AA8" s="220">
        <f t="shared" si="8"/>
        <v>4.0000000000000002E-4</v>
      </c>
      <c r="AB8" s="217">
        <f t="shared" si="9"/>
        <v>980.29742400000009</v>
      </c>
      <c r="AC8" s="150">
        <f t="shared" si="10"/>
        <v>-7.4240000001282169E-3</v>
      </c>
      <c r="AD8" s="95">
        <f t="shared" si="11"/>
        <v>-18.560000000320542</v>
      </c>
      <c r="AE8" s="218">
        <f t="shared" si="12"/>
        <v>-7.5732691347746252E-6</v>
      </c>
    </row>
    <row r="9" spans="1:31" ht="14.4">
      <c r="A9" s="180" t="s">
        <v>136</v>
      </c>
      <c r="B9" s="152"/>
      <c r="C9" s="158">
        <v>23</v>
      </c>
      <c r="D9" s="194"/>
      <c r="E9" s="182">
        <f>91719050-E10</f>
        <v>55707042</v>
      </c>
      <c r="F9" s="182">
        <v>-10932134</v>
      </c>
      <c r="G9" s="182">
        <f>49900218-G10</f>
        <v>14900218</v>
      </c>
      <c r="H9" s="189">
        <f t="shared" si="3"/>
        <v>3968084</v>
      </c>
      <c r="I9" s="159">
        <f t="shared" si="4"/>
        <v>59675126</v>
      </c>
      <c r="M9" s="151" t="s">
        <v>248</v>
      </c>
      <c r="N9" s="151"/>
      <c r="O9" s="214">
        <v>269.08999999999997</v>
      </c>
      <c r="P9" s="225">
        <f>E11</f>
        <v>672678.255</v>
      </c>
      <c r="Q9" s="225">
        <f>G11</f>
        <v>0</v>
      </c>
      <c r="R9" s="219">
        <v>4.0000000000000002E-4</v>
      </c>
      <c r="S9" s="215">
        <f t="shared" si="13"/>
        <v>0</v>
      </c>
      <c r="T9" s="225">
        <f>F11</f>
        <v>0</v>
      </c>
      <c r="U9" s="219">
        <v>4.0000000000000002E-4</v>
      </c>
      <c r="V9" s="216">
        <f t="shared" si="5"/>
        <v>0</v>
      </c>
      <c r="W9" s="151"/>
      <c r="X9" s="150">
        <f t="shared" si="6"/>
        <v>269.08999999999997</v>
      </c>
      <c r="Y9" s="151"/>
      <c r="Z9" s="95">
        <f t="shared" si="7"/>
        <v>672678.255</v>
      </c>
      <c r="AA9" s="220">
        <f t="shared" si="8"/>
        <v>4.0000000000000002E-4</v>
      </c>
      <c r="AB9" s="217">
        <f t="shared" si="9"/>
        <v>269.071302</v>
      </c>
      <c r="AC9" s="150">
        <f t="shared" si="10"/>
        <v>1.8697999999972126E-2</v>
      </c>
      <c r="AD9" s="95">
        <f t="shared" si="11"/>
        <v>46.744999999930315</v>
      </c>
      <c r="AE9" s="218">
        <f t="shared" si="12"/>
        <v>6.9486045560861146E-5</v>
      </c>
    </row>
    <row r="10" spans="1:31" ht="14.4">
      <c r="A10" s="180" t="s">
        <v>179</v>
      </c>
      <c r="B10" s="152"/>
      <c r="C10" s="158"/>
      <c r="D10" s="194"/>
      <c r="E10" s="182">
        <v>36012008</v>
      </c>
      <c r="F10" s="182">
        <v>-35000000</v>
      </c>
      <c r="G10" s="182">
        <v>35000000</v>
      </c>
      <c r="H10" s="189">
        <f t="shared" si="3"/>
        <v>0</v>
      </c>
      <c r="I10" s="159">
        <f t="shared" si="4"/>
        <v>36012008</v>
      </c>
      <c r="M10" s="151" t="s">
        <v>249</v>
      </c>
      <c r="N10" s="151"/>
      <c r="O10" s="214">
        <v>1717.39</v>
      </c>
      <c r="P10" s="225">
        <f>E12</f>
        <v>4293787.9720000001</v>
      </c>
      <c r="Q10" s="225">
        <f>G12</f>
        <v>1826999</v>
      </c>
      <c r="R10" s="219">
        <v>4.0000000000000002E-4</v>
      </c>
      <c r="S10" s="215">
        <f t="shared" si="13"/>
        <v>730.79960000000005</v>
      </c>
      <c r="T10" s="225">
        <f>F12</f>
        <v>-1788709</v>
      </c>
      <c r="U10" s="219">
        <v>4.0000000000000002E-4</v>
      </c>
      <c r="V10" s="216">
        <f t="shared" si="5"/>
        <v>-715.48360000000002</v>
      </c>
      <c r="W10" s="151"/>
      <c r="X10" s="150">
        <f>O10+S10+V10</f>
        <v>1732.7060000000001</v>
      </c>
      <c r="Y10" s="151"/>
      <c r="Z10" s="95">
        <f t="shared" si="7"/>
        <v>4332077.9720000001</v>
      </c>
      <c r="AA10" s="220">
        <f t="shared" si="8"/>
        <v>4.0000000000000002E-4</v>
      </c>
      <c r="AB10" s="217">
        <f t="shared" si="9"/>
        <v>1732.8311888000001</v>
      </c>
      <c r="AC10" s="150">
        <f t="shared" si="10"/>
        <v>-0.1251887999999326</v>
      </c>
      <c r="AD10" s="95">
        <f t="shared" si="11"/>
        <v>-312.9719999998315</v>
      </c>
      <c r="AE10" s="218">
        <f t="shared" si="12"/>
        <v>-7.2250456799902925E-5</v>
      </c>
    </row>
    <row r="11" spans="1:31" ht="14.4">
      <c r="A11" s="180" t="s">
        <v>180</v>
      </c>
      <c r="B11" s="152"/>
      <c r="C11" s="158">
        <v>48</v>
      </c>
      <c r="D11" s="194"/>
      <c r="E11" s="182">
        <v>672678.255</v>
      </c>
      <c r="F11" s="182">
        <v>0</v>
      </c>
      <c r="G11" s="182">
        <v>0</v>
      </c>
      <c r="H11" s="189">
        <f t="shared" si="3"/>
        <v>0</v>
      </c>
      <c r="I11" s="159">
        <f t="shared" si="4"/>
        <v>672678.255</v>
      </c>
      <c r="M11" s="151" t="s">
        <v>250</v>
      </c>
      <c r="N11" s="151"/>
      <c r="O11" s="214">
        <v>142.81</v>
      </c>
      <c r="P11" s="225">
        <f>E13</f>
        <v>357364.77600000001</v>
      </c>
      <c r="Q11" s="225">
        <f>G13</f>
        <v>107471</v>
      </c>
      <c r="R11" s="219">
        <v>4.0000000000000002E-4</v>
      </c>
      <c r="S11" s="215">
        <f t="shared" si="13"/>
        <v>42.988399999999999</v>
      </c>
      <c r="T11" s="225">
        <f>F13</f>
        <v>-123359</v>
      </c>
      <c r="U11" s="219">
        <v>4.0000000000000002E-4</v>
      </c>
      <c r="V11" s="216">
        <f t="shared" si="5"/>
        <v>-49.343600000000002</v>
      </c>
      <c r="W11" s="151"/>
      <c r="X11" s="150">
        <f t="shared" si="6"/>
        <v>136.45480000000001</v>
      </c>
      <c r="Y11" s="151"/>
      <c r="Z11" s="95">
        <f t="shared" si="7"/>
        <v>341476.77600000001</v>
      </c>
      <c r="AA11" s="220">
        <f t="shared" si="8"/>
        <v>4.0000000000000002E-4</v>
      </c>
      <c r="AB11" s="217">
        <f t="shared" si="9"/>
        <v>136.59071040000001</v>
      </c>
      <c r="AC11" s="150">
        <f t="shared" si="10"/>
        <v>-0.13591040000000021</v>
      </c>
      <c r="AD11" s="95">
        <f t="shared" si="11"/>
        <v>-339.77600000000052</v>
      </c>
      <c r="AE11" s="218">
        <f t="shared" si="12"/>
        <v>-9.9601040051357811E-4</v>
      </c>
    </row>
    <row r="12" spans="1:31" ht="14.4">
      <c r="A12" s="180" t="s">
        <v>137</v>
      </c>
      <c r="B12" s="152"/>
      <c r="C12" s="158">
        <v>1192</v>
      </c>
      <c r="D12" s="194"/>
      <c r="E12" s="182">
        <v>4293787.9720000001</v>
      </c>
      <c r="F12" s="182">
        <v>-1788709</v>
      </c>
      <c r="G12" s="182">
        <v>1826999</v>
      </c>
      <c r="H12" s="189">
        <f t="shared" si="3"/>
        <v>38290</v>
      </c>
      <c r="I12" s="159">
        <f t="shared" si="4"/>
        <v>4332077.9720000001</v>
      </c>
      <c r="M12" s="151"/>
      <c r="N12" s="151"/>
      <c r="O12" s="221">
        <f>SUM(O3:O11)</f>
        <v>938299.36</v>
      </c>
      <c r="P12" s="51">
        <f>SUM(P3:P11)</f>
        <v>362934154.02301002</v>
      </c>
      <c r="Q12" s="51">
        <f>SUM(Q3:Q11)</f>
        <v>178266827</v>
      </c>
      <c r="R12" s="151"/>
      <c r="S12" s="221">
        <f>SUM(S3:S11)</f>
        <v>463254.62975000002</v>
      </c>
      <c r="T12" s="51">
        <f>SUM(T3:T11)</f>
        <v>-204622133</v>
      </c>
      <c r="U12" s="151"/>
      <c r="V12" s="221">
        <f>SUM(V3:V11)</f>
        <v>-560220.55264999997</v>
      </c>
      <c r="W12" s="151"/>
      <c r="X12" s="221">
        <f>SUM(X3:X11)</f>
        <v>841333.4371000001</v>
      </c>
      <c r="Y12" s="151"/>
      <c r="Z12" s="51">
        <f>SUM(Z3:Z11)</f>
        <v>336578848.02300996</v>
      </c>
      <c r="AA12" s="151"/>
      <c r="AB12" s="51">
        <f>SUM(AB3:AB11)</f>
        <v>841308.50336614437</v>
      </c>
      <c r="AC12" s="221">
        <f>SUM(AC3:AC11)</f>
        <v>24.933733855827484</v>
      </c>
      <c r="AD12" s="51">
        <f>SUM(AD3:AD11)</f>
        <v>-1022.281436870777</v>
      </c>
      <c r="AE12" s="218">
        <f t="shared" si="12"/>
        <v>2.9635971609272774E-5</v>
      </c>
    </row>
    <row r="13" spans="1:31" ht="14.4">
      <c r="A13" s="180" t="s">
        <v>138</v>
      </c>
      <c r="B13" s="152"/>
      <c r="C13" s="158">
        <v>1179</v>
      </c>
      <c r="D13" s="194"/>
      <c r="E13" s="182">
        <v>357364.77600000001</v>
      </c>
      <c r="F13" s="182">
        <v>-123359</v>
      </c>
      <c r="G13" s="182">
        <v>107471</v>
      </c>
      <c r="H13" s="189">
        <f t="shared" si="3"/>
        <v>-15888</v>
      </c>
      <c r="I13" s="159">
        <f t="shared" si="4"/>
        <v>341476.77600000001</v>
      </c>
      <c r="M13" s="151"/>
      <c r="N13" s="151"/>
      <c r="O13" s="151"/>
      <c r="P13" s="151"/>
      <c r="Q13" s="151"/>
      <c r="R13" s="151"/>
      <c r="S13" s="151"/>
      <c r="T13" s="151"/>
      <c r="U13" s="222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</row>
    <row r="14" spans="1:31" ht="14.4">
      <c r="A14" s="180" t="s">
        <v>181</v>
      </c>
      <c r="B14" s="152"/>
      <c r="C14" s="158">
        <v>426</v>
      </c>
      <c r="D14" s="194"/>
      <c r="E14" s="182">
        <v>896160.39314000006</v>
      </c>
      <c r="F14" s="182"/>
      <c r="G14" s="182"/>
      <c r="H14" s="189"/>
      <c r="I14" s="159">
        <f t="shared" si="4"/>
        <v>896160.39314000006</v>
      </c>
      <c r="M14" s="151"/>
      <c r="N14" s="151"/>
      <c r="O14" s="151"/>
      <c r="P14" s="151"/>
      <c r="Q14" s="151"/>
      <c r="R14" s="151"/>
      <c r="S14" s="151"/>
      <c r="T14" s="151"/>
      <c r="U14" s="222" t="s">
        <v>251</v>
      </c>
      <c r="V14" s="151" t="s">
        <v>252</v>
      </c>
      <c r="W14" s="151"/>
      <c r="X14" s="170">
        <v>0.95332300000000003</v>
      </c>
      <c r="Y14" s="151"/>
      <c r="Z14" s="151"/>
      <c r="AA14" s="151" t="s">
        <v>253</v>
      </c>
      <c r="AB14" s="151" t="s">
        <v>254</v>
      </c>
      <c r="AC14" s="151"/>
      <c r="AD14" s="151" t="s">
        <v>255</v>
      </c>
      <c r="AE14" s="151"/>
    </row>
    <row r="15" spans="1:31" ht="14.4">
      <c r="A15" s="180" t="s">
        <v>182</v>
      </c>
      <c r="B15" s="152"/>
      <c r="C15" s="158"/>
      <c r="D15" s="194"/>
      <c r="E15" s="182">
        <v>390020.04262000002</v>
      </c>
      <c r="F15" s="182"/>
      <c r="G15" s="182"/>
      <c r="H15" s="189">
        <f t="shared" si="3"/>
        <v>0</v>
      </c>
      <c r="I15" s="159">
        <f t="shared" si="4"/>
        <v>390020.04262000002</v>
      </c>
      <c r="M15" s="151"/>
      <c r="N15" s="151"/>
      <c r="O15" s="151"/>
      <c r="P15" s="151"/>
      <c r="Q15" s="151"/>
      <c r="R15" s="151"/>
      <c r="S15" s="151"/>
      <c r="T15" s="151" t="s">
        <v>142</v>
      </c>
      <c r="U15" s="151" t="s">
        <v>256</v>
      </c>
      <c r="V15" s="151"/>
      <c r="W15" s="151"/>
      <c r="X15" s="223">
        <f>(X3+X4)*X14</f>
        <v>740255.3719426567</v>
      </c>
      <c r="Y15" s="151"/>
      <c r="Z15" s="151" t="s">
        <v>19</v>
      </c>
      <c r="AA15" s="50">
        <f>P3+P4+Q3+Q4+T3+T4</f>
        <v>174488139.29800999</v>
      </c>
      <c r="AB15" s="170">
        <v>4.2399999999999998E-3</v>
      </c>
      <c r="AC15" s="150">
        <f>AA15*AB15</f>
        <v>739829.71062356234</v>
      </c>
      <c r="AD15" s="150">
        <f>X15-AC15</f>
        <v>425.66131909436081</v>
      </c>
      <c r="AE15" s="218">
        <f>AD15/X15</f>
        <v>5.7501956112428502E-4</v>
      </c>
    </row>
    <row r="16" spans="1:31" ht="14.4">
      <c r="A16" s="180" t="s">
        <v>183</v>
      </c>
      <c r="B16" s="152"/>
      <c r="C16" s="158"/>
      <c r="D16" s="195"/>
      <c r="E16" s="182">
        <v>217388.30072</v>
      </c>
      <c r="F16" s="182"/>
      <c r="G16" s="182"/>
      <c r="H16" s="189">
        <f t="shared" si="3"/>
        <v>0</v>
      </c>
      <c r="I16" s="159">
        <f t="shared" si="4"/>
        <v>217388.30072</v>
      </c>
      <c r="M16" s="151"/>
      <c r="N16" s="151"/>
      <c r="O16" s="151"/>
      <c r="P16" s="151"/>
      <c r="Q16" s="151"/>
      <c r="R16" s="151"/>
      <c r="S16" s="151"/>
      <c r="T16" s="151" t="s">
        <v>142</v>
      </c>
      <c r="U16" s="151" t="s">
        <v>257</v>
      </c>
      <c r="V16" s="151"/>
      <c r="W16" s="151"/>
      <c r="X16" s="223">
        <f>SUM(X5:X11)*X14</f>
        <v>61807.1443138268</v>
      </c>
      <c r="Y16" s="151"/>
      <c r="Z16" s="151" t="s">
        <v>184</v>
      </c>
      <c r="AA16" s="50">
        <f>SUM(P5:Q11,T5:T11)</f>
        <v>162090708.72499999</v>
      </c>
      <c r="AB16" s="170">
        <v>3.8000000000000002E-4</v>
      </c>
      <c r="AC16" s="150">
        <f>AA16*AB16</f>
        <v>61594.469315499999</v>
      </c>
      <c r="AD16" s="150">
        <f>X16-AC16</f>
        <v>212.67499832680187</v>
      </c>
      <c r="AE16" s="218">
        <f>AD16/X16</f>
        <v>3.440945228709177E-3</v>
      </c>
    </row>
    <row r="17" spans="1:26" ht="14.4">
      <c r="A17" s="152"/>
      <c r="B17" s="152"/>
      <c r="C17" s="160">
        <f>SUM(C3:C16)</f>
        <v>251675</v>
      </c>
      <c r="E17" s="160">
        <f>SUM(E3:E16)</f>
        <v>456156772.75949001</v>
      </c>
      <c r="F17" s="160">
        <f>SUM(F3:F16)</f>
        <v>-250554267</v>
      </c>
      <c r="G17" s="160">
        <f>SUM(G3:G16)</f>
        <v>228167045</v>
      </c>
      <c r="H17" s="160">
        <f>SUM(H3:H16)</f>
        <v>-22387222</v>
      </c>
      <c r="I17" s="160">
        <f>SUM(I3:I16)</f>
        <v>433769550.75949001</v>
      </c>
      <c r="Z17" s="151" t="s">
        <v>236</v>
      </c>
    </row>
    <row r="18" spans="1:26" ht="14.4" thickBot="1">
      <c r="A18" s="152"/>
      <c r="B18" s="152"/>
      <c r="C18" s="152"/>
      <c r="E18" s="152"/>
      <c r="F18" s="152"/>
      <c r="G18" s="152"/>
      <c r="I18" s="152"/>
    </row>
    <row r="19" spans="1:26">
      <c r="A19" s="152" t="s">
        <v>19</v>
      </c>
      <c r="B19" s="152"/>
      <c r="C19" s="161">
        <f>C3+C4</f>
        <v>214971</v>
      </c>
      <c r="E19" s="162">
        <f>E3+E4</f>
        <v>195827349.29800999</v>
      </c>
      <c r="F19" s="162">
        <f>F3+F4</f>
        <v>-118116469</v>
      </c>
      <c r="G19" s="162">
        <f>G3+G4</f>
        <v>96777259</v>
      </c>
      <c r="H19" s="162">
        <f>H3+H4</f>
        <v>-21339210</v>
      </c>
      <c r="I19" s="161">
        <f>I3+I4</f>
        <v>174488139.29800999</v>
      </c>
    </row>
    <row r="20" spans="1:26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26" ht="14.4" thickBot="1">
      <c r="A21" s="152" t="s">
        <v>184</v>
      </c>
      <c r="B21" s="152"/>
      <c r="C21" s="177">
        <f>SUM(C5:C8,C11:C13)</f>
        <v>36255</v>
      </c>
      <c r="E21" s="178">
        <f>SUM(E5:E8,E11:E13)</f>
        <v>167106804.72499999</v>
      </c>
      <c r="F21" s="178">
        <f>SUM(F5:F8,F11:F13)</f>
        <v>-86505664</v>
      </c>
      <c r="G21" s="178">
        <f>SUM(G5:G8,G11:G13)</f>
        <v>81489568</v>
      </c>
      <c r="H21" s="178">
        <f>SUM(H5:H8,H11:H13)</f>
        <v>-5016096</v>
      </c>
      <c r="I21" s="177">
        <f>SUM(I5:I8,I11:I13)</f>
        <v>162090708.72499999</v>
      </c>
    </row>
    <row r="22" spans="1:26">
      <c r="A22" s="152"/>
      <c r="B22" s="152"/>
      <c r="C22" s="152"/>
      <c r="D22" s="152"/>
      <c r="E22" s="152"/>
    </row>
    <row r="23" spans="1:26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26">
      <c r="A24" s="180" t="s">
        <v>131</v>
      </c>
      <c r="B24" s="152"/>
      <c r="C24" s="181">
        <v>1863177.5</v>
      </c>
      <c r="D24" s="181">
        <v>17316901.239999998</v>
      </c>
      <c r="E24" s="183">
        <v>-11352157</v>
      </c>
      <c r="F24" s="183">
        <v>9217175</v>
      </c>
      <c r="G24" s="174">
        <f>SUM(D24:F24)</f>
        <v>15181919.239999998</v>
      </c>
      <c r="H24" s="174">
        <f>-J65</f>
        <v>160851.04307999997</v>
      </c>
      <c r="I24" s="174">
        <f>SUM(G24:H24)</f>
        <v>15342770.283079999</v>
      </c>
    </row>
    <row r="25" spans="1:26">
      <c r="A25" s="180" t="s">
        <v>178</v>
      </c>
      <c r="B25" s="152"/>
      <c r="C25" s="181">
        <v>3494.5</v>
      </c>
      <c r="D25" s="181">
        <v>40217.269999999997</v>
      </c>
      <c r="E25" s="183">
        <v>-17552</v>
      </c>
      <c r="F25" s="183">
        <v>13428</v>
      </c>
      <c r="G25" s="174">
        <f t="shared" ref="G25:G33" si="14">SUM(D25:F25)</f>
        <v>36093.269999999997</v>
      </c>
      <c r="H25" s="174">
        <f t="shared" ref="H25:H30" si="15">-J66</f>
        <v>-1500.9294900000002</v>
      </c>
      <c r="I25" s="174">
        <f t="shared" ref="I25:I34" si="16">SUM(G25:H25)</f>
        <v>34592.340509999995</v>
      </c>
    </row>
    <row r="26" spans="1:26">
      <c r="A26" s="180" t="s">
        <v>132</v>
      </c>
      <c r="B26" s="152"/>
      <c r="C26" s="181">
        <v>415560.91</v>
      </c>
      <c r="D26" s="181">
        <v>5341482.72</v>
      </c>
      <c r="E26" s="183">
        <v>-2934622</v>
      </c>
      <c r="F26" s="183">
        <v>2678368</v>
      </c>
      <c r="G26" s="174">
        <f t="shared" si="14"/>
        <v>5085228.72</v>
      </c>
      <c r="H26" s="174">
        <f t="shared" si="15"/>
        <v>15384.321419999998</v>
      </c>
      <c r="I26" s="174">
        <f t="shared" si="16"/>
        <v>5100613.0414199997</v>
      </c>
    </row>
    <row r="27" spans="1:26">
      <c r="A27" s="180" t="s">
        <v>133</v>
      </c>
      <c r="B27" s="152"/>
      <c r="C27" s="181">
        <v>170523.51999999999</v>
      </c>
      <c r="D27" s="181">
        <v>737361.29</v>
      </c>
      <c r="E27" s="183">
        <v>-440806</v>
      </c>
      <c r="F27" s="183">
        <v>377537</v>
      </c>
      <c r="G27" s="174">
        <f t="shared" si="14"/>
        <v>674092.29</v>
      </c>
      <c r="H27" s="174">
        <f t="shared" si="15"/>
        <v>2907.5821500000002</v>
      </c>
      <c r="I27" s="174">
        <f t="shared" si="16"/>
        <v>676999.87215000007</v>
      </c>
    </row>
    <row r="28" spans="1:26">
      <c r="A28" s="180" t="s">
        <v>134</v>
      </c>
      <c r="B28" s="152"/>
      <c r="C28" s="181">
        <v>925152.69</v>
      </c>
      <c r="D28" s="181">
        <v>9737161.0099999998</v>
      </c>
      <c r="E28" s="183">
        <v>-4570629</v>
      </c>
      <c r="F28" s="183">
        <v>4443577</v>
      </c>
      <c r="G28" s="174">
        <f t="shared" si="14"/>
        <v>9610109.0099999998</v>
      </c>
      <c r="H28" s="174">
        <f t="shared" si="15"/>
        <v>7668.4554300000009</v>
      </c>
      <c r="I28" s="174">
        <f t="shared" si="16"/>
        <v>9617777.4654299989</v>
      </c>
    </row>
    <row r="29" spans="1:26">
      <c r="A29" s="180" t="s">
        <v>135</v>
      </c>
      <c r="B29" s="152"/>
      <c r="C29" s="181">
        <v>23500</v>
      </c>
      <c r="D29" s="181">
        <v>237602.49</v>
      </c>
      <c r="E29" s="183">
        <v>-126949</v>
      </c>
      <c r="F29" s="183">
        <v>110290</v>
      </c>
      <c r="G29" s="174">
        <f t="shared" si="14"/>
        <v>220943.49</v>
      </c>
      <c r="H29" s="174">
        <f t="shared" si="15"/>
        <v>847.78600000000006</v>
      </c>
      <c r="I29" s="174">
        <f t="shared" si="16"/>
        <v>221791.27599999998</v>
      </c>
    </row>
    <row r="30" spans="1:26">
      <c r="A30" s="180" t="s">
        <v>136</v>
      </c>
      <c r="B30" s="152"/>
      <c r="C30" s="181">
        <v>483100</v>
      </c>
      <c r="D30" s="181">
        <f>5442252.49-84583</f>
        <v>5357669.49</v>
      </c>
      <c r="E30" s="183">
        <v>-2559011</v>
      </c>
      <c r="F30" s="183">
        <v>2876434</v>
      </c>
      <c r="G30" s="174">
        <f t="shared" si="14"/>
        <v>5675092.4900000002</v>
      </c>
      <c r="H30" s="174">
        <f t="shared" si="15"/>
        <v>-9682.1249599999992</v>
      </c>
      <c r="I30" s="174">
        <f t="shared" si="16"/>
        <v>5665410.3650400005</v>
      </c>
    </row>
    <row r="31" spans="1:26">
      <c r="A31" s="180" t="s">
        <v>180</v>
      </c>
      <c r="B31" s="152"/>
      <c r="C31" s="181">
        <v>882</v>
      </c>
      <c r="D31" s="181">
        <v>46848.09</v>
      </c>
      <c r="E31" s="183">
        <v>0</v>
      </c>
      <c r="F31" s="183">
        <v>0</v>
      </c>
      <c r="G31" s="174">
        <f t="shared" si="14"/>
        <v>46848.09</v>
      </c>
      <c r="H31" s="174">
        <f>-J72</f>
        <v>0</v>
      </c>
      <c r="I31" s="174">
        <f t="shared" si="16"/>
        <v>46848.09</v>
      </c>
    </row>
    <row r="32" spans="1:26">
      <c r="A32" s="180" t="s">
        <v>137</v>
      </c>
      <c r="B32" s="152"/>
      <c r="C32" s="181">
        <v>21550</v>
      </c>
      <c r="D32" s="181">
        <v>375766.04</v>
      </c>
      <c r="E32" s="183">
        <v>-113785</v>
      </c>
      <c r="F32" s="183">
        <v>116144</v>
      </c>
      <c r="G32" s="174">
        <f t="shared" si="14"/>
        <v>378125.04</v>
      </c>
      <c r="H32" s="174">
        <f>-J73</f>
        <v>-159.28639999999999</v>
      </c>
      <c r="I32" s="174">
        <f t="shared" si="16"/>
        <v>377965.7536</v>
      </c>
    </row>
    <row r="33" spans="1:11">
      <c r="A33" s="180" t="s">
        <v>138</v>
      </c>
      <c r="B33" s="152"/>
      <c r="C33" s="181">
        <v>21368</v>
      </c>
      <c r="D33" s="181">
        <v>51941.97</v>
      </c>
      <c r="E33" s="183">
        <v>-20534</v>
      </c>
      <c r="F33" s="183">
        <v>19268</v>
      </c>
      <c r="G33" s="174">
        <f t="shared" si="14"/>
        <v>50675.97</v>
      </c>
      <c r="H33" s="174">
        <f>-J74</f>
        <v>53.224799999999995</v>
      </c>
      <c r="I33" s="174">
        <f t="shared" si="16"/>
        <v>50729.194800000005</v>
      </c>
    </row>
    <row r="34" spans="1:11">
      <c r="A34" s="180" t="s">
        <v>192</v>
      </c>
      <c r="B34" s="152"/>
      <c r="C34" s="174"/>
      <c r="D34" s="181">
        <v>537581.99</v>
      </c>
      <c r="E34" s="181"/>
      <c r="F34" s="181"/>
      <c r="G34" s="174">
        <f>SUM(D34:F34)</f>
        <v>537581.99</v>
      </c>
      <c r="H34" s="174"/>
      <c r="I34" s="174">
        <f t="shared" si="16"/>
        <v>537581.99</v>
      </c>
    </row>
    <row r="35" spans="1:11">
      <c r="A35" s="180" t="s">
        <v>193</v>
      </c>
      <c r="B35" s="152"/>
      <c r="C35" s="194"/>
      <c r="D35" s="181">
        <v>2515678.0499999998</v>
      </c>
      <c r="E35" s="181"/>
      <c r="F35" s="181"/>
      <c r="G35" s="174"/>
      <c r="H35" s="174"/>
      <c r="I35" s="174"/>
    </row>
    <row r="36" spans="1:11">
      <c r="A36" s="180" t="s">
        <v>194</v>
      </c>
      <c r="B36" s="152"/>
      <c r="C36" s="194"/>
      <c r="D36" s="181">
        <v>1559730.95</v>
      </c>
      <c r="E36" s="181"/>
      <c r="F36" s="181"/>
      <c r="G36" s="174"/>
      <c r="H36" s="174"/>
      <c r="I36" s="174"/>
    </row>
    <row r="37" spans="1:11">
      <c r="A37" s="152"/>
      <c r="B37" s="152"/>
      <c r="C37" s="166">
        <f t="shared" ref="C37:I37" si="17">SUM(C24:C36)</f>
        <v>3928309.12</v>
      </c>
      <c r="D37" s="166">
        <f t="shared" si="17"/>
        <v>43855942.599999994</v>
      </c>
      <c r="E37" s="166">
        <f t="shared" si="17"/>
        <v>-22136045</v>
      </c>
      <c r="F37" s="166">
        <f t="shared" si="17"/>
        <v>19852221</v>
      </c>
      <c r="G37" s="166">
        <f t="shared" si="17"/>
        <v>37496709.599999994</v>
      </c>
      <c r="H37" s="166">
        <f t="shared" si="17"/>
        <v>176370.07202999995</v>
      </c>
      <c r="I37" s="166">
        <f t="shared" si="17"/>
        <v>37673079.672030002</v>
      </c>
    </row>
    <row r="38" spans="1:11" ht="14.4" thickBot="1">
      <c r="A38" s="152"/>
      <c r="B38" s="152"/>
      <c r="D38" s="167"/>
      <c r="E38" s="152"/>
      <c r="F38" s="152"/>
    </row>
    <row r="39" spans="1:11">
      <c r="A39" s="152" t="s">
        <v>19</v>
      </c>
      <c r="B39" s="152"/>
      <c r="C39" s="169">
        <f t="shared" ref="C39:I39" si="18">C24+C25</f>
        <v>1866672</v>
      </c>
      <c r="D39" s="168">
        <f t="shared" si="18"/>
        <v>17357118.509999998</v>
      </c>
      <c r="E39" s="168">
        <f t="shared" si="18"/>
        <v>-11369709</v>
      </c>
      <c r="F39" s="168">
        <f t="shared" si="18"/>
        <v>9230603</v>
      </c>
      <c r="G39" s="168">
        <f t="shared" si="18"/>
        <v>15218012.509999998</v>
      </c>
      <c r="H39" s="168">
        <f t="shared" si="18"/>
        <v>159350.11358999996</v>
      </c>
      <c r="I39" s="169">
        <f t="shared" si="18"/>
        <v>15377362.623589998</v>
      </c>
    </row>
    <row r="40" spans="1:11" ht="6" customHeight="1">
      <c r="A40" s="152"/>
      <c r="B40" s="152"/>
      <c r="C40" s="173"/>
      <c r="D40" s="168"/>
      <c r="E40" s="152"/>
      <c r="F40" s="152"/>
      <c r="I40" s="190"/>
    </row>
    <row r="41" spans="1:11" ht="14.4" thickBot="1">
      <c r="A41" s="152" t="s">
        <v>184</v>
      </c>
      <c r="B41" s="152"/>
      <c r="C41" s="175">
        <f>SUM(C26:C29,C31:C33)</f>
        <v>1578537.1199999999</v>
      </c>
      <c r="D41" s="176">
        <f t="shared" ref="D41:I41" si="19">SUM(D26:D29,D31:D33)</f>
        <v>16528163.609999999</v>
      </c>
      <c r="E41" s="176">
        <f t="shared" si="19"/>
        <v>-8207325</v>
      </c>
      <c r="F41" s="176">
        <f t="shared" si="19"/>
        <v>7745184</v>
      </c>
      <c r="G41" s="176">
        <f t="shared" si="19"/>
        <v>16066022.609999999</v>
      </c>
      <c r="H41" s="176">
        <f t="shared" si="19"/>
        <v>26702.0834</v>
      </c>
      <c r="I41" s="175">
        <f t="shared" si="19"/>
        <v>16092724.693399999</v>
      </c>
    </row>
    <row r="42" spans="1:1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1" hidden="1">
      <c r="A43" s="152"/>
      <c r="B43" s="152"/>
      <c r="C43" s="188"/>
      <c r="D43" s="176"/>
      <c r="E43" s="176"/>
      <c r="F43" s="176"/>
      <c r="G43" s="176"/>
      <c r="H43" s="176"/>
      <c r="I43" s="188"/>
    </row>
    <row r="44" spans="1:11" hidden="1">
      <c r="A44" s="152"/>
      <c r="B44" s="152"/>
      <c r="C44" s="188"/>
      <c r="D44" s="176"/>
      <c r="E44" s="176"/>
      <c r="F44" s="176"/>
      <c r="G44" s="176"/>
      <c r="H44" s="176"/>
      <c r="I44" s="188"/>
    </row>
    <row r="45" spans="1:11" hidden="1">
      <c r="A45" s="152"/>
      <c r="B45" s="152"/>
      <c r="C45" s="188"/>
      <c r="D45" s="176"/>
      <c r="E45" s="176"/>
      <c r="F45" s="176"/>
      <c r="G45" s="176"/>
      <c r="H45" s="176"/>
      <c r="I45" s="188"/>
    </row>
    <row r="46" spans="1:11" hidden="1">
      <c r="A46" s="152"/>
      <c r="B46" s="152"/>
      <c r="C46" s="188"/>
      <c r="D46" s="176"/>
      <c r="E46" s="176"/>
      <c r="F46" s="176"/>
      <c r="G46" s="176"/>
      <c r="H46" s="176"/>
      <c r="I46" s="188"/>
    </row>
    <row r="47" spans="1:11" hidden="1">
      <c r="A47" s="152"/>
      <c r="B47" s="152"/>
      <c r="C47" s="188"/>
      <c r="D47" s="176"/>
      <c r="E47" s="176"/>
      <c r="F47" s="176"/>
      <c r="G47" s="176"/>
      <c r="H47" s="176"/>
      <c r="I47" s="188"/>
    </row>
    <row r="48" spans="1:11">
      <c r="C48" s="191">
        <v>43040</v>
      </c>
      <c r="D48" s="196">
        <v>43040</v>
      </c>
      <c r="E48" s="192">
        <v>42278</v>
      </c>
      <c r="F48" s="191">
        <v>42583</v>
      </c>
      <c r="G48" s="191">
        <v>43009</v>
      </c>
      <c r="H48" s="191">
        <v>42380</v>
      </c>
      <c r="I48" s="191">
        <v>42917</v>
      </c>
      <c r="J48" s="191"/>
      <c r="K48" s="196"/>
    </row>
    <row r="49" spans="1:13" ht="42" customHeight="1">
      <c r="A49" s="179" t="s">
        <v>195</v>
      </c>
      <c r="B49" s="154"/>
      <c r="C49" s="165" t="s">
        <v>196</v>
      </c>
      <c r="D49" s="165" t="s">
        <v>213</v>
      </c>
      <c r="E49" s="165" t="s">
        <v>197</v>
      </c>
      <c r="F49" s="165" t="s">
        <v>198</v>
      </c>
      <c r="G49" s="165" t="s">
        <v>199</v>
      </c>
      <c r="H49" s="165" t="s">
        <v>200</v>
      </c>
      <c r="I49" s="165" t="s">
        <v>201</v>
      </c>
      <c r="K49" s="211" t="s">
        <v>229</v>
      </c>
      <c r="L49" s="1" t="s">
        <v>230</v>
      </c>
    </row>
    <row r="50" spans="1:13">
      <c r="A50" s="180" t="s">
        <v>131</v>
      </c>
      <c r="B50" s="152"/>
      <c r="C50" s="171">
        <v>-8.0999999999999996E-4</v>
      </c>
      <c r="D50" s="171">
        <v>4.45E-3</v>
      </c>
      <c r="E50" s="171"/>
      <c r="F50" s="171">
        <v>3.4399999999999999E-3</v>
      </c>
      <c r="G50" s="171">
        <v>1.0499999999999999E-3</v>
      </c>
      <c r="H50" s="171">
        <v>0</v>
      </c>
      <c r="I50" s="171">
        <v>-5.6999999999999998E-4</v>
      </c>
      <c r="K50" s="171">
        <f>SUM(C50:I50)</f>
        <v>7.5599999999999999E-3</v>
      </c>
      <c r="L50" s="212">
        <f t="shared" ref="L50:L62" si="20">K50*H3</f>
        <v>-160851.04308</v>
      </c>
    </row>
    <row r="51" spans="1:13">
      <c r="A51" s="180" t="s">
        <v>178</v>
      </c>
      <c r="B51" s="152"/>
      <c r="C51" s="171">
        <v>-8.0999999999999996E-4</v>
      </c>
      <c r="D51" s="171">
        <v>4.45E-3</v>
      </c>
      <c r="E51" s="171">
        <v>-3.1530000000000002E-2</v>
      </c>
      <c r="F51" s="171">
        <v>3.4399999999999999E-3</v>
      </c>
      <c r="G51" s="171">
        <v>1.0499999999999999E-3</v>
      </c>
      <c r="H51" s="171">
        <v>0</v>
      </c>
      <c r="I51" s="171">
        <v>-5.6999999999999998E-4</v>
      </c>
      <c r="K51" s="171">
        <f>SUM(C51:I51)</f>
        <v>-2.3970000000000005E-2</v>
      </c>
      <c r="L51" s="212">
        <f t="shared" si="20"/>
        <v>1500.9294900000002</v>
      </c>
    </row>
    <row r="52" spans="1:13">
      <c r="A52" s="180" t="s">
        <v>132</v>
      </c>
      <c r="B52" s="152"/>
      <c r="C52" s="171">
        <v>0</v>
      </c>
      <c r="D52" s="171">
        <v>4.0000000000000002E-4</v>
      </c>
      <c r="E52" s="171"/>
      <c r="F52" s="171">
        <v>4.6299999999999996E-3</v>
      </c>
      <c r="G52" s="171">
        <v>1.5200000000000001E-3</v>
      </c>
      <c r="H52" s="171">
        <v>0</v>
      </c>
      <c r="I52" s="171">
        <v>-5.6999999999999998E-4</v>
      </c>
      <c r="K52" s="171">
        <f t="shared" ref="K52:K62" si="21">SUM(C52:I52)</f>
        <v>5.9800000000000001E-3</v>
      </c>
      <c r="L52" s="212">
        <f t="shared" si="20"/>
        <v>-15384.32142</v>
      </c>
    </row>
    <row r="53" spans="1:13">
      <c r="A53" s="180" t="s">
        <v>133</v>
      </c>
      <c r="B53" s="152"/>
      <c r="C53" s="171">
        <v>-8.0999999999999996E-4</v>
      </c>
      <c r="D53" s="171">
        <v>4.0000000000000002E-4</v>
      </c>
      <c r="E53" s="171"/>
      <c r="F53" s="171">
        <v>4.6299999999999996E-3</v>
      </c>
      <c r="G53" s="171">
        <v>1.5200000000000001E-3</v>
      </c>
      <c r="H53" s="171">
        <v>0</v>
      </c>
      <c r="I53" s="171">
        <v>-5.6999999999999998E-4</v>
      </c>
      <c r="K53" s="171">
        <f t="shared" si="21"/>
        <v>5.1700000000000001E-3</v>
      </c>
      <c r="L53" s="212">
        <f t="shared" si="20"/>
        <v>-2907.5821500000002</v>
      </c>
    </row>
    <row r="54" spans="1:13">
      <c r="A54" s="180" t="s">
        <v>134</v>
      </c>
      <c r="B54" s="152"/>
      <c r="C54" s="171">
        <v>0</v>
      </c>
      <c r="D54" s="171">
        <v>4.0000000000000002E-4</v>
      </c>
      <c r="E54" s="171"/>
      <c r="F54" s="171">
        <v>3.6600000000000001E-3</v>
      </c>
      <c r="G54" s="171">
        <v>1.1000000000000001E-3</v>
      </c>
      <c r="H54" s="171">
        <v>0</v>
      </c>
      <c r="I54" s="171">
        <v>-5.9000000000000003E-4</v>
      </c>
      <c r="K54" s="171">
        <f t="shared" si="21"/>
        <v>4.5700000000000003E-3</v>
      </c>
      <c r="L54" s="212">
        <f t="shared" si="20"/>
        <v>-7668.4554300000009</v>
      </c>
    </row>
    <row r="55" spans="1:13">
      <c r="A55" s="180" t="s">
        <v>135</v>
      </c>
      <c r="B55" s="152"/>
      <c r="C55" s="171">
        <v>-8.0999999999999996E-4</v>
      </c>
      <c r="D55" s="171">
        <v>4.0000000000000002E-4</v>
      </c>
      <c r="E55" s="171"/>
      <c r="F55" s="171">
        <v>3.6600000000000001E-3</v>
      </c>
      <c r="G55" s="171">
        <v>1.1000000000000001E-3</v>
      </c>
      <c r="H55" s="171">
        <v>0</v>
      </c>
      <c r="I55" s="171">
        <v>-5.9000000000000003E-4</v>
      </c>
      <c r="K55" s="171">
        <f t="shared" si="21"/>
        <v>3.7600000000000003E-3</v>
      </c>
      <c r="L55" s="212">
        <f t="shared" si="20"/>
        <v>-847.78600000000006</v>
      </c>
    </row>
    <row r="56" spans="1:13">
      <c r="A56" s="180" t="s">
        <v>136</v>
      </c>
      <c r="B56" s="152"/>
      <c r="C56" s="171">
        <v>0</v>
      </c>
      <c r="D56" s="171">
        <v>0</v>
      </c>
      <c r="E56" s="171"/>
      <c r="F56" s="171">
        <v>2.32E-3</v>
      </c>
      <c r="G56" s="171">
        <v>6.8999999999999997E-4</v>
      </c>
      <c r="H56" s="171">
        <v>0</v>
      </c>
      <c r="I56" s="171">
        <v>-5.6999999999999998E-4</v>
      </c>
      <c r="K56" s="171">
        <f t="shared" si="21"/>
        <v>2.4400000000000003E-3</v>
      </c>
      <c r="L56" s="212">
        <f t="shared" si="20"/>
        <v>9682.124960000001</v>
      </c>
    </row>
    <row r="57" spans="1:13">
      <c r="A57" s="180" t="s">
        <v>179</v>
      </c>
      <c r="B57" s="152"/>
      <c r="C57" s="171">
        <v>0</v>
      </c>
      <c r="D57" s="171">
        <v>0</v>
      </c>
      <c r="E57" s="171"/>
      <c r="F57" s="171">
        <v>2.32E-3</v>
      </c>
      <c r="G57" s="171">
        <v>0</v>
      </c>
      <c r="H57" s="171">
        <v>0</v>
      </c>
      <c r="I57" s="171">
        <v>-5.6999999999999998E-4</v>
      </c>
      <c r="K57" s="171">
        <f t="shared" si="21"/>
        <v>1.75E-3</v>
      </c>
      <c r="L57" s="212">
        <f t="shared" si="20"/>
        <v>0</v>
      </c>
    </row>
    <row r="58" spans="1:13">
      <c r="A58" s="180" t="s">
        <v>180</v>
      </c>
      <c r="B58" s="152"/>
      <c r="C58" s="171">
        <v>0</v>
      </c>
      <c r="D58" s="171">
        <v>4.0000000000000002E-4</v>
      </c>
      <c r="E58" s="171"/>
      <c r="F58" s="171">
        <v>3.4099999999999998E-3</v>
      </c>
      <c r="G58" s="171">
        <v>9.6000000000000002E-4</v>
      </c>
      <c r="H58" s="171">
        <v>0</v>
      </c>
      <c r="I58" s="171">
        <v>-6.0999999999999997E-4</v>
      </c>
      <c r="K58" s="171">
        <f t="shared" si="21"/>
        <v>4.1599999999999996E-3</v>
      </c>
      <c r="L58" s="212">
        <f t="shared" si="20"/>
        <v>0</v>
      </c>
    </row>
    <row r="59" spans="1:13">
      <c r="A59" s="180" t="s">
        <v>137</v>
      </c>
      <c r="B59" s="152"/>
      <c r="C59" s="171">
        <v>0</v>
      </c>
      <c r="D59" s="171">
        <v>4.0000000000000002E-4</v>
      </c>
      <c r="E59" s="171"/>
      <c r="F59" s="171">
        <v>3.4099999999999998E-3</v>
      </c>
      <c r="G59" s="171">
        <v>9.6000000000000002E-4</v>
      </c>
      <c r="H59" s="171">
        <v>0</v>
      </c>
      <c r="I59" s="171">
        <v>-6.0999999999999997E-4</v>
      </c>
      <c r="K59" s="171">
        <f t="shared" si="21"/>
        <v>4.1599999999999996E-3</v>
      </c>
      <c r="L59" s="212">
        <f t="shared" si="20"/>
        <v>159.28639999999999</v>
      </c>
    </row>
    <row r="60" spans="1:13">
      <c r="A60" s="180" t="s">
        <v>138</v>
      </c>
      <c r="B60" s="152"/>
      <c r="C60" s="171">
        <v>-8.0999999999999996E-4</v>
      </c>
      <c r="D60" s="171">
        <v>4.0000000000000002E-4</v>
      </c>
      <c r="E60" s="171"/>
      <c r="F60" s="171">
        <v>3.4099999999999998E-3</v>
      </c>
      <c r="G60" s="171">
        <v>9.6000000000000002E-4</v>
      </c>
      <c r="H60" s="171">
        <v>0</v>
      </c>
      <c r="I60" s="171">
        <v>-6.0999999999999997E-4</v>
      </c>
      <c r="K60" s="171">
        <f t="shared" si="21"/>
        <v>3.3500000000000001E-3</v>
      </c>
      <c r="L60" s="212">
        <f t="shared" si="20"/>
        <v>-53.224800000000002</v>
      </c>
    </row>
    <row r="61" spans="1:13" ht="14.4" customHeight="1">
      <c r="A61" s="180" t="s">
        <v>192</v>
      </c>
      <c r="B61" s="152"/>
      <c r="C61" s="171">
        <v>0</v>
      </c>
      <c r="D61" s="171">
        <v>0</v>
      </c>
      <c r="E61" s="171"/>
      <c r="F61" s="186">
        <v>1.2149999999999999E-2</v>
      </c>
      <c r="G61" s="401" t="s">
        <v>214</v>
      </c>
      <c r="H61" s="171">
        <v>0</v>
      </c>
      <c r="I61" s="186">
        <v>-6.4999999999999997E-4</v>
      </c>
      <c r="K61" s="171">
        <f t="shared" si="21"/>
        <v>1.15E-2</v>
      </c>
      <c r="L61" s="212">
        <f t="shared" si="20"/>
        <v>0</v>
      </c>
    </row>
    <row r="62" spans="1:13">
      <c r="A62" s="180" t="s">
        <v>183</v>
      </c>
      <c r="B62" s="152"/>
      <c r="C62" s="171">
        <v>-8.0999999999999996E-4</v>
      </c>
      <c r="D62" s="171">
        <v>0</v>
      </c>
      <c r="E62" s="171"/>
      <c r="F62" s="186">
        <v>1.2149999999999999E-2</v>
      </c>
      <c r="G62" s="401"/>
      <c r="H62" s="171">
        <v>0</v>
      </c>
      <c r="I62" s="186">
        <v>-6.4999999999999997E-4</v>
      </c>
      <c r="K62" s="171">
        <f t="shared" si="21"/>
        <v>1.069E-2</v>
      </c>
      <c r="L62" s="212">
        <f t="shared" si="20"/>
        <v>0</v>
      </c>
    </row>
    <row r="63" spans="1:13">
      <c r="E63" s="152"/>
      <c r="L63" s="212">
        <f>SUM(L50:L62)</f>
        <v>-176370.07202999998</v>
      </c>
      <c r="M63" s="210"/>
    </row>
    <row r="64" spans="1:13" ht="52.8">
      <c r="A64" s="179" t="s">
        <v>202</v>
      </c>
      <c r="B64" s="154"/>
      <c r="C64" s="172" t="s">
        <v>209</v>
      </c>
      <c r="D64" s="172" t="s">
        <v>213</v>
      </c>
      <c r="E64" s="172" t="s">
        <v>203</v>
      </c>
      <c r="F64" s="172" t="s">
        <v>204</v>
      </c>
      <c r="G64" s="172" t="s">
        <v>205</v>
      </c>
      <c r="H64" s="172" t="s">
        <v>206</v>
      </c>
      <c r="I64" s="172" t="s">
        <v>207</v>
      </c>
      <c r="J64" s="172" t="s">
        <v>208</v>
      </c>
      <c r="M64" s="168"/>
    </row>
    <row r="65" spans="1:13">
      <c r="A65" s="180" t="s">
        <v>131</v>
      </c>
      <c r="C65" s="168">
        <f t="shared" ref="C65:C70" si="22">C50*H3</f>
        <v>17234.04033</v>
      </c>
      <c r="D65" s="168">
        <f t="shared" ref="D65:D70" si="23">D50*H3</f>
        <v>-94680.83885</v>
      </c>
      <c r="E65" s="168">
        <f t="shared" ref="E65:E70" si="24">$H3*E50</f>
        <v>0</v>
      </c>
      <c r="F65" s="168">
        <f t="shared" ref="F65:G70" si="25">($H3*F50)</f>
        <v>-73191.479919999998</v>
      </c>
      <c r="G65" s="168">
        <f t="shared" si="25"/>
        <v>-22340.42265</v>
      </c>
      <c r="H65" s="168">
        <f t="shared" ref="H65:H70" si="26">$H3*H50</f>
        <v>0</v>
      </c>
      <c r="I65" s="168">
        <f t="shared" ref="I65:I70" si="27">(I50*H3)</f>
        <v>12127.658009999999</v>
      </c>
      <c r="J65" s="168">
        <f>SUM(C65:I65)</f>
        <v>-160851.04307999997</v>
      </c>
      <c r="M65" s="168"/>
    </row>
    <row r="66" spans="1:13">
      <c r="A66" s="180" t="s">
        <v>178</v>
      </c>
      <c r="C66" s="168">
        <f t="shared" si="22"/>
        <v>50.719769999999997</v>
      </c>
      <c r="D66" s="168">
        <f t="shared" si="23"/>
        <v>-278.64564999999999</v>
      </c>
      <c r="E66" s="168">
        <f t="shared" si="24"/>
        <v>1974.3140100000001</v>
      </c>
      <c r="F66" s="168">
        <f t="shared" si="25"/>
        <v>-215.40248</v>
      </c>
      <c r="G66" s="168">
        <f t="shared" si="25"/>
        <v>-65.74785</v>
      </c>
      <c r="H66" s="168">
        <f t="shared" si="26"/>
        <v>0</v>
      </c>
      <c r="I66" s="168">
        <f t="shared" si="27"/>
        <v>35.691690000000001</v>
      </c>
      <c r="J66" s="168">
        <f t="shared" ref="J66:J75" si="28">SUM(C66:I66)</f>
        <v>1500.9294900000002</v>
      </c>
      <c r="M66" s="168"/>
    </row>
    <row r="67" spans="1:13">
      <c r="A67" s="180" t="s">
        <v>132</v>
      </c>
      <c r="C67" s="168">
        <f t="shared" si="22"/>
        <v>0</v>
      </c>
      <c r="D67" s="168">
        <f t="shared" si="23"/>
        <v>-1029.0516</v>
      </c>
      <c r="E67" s="168">
        <f t="shared" si="24"/>
        <v>0</v>
      </c>
      <c r="F67" s="168">
        <f t="shared" si="25"/>
        <v>-11911.272269999999</v>
      </c>
      <c r="G67" s="168">
        <f t="shared" si="25"/>
        <v>-3910.3960800000004</v>
      </c>
      <c r="H67" s="168">
        <f t="shared" si="26"/>
        <v>0</v>
      </c>
      <c r="I67" s="168">
        <f t="shared" si="27"/>
        <v>1466.3985299999999</v>
      </c>
      <c r="J67" s="168">
        <f t="shared" si="28"/>
        <v>-15384.321419999998</v>
      </c>
      <c r="M67" s="168"/>
    </row>
    <row r="68" spans="1:13">
      <c r="A68" s="180" t="s">
        <v>133</v>
      </c>
      <c r="C68" s="168">
        <f t="shared" si="22"/>
        <v>455.53994999999998</v>
      </c>
      <c r="D68" s="168">
        <f t="shared" si="23"/>
        <v>-224.958</v>
      </c>
      <c r="E68" s="168">
        <f t="shared" si="24"/>
        <v>0</v>
      </c>
      <c r="F68" s="168">
        <f t="shared" si="25"/>
        <v>-2603.8888499999998</v>
      </c>
      <c r="G68" s="168">
        <f t="shared" si="25"/>
        <v>-854.84040000000005</v>
      </c>
      <c r="H68" s="168">
        <f t="shared" si="26"/>
        <v>0</v>
      </c>
      <c r="I68" s="168">
        <f t="shared" si="27"/>
        <v>320.56514999999996</v>
      </c>
      <c r="J68" s="168">
        <f t="shared" si="28"/>
        <v>-2907.5821500000002</v>
      </c>
      <c r="M68" s="168"/>
    </row>
    <row r="69" spans="1:13">
      <c r="A69" s="180" t="s">
        <v>134</v>
      </c>
      <c r="C69" s="168">
        <f t="shared" si="22"/>
        <v>0</v>
      </c>
      <c r="D69" s="168">
        <f t="shared" si="23"/>
        <v>-671.19960000000003</v>
      </c>
      <c r="E69" s="168">
        <f t="shared" si="24"/>
        <v>0</v>
      </c>
      <c r="F69" s="168">
        <f t="shared" si="25"/>
        <v>-6141.4763400000002</v>
      </c>
      <c r="G69" s="168">
        <f t="shared" si="25"/>
        <v>-1845.7989</v>
      </c>
      <c r="H69" s="168">
        <f t="shared" si="26"/>
        <v>0</v>
      </c>
      <c r="I69" s="168">
        <f t="shared" si="27"/>
        <v>990.01940999999999</v>
      </c>
      <c r="J69" s="168">
        <f t="shared" si="28"/>
        <v>-7668.4554300000009</v>
      </c>
      <c r="M69" s="168"/>
    </row>
    <row r="70" spans="1:13">
      <c r="A70" s="180" t="s">
        <v>135</v>
      </c>
      <c r="C70" s="168">
        <f t="shared" si="22"/>
        <v>182.63475</v>
      </c>
      <c r="D70" s="168">
        <f t="shared" si="23"/>
        <v>-90.19</v>
      </c>
      <c r="E70" s="168">
        <f t="shared" si="24"/>
        <v>0</v>
      </c>
      <c r="F70" s="168">
        <f t="shared" si="25"/>
        <v>-825.23850000000004</v>
      </c>
      <c r="G70" s="168">
        <f t="shared" si="25"/>
        <v>-248.02250000000001</v>
      </c>
      <c r="H70" s="168">
        <f t="shared" si="26"/>
        <v>0</v>
      </c>
      <c r="I70" s="168">
        <f t="shared" si="27"/>
        <v>133.03025</v>
      </c>
      <c r="J70" s="168">
        <f>SUM(C70:I70)</f>
        <v>-847.78600000000006</v>
      </c>
      <c r="M70" s="168"/>
    </row>
    <row r="71" spans="1:13">
      <c r="A71" s="180" t="s">
        <v>136</v>
      </c>
      <c r="C71" s="168">
        <f t="shared" ref="C71:I71" si="29">$H9*C56+$H10*C57</f>
        <v>0</v>
      </c>
      <c r="D71" s="168">
        <f t="shared" si="29"/>
        <v>0</v>
      </c>
      <c r="E71" s="168">
        <f t="shared" si="29"/>
        <v>0</v>
      </c>
      <c r="F71" s="168">
        <f t="shared" si="29"/>
        <v>9205.9548799999993</v>
      </c>
      <c r="G71" s="168">
        <f t="shared" si="29"/>
        <v>2737.9779599999997</v>
      </c>
      <c r="H71" s="168">
        <f t="shared" si="29"/>
        <v>0</v>
      </c>
      <c r="I71" s="168">
        <f t="shared" si="29"/>
        <v>-2261.8078799999998</v>
      </c>
      <c r="J71" s="168">
        <f t="shared" si="28"/>
        <v>9682.1249599999992</v>
      </c>
      <c r="M71" s="168"/>
    </row>
    <row r="72" spans="1:13">
      <c r="A72" s="180" t="s">
        <v>180</v>
      </c>
      <c r="C72" s="168">
        <f t="shared" ref="C72:E74" si="30">$H11*C58</f>
        <v>0</v>
      </c>
      <c r="D72" s="168">
        <f t="shared" si="30"/>
        <v>0</v>
      </c>
      <c r="E72" s="168">
        <f t="shared" si="30"/>
        <v>0</v>
      </c>
      <c r="F72" s="168">
        <f t="shared" ref="F72:G74" si="31">($H11*F58)</f>
        <v>0</v>
      </c>
      <c r="G72" s="168">
        <f t="shared" si="31"/>
        <v>0</v>
      </c>
      <c r="H72" s="168">
        <f t="shared" ref="H72:I74" si="32">$H11*H58</f>
        <v>0</v>
      </c>
      <c r="I72" s="168">
        <f t="shared" si="32"/>
        <v>0</v>
      </c>
      <c r="J72" s="168">
        <f t="shared" si="28"/>
        <v>0</v>
      </c>
      <c r="M72" s="168"/>
    </row>
    <row r="73" spans="1:13">
      <c r="A73" s="180" t="s">
        <v>137</v>
      </c>
      <c r="C73" s="168">
        <f t="shared" si="30"/>
        <v>0</v>
      </c>
      <c r="D73" s="168">
        <f t="shared" si="30"/>
        <v>15.316000000000001</v>
      </c>
      <c r="E73" s="168">
        <f t="shared" si="30"/>
        <v>0</v>
      </c>
      <c r="F73" s="168">
        <f t="shared" si="31"/>
        <v>130.56889999999999</v>
      </c>
      <c r="G73" s="168">
        <f t="shared" si="31"/>
        <v>36.758400000000002</v>
      </c>
      <c r="H73" s="168">
        <f t="shared" si="32"/>
        <v>0</v>
      </c>
      <c r="I73" s="168">
        <f t="shared" si="32"/>
        <v>-23.3569</v>
      </c>
      <c r="J73" s="168">
        <f t="shared" si="28"/>
        <v>159.28639999999999</v>
      </c>
      <c r="M73" s="168"/>
    </row>
    <row r="74" spans="1:13">
      <c r="A74" s="180" t="s">
        <v>138</v>
      </c>
      <c r="C74" s="168">
        <f t="shared" si="30"/>
        <v>12.86928</v>
      </c>
      <c r="D74" s="168">
        <f t="shared" si="30"/>
        <v>-6.3552</v>
      </c>
      <c r="E74" s="168">
        <f t="shared" si="30"/>
        <v>0</v>
      </c>
      <c r="F74" s="168">
        <f t="shared" si="31"/>
        <v>-54.178079999999994</v>
      </c>
      <c r="G74" s="168">
        <f t="shared" si="31"/>
        <v>-15.25248</v>
      </c>
      <c r="H74" s="168">
        <f t="shared" si="32"/>
        <v>0</v>
      </c>
      <c r="I74" s="168">
        <f t="shared" si="32"/>
        <v>9.6916799999999999</v>
      </c>
      <c r="J74" s="168">
        <f t="shared" si="28"/>
        <v>-53.224799999999995</v>
      </c>
      <c r="M74" s="168"/>
    </row>
    <row r="75" spans="1:13">
      <c r="A75" s="180" t="s">
        <v>192</v>
      </c>
      <c r="C75" s="168">
        <f>($H14+$H15)*C61+$H16*C62</f>
        <v>0</v>
      </c>
      <c r="D75" s="168">
        <f>($H14+$H15)*D61+$H16*D62</f>
        <v>0</v>
      </c>
      <c r="E75" s="168">
        <f>($H14+$H15)*E61+$H16*E62</f>
        <v>0</v>
      </c>
      <c r="F75" s="168">
        <f>($H14+$H15)*F61+$H16*F62</f>
        <v>0</v>
      </c>
      <c r="G75" s="168"/>
      <c r="H75" s="168">
        <f>($H14+$H15)*H61+$H16*H62</f>
        <v>0</v>
      </c>
      <c r="I75" s="168">
        <f>($H14+$H15)*I61+$H16*I62</f>
        <v>0</v>
      </c>
      <c r="J75" s="168">
        <f t="shared" si="28"/>
        <v>0</v>
      </c>
    </row>
    <row r="76" spans="1:13">
      <c r="A76" s="157"/>
      <c r="C76" s="193">
        <f t="shared" ref="C76:J76" si="33">SUM(C65:C75)</f>
        <v>17935.804079999998</v>
      </c>
      <c r="D76" s="193">
        <f t="shared" si="33"/>
        <v>-96965.92290000002</v>
      </c>
      <c r="E76" s="193">
        <f t="shared" si="33"/>
        <v>1974.3140100000001</v>
      </c>
      <c r="F76" s="193">
        <f t="shared" si="33"/>
        <v>-85606.412660000002</v>
      </c>
      <c r="G76" s="193">
        <f t="shared" si="33"/>
        <v>-26505.744500000001</v>
      </c>
      <c r="H76" s="193">
        <f t="shared" si="33"/>
        <v>0</v>
      </c>
      <c r="I76" s="193">
        <f t="shared" si="33"/>
        <v>12797.889939999999</v>
      </c>
      <c r="J76" s="193">
        <f t="shared" si="33"/>
        <v>-176370.07202999995</v>
      </c>
    </row>
    <row r="77" spans="1:13" ht="15.75" customHeight="1"/>
    <row r="78" spans="1:13">
      <c r="A78" s="152" t="s">
        <v>19</v>
      </c>
      <c r="B78" s="152"/>
      <c r="C78" s="168">
        <f t="shared" ref="C78:J78" si="34">C65+C66</f>
        <v>17284.7601</v>
      </c>
      <c r="D78" s="168">
        <f t="shared" si="34"/>
        <v>-94959.484500000006</v>
      </c>
      <c r="E78" s="168">
        <f t="shared" si="34"/>
        <v>1974.3140100000001</v>
      </c>
      <c r="F78" s="168">
        <f t="shared" si="34"/>
        <v>-73406.882400000002</v>
      </c>
      <c r="G78" s="168">
        <f t="shared" si="34"/>
        <v>-22406.1705</v>
      </c>
      <c r="H78" s="168">
        <f t="shared" si="34"/>
        <v>0</v>
      </c>
      <c r="I78" s="168">
        <f t="shared" si="34"/>
        <v>12163.349699999999</v>
      </c>
      <c r="J78" s="168">
        <f t="shared" si="34"/>
        <v>-159350.11358999996</v>
      </c>
    </row>
    <row r="79" spans="1:13">
      <c r="A79" s="152"/>
      <c r="B79" s="152"/>
      <c r="C79" s="168"/>
      <c r="D79" s="168"/>
      <c r="E79" s="168"/>
      <c r="F79" s="168"/>
      <c r="G79" s="168"/>
      <c r="H79" s="168"/>
      <c r="I79" s="168"/>
      <c r="J79" s="168"/>
    </row>
    <row r="80" spans="1:13">
      <c r="A80" s="152" t="s">
        <v>184</v>
      </c>
      <c r="B80" s="152"/>
      <c r="C80" s="176">
        <f t="shared" ref="C80:J80" si="35">SUM(C67:C70,C72:C74)</f>
        <v>651.04398000000003</v>
      </c>
      <c r="D80" s="176">
        <f t="shared" si="35"/>
        <v>-2006.4384000000002</v>
      </c>
      <c r="E80" s="176">
        <f t="shared" si="35"/>
        <v>0</v>
      </c>
      <c r="F80" s="176">
        <f t="shared" si="35"/>
        <v>-21405.485140000001</v>
      </c>
      <c r="G80" s="176">
        <f t="shared" si="35"/>
        <v>-6837.5519600000007</v>
      </c>
      <c r="H80" s="176">
        <f t="shared" si="35"/>
        <v>0</v>
      </c>
      <c r="I80" s="176">
        <f t="shared" si="35"/>
        <v>2896.3481199999992</v>
      </c>
      <c r="J80" s="176">
        <f t="shared" si="35"/>
        <v>-26702.0834</v>
      </c>
    </row>
    <row r="81" spans="1:14" ht="15.75" customHeight="1"/>
    <row r="82" spans="1:14" ht="14.4">
      <c r="A82" s="151" t="s">
        <v>215</v>
      </c>
      <c r="B82" s="151"/>
      <c r="C82" s="151"/>
      <c r="D82" s="151"/>
      <c r="E82" s="151"/>
      <c r="F82" s="151"/>
    </row>
    <row r="83" spans="1:14" ht="14.4">
      <c r="A83" s="151" t="s">
        <v>223</v>
      </c>
      <c r="B83" s="151"/>
      <c r="C83" s="151"/>
      <c r="D83" s="151"/>
      <c r="E83" s="151"/>
      <c r="F83" s="151"/>
    </row>
    <row r="84" spans="1:14" ht="14.4">
      <c r="A84" s="170" t="s">
        <v>222</v>
      </c>
      <c r="B84" s="170"/>
      <c r="C84" s="170"/>
      <c r="D84" s="170"/>
      <c r="E84" s="170"/>
      <c r="F84" s="151"/>
    </row>
    <row r="85" spans="1:14" ht="28.2" customHeight="1">
      <c r="A85" s="170"/>
      <c r="B85" s="197" t="s">
        <v>216</v>
      </c>
      <c r="C85" s="197" t="s">
        <v>217</v>
      </c>
      <c r="D85" s="197" t="s">
        <v>218</v>
      </c>
      <c r="E85" s="197" t="s">
        <v>221</v>
      </c>
      <c r="F85" s="151"/>
      <c r="G85" s="403" t="s">
        <v>265</v>
      </c>
      <c r="H85" s="403"/>
      <c r="I85" s="403"/>
      <c r="J85" s="403"/>
      <c r="M85" s="200"/>
      <c r="N85" s="200"/>
    </row>
    <row r="86" spans="1:14" ht="14.4">
      <c r="A86" s="170" t="s">
        <v>233</v>
      </c>
      <c r="B86" s="198">
        <v>1</v>
      </c>
      <c r="C86" s="199">
        <v>876397</v>
      </c>
      <c r="D86" s="200">
        <f>73706.75-C86*SUM(K56)</f>
        <v>71568.341320000007</v>
      </c>
      <c r="E86" s="200">
        <f>500*B86</f>
        <v>500</v>
      </c>
      <c r="F86" s="201" t="s">
        <v>219</v>
      </c>
      <c r="H86" s="198"/>
      <c r="I86" s="199"/>
      <c r="J86" s="200"/>
      <c r="K86" s="200"/>
      <c r="L86" s="201"/>
    </row>
    <row r="87" spans="1:14" ht="14.4" customHeight="1">
      <c r="A87" s="202" t="s">
        <v>258</v>
      </c>
      <c r="B87" s="203">
        <f>SUM(B86:B86)</f>
        <v>1</v>
      </c>
      <c r="C87" s="204">
        <f>SUM(C86:C86)</f>
        <v>876397</v>
      </c>
      <c r="D87" s="205">
        <f>SUM(D86:D86)</f>
        <v>71568.341320000007</v>
      </c>
      <c r="E87" s="205">
        <f>SUM(E86:E86)</f>
        <v>500</v>
      </c>
      <c r="F87" s="151"/>
    </row>
    <row r="88" spans="1:14" ht="9" customHeight="1">
      <c r="A88" s="170"/>
      <c r="B88" s="170"/>
      <c r="C88" s="170"/>
      <c r="D88" s="170"/>
      <c r="E88" s="170"/>
      <c r="F88" s="151"/>
    </row>
    <row r="89" spans="1:14" ht="14.4">
      <c r="A89" s="206"/>
      <c r="B89" s="206"/>
      <c r="C89" s="206"/>
      <c r="D89" s="206"/>
      <c r="E89"/>
      <c r="F89" s="151"/>
    </row>
  </sheetData>
  <mergeCells count="3">
    <mergeCell ref="A1:I1"/>
    <mergeCell ref="G61:G62"/>
    <mergeCell ref="G85:J85"/>
  </mergeCells>
  <printOptions horizontalCentered="1"/>
  <pageMargins left="0.45" right="0.45" top="0.6" bottom="0.6" header="0.3" footer="0.3"/>
  <pageSetup scale="79" orientation="landscape" r:id="rId1"/>
  <headerFooter>
    <oddFooter>&amp;L&amp;F / &amp;A&amp;RPage &amp;P</oddFooter>
  </headerFooter>
  <rowBreaks count="1" manualBreakCount="1">
    <brk id="42" max="9" man="1"/>
  </row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0.39997558519241921"/>
  </sheetPr>
  <dimension ref="A1:N89"/>
  <sheetViews>
    <sheetView workbookViewId="0">
      <selection sqref="A1:I1"/>
    </sheetView>
  </sheetViews>
  <sheetFormatPr defaultColWidth="9.109375" defaultRowHeight="13.8"/>
  <cols>
    <col min="1" max="1" width="14.6640625" style="1" customWidth="1"/>
    <col min="2" max="2" width="10.109375" style="1" customWidth="1"/>
    <col min="3" max="3" width="17.44140625" style="1" customWidth="1"/>
    <col min="4" max="4" width="20.6640625" style="1" bestFit="1" customWidth="1"/>
    <col min="5" max="5" width="15.5546875" style="1" customWidth="1"/>
    <col min="6" max="6" width="15.6640625" style="1" bestFit="1" customWidth="1"/>
    <col min="7" max="7" width="19" style="1" bestFit="1" customWidth="1"/>
    <col min="8" max="8" width="13.6640625" style="1" bestFit="1" customWidth="1"/>
    <col min="9" max="9" width="19.88671875" style="1" bestFit="1" customWidth="1"/>
    <col min="10" max="10" width="13.5546875" style="1" customWidth="1"/>
    <col min="11" max="11" width="13.109375" style="1" customWidth="1"/>
    <col min="12" max="12" width="13.5546875" style="1" bestFit="1" customWidth="1"/>
    <col min="13" max="13" width="27.5546875" style="1" bestFit="1" customWidth="1"/>
    <col min="14" max="16384" width="9.109375" style="1"/>
  </cols>
  <sheetData>
    <row r="1" spans="1:9">
      <c r="A1" s="399" t="s">
        <v>172</v>
      </c>
      <c r="B1" s="399"/>
      <c r="C1" s="399"/>
      <c r="D1" s="399"/>
      <c r="E1" s="399"/>
      <c r="F1" s="399"/>
      <c r="G1" s="399"/>
      <c r="H1" s="399"/>
      <c r="I1" s="399"/>
    </row>
    <row r="2" spans="1:9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</row>
    <row r="3" spans="1:9">
      <c r="A3" s="180" t="s">
        <v>131</v>
      </c>
      <c r="B3" s="152"/>
      <c r="C3" s="158">
        <v>215639</v>
      </c>
      <c r="D3" s="194"/>
      <c r="E3" s="182">
        <v>232576104.734</v>
      </c>
      <c r="F3" s="182">
        <v>-120366856</v>
      </c>
      <c r="G3" s="182">
        <v>117838911</v>
      </c>
      <c r="H3" s="189">
        <f>SUM(F3:G3)</f>
        <v>-2527945</v>
      </c>
      <c r="I3" s="159">
        <f>E3+H3</f>
        <v>230048159.734</v>
      </c>
    </row>
    <row r="4" spans="1:9">
      <c r="A4" s="180" t="s">
        <v>178</v>
      </c>
      <c r="B4" s="152"/>
      <c r="C4" s="158">
        <v>406</v>
      </c>
      <c r="D4" s="194"/>
      <c r="E4" s="182">
        <v>559959.473</v>
      </c>
      <c r="F4" s="182">
        <v>-288189</v>
      </c>
      <c r="G4" s="182">
        <v>277558</v>
      </c>
      <c r="H4" s="189">
        <f t="shared" ref="H4:H16" si="0">SUM(F4:G4)</f>
        <v>-10631</v>
      </c>
      <c r="I4" s="159">
        <f t="shared" ref="I4:I16" si="1">E4+H4</f>
        <v>549328.473</v>
      </c>
    </row>
    <row r="5" spans="1:9">
      <c r="A5" s="180" t="s">
        <v>132</v>
      </c>
      <c r="B5" s="152"/>
      <c r="C5" s="158">
        <v>22750</v>
      </c>
      <c r="D5" s="194"/>
      <c r="E5" s="182">
        <v>49597716.839000002</v>
      </c>
      <c r="F5" s="182">
        <v>-26321244</v>
      </c>
      <c r="G5" s="182">
        <v>24980245</v>
      </c>
      <c r="H5" s="189">
        <f t="shared" si="0"/>
        <v>-1340999</v>
      </c>
      <c r="I5" s="159">
        <f t="shared" si="1"/>
        <v>48256717.839000002</v>
      </c>
    </row>
    <row r="6" spans="1:9">
      <c r="A6" s="180" t="s">
        <v>133</v>
      </c>
      <c r="B6" s="152"/>
      <c r="C6" s="158">
        <v>9436</v>
      </c>
      <c r="D6" s="194"/>
      <c r="E6" s="182">
        <v>6142389.0769999996</v>
      </c>
      <c r="F6" s="182">
        <v>-3266140</v>
      </c>
      <c r="G6" s="182">
        <v>3114821</v>
      </c>
      <c r="H6" s="189">
        <f t="shared" si="0"/>
        <v>-151319</v>
      </c>
      <c r="I6" s="159">
        <f t="shared" si="1"/>
        <v>5991070.0769999996</v>
      </c>
    </row>
    <row r="7" spans="1:9">
      <c r="A7" s="180" t="s">
        <v>134</v>
      </c>
      <c r="B7" s="152"/>
      <c r="C7" s="158">
        <v>1867</v>
      </c>
      <c r="D7" s="194"/>
      <c r="E7" s="182">
        <v>109199871.412</v>
      </c>
      <c r="F7" s="182">
        <v>-58150096</v>
      </c>
      <c r="G7" s="182">
        <f>3854976+51101564</f>
        <v>54956540</v>
      </c>
      <c r="H7" s="189">
        <f t="shared" si="0"/>
        <v>-3193556</v>
      </c>
      <c r="I7" s="159">
        <f t="shared" si="1"/>
        <v>106006315.412</v>
      </c>
    </row>
    <row r="8" spans="1:9">
      <c r="A8" s="180" t="s">
        <v>135</v>
      </c>
      <c r="B8" s="152"/>
      <c r="C8" s="158">
        <v>47</v>
      </c>
      <c r="D8" s="194"/>
      <c r="E8" s="182">
        <v>3024058.96</v>
      </c>
      <c r="F8" s="182">
        <v>-1633070</v>
      </c>
      <c r="G8" s="182">
        <v>1541990</v>
      </c>
      <c r="H8" s="189">
        <f t="shared" si="0"/>
        <v>-91080</v>
      </c>
      <c r="I8" s="159">
        <f t="shared" si="1"/>
        <v>2932978.96</v>
      </c>
    </row>
    <row r="9" spans="1:9">
      <c r="A9" s="180" t="s">
        <v>136</v>
      </c>
      <c r="B9" s="152"/>
      <c r="C9" s="158">
        <v>22</v>
      </c>
      <c r="D9" s="194"/>
      <c r="E9" s="182">
        <f>59452404.5-E10</f>
        <v>59452404.5</v>
      </c>
      <c r="F9" s="182">
        <v>-16075679</v>
      </c>
      <c r="G9" s="182">
        <f>45932134-G10</f>
        <v>10932134</v>
      </c>
      <c r="H9" s="189">
        <f t="shared" si="0"/>
        <v>-5143545</v>
      </c>
      <c r="I9" s="159">
        <f t="shared" si="1"/>
        <v>54308859.5</v>
      </c>
    </row>
    <row r="10" spans="1:9">
      <c r="A10" s="180" t="s">
        <v>179</v>
      </c>
      <c r="B10" s="152"/>
      <c r="C10" s="158"/>
      <c r="D10" s="194"/>
      <c r="E10" s="182">
        <v>0</v>
      </c>
      <c r="F10" s="182">
        <v>0</v>
      </c>
      <c r="G10" s="182">
        <v>35000000</v>
      </c>
      <c r="H10" s="189">
        <f t="shared" si="0"/>
        <v>35000000</v>
      </c>
      <c r="I10" s="159">
        <f t="shared" si="1"/>
        <v>35000000</v>
      </c>
    </row>
    <row r="11" spans="1:9">
      <c r="A11" s="180" t="s">
        <v>180</v>
      </c>
      <c r="B11" s="152"/>
      <c r="C11" s="158">
        <v>48</v>
      </c>
      <c r="D11" s="194"/>
      <c r="E11" s="182">
        <v>10492.6</v>
      </c>
      <c r="F11" s="182">
        <v>0</v>
      </c>
      <c r="G11" s="182">
        <v>0</v>
      </c>
      <c r="H11" s="189">
        <f t="shared" si="0"/>
        <v>0</v>
      </c>
      <c r="I11" s="159">
        <f t="shared" si="1"/>
        <v>10492.6</v>
      </c>
    </row>
    <row r="12" spans="1:9">
      <c r="A12" s="180" t="s">
        <v>137</v>
      </c>
      <c r="B12" s="152"/>
      <c r="C12" s="158">
        <v>1195</v>
      </c>
      <c r="D12" s="194"/>
      <c r="E12" s="182">
        <v>3933829.2289999998</v>
      </c>
      <c r="F12" s="182">
        <v>-1921259</v>
      </c>
      <c r="G12" s="182">
        <v>1788709</v>
      </c>
      <c r="H12" s="189">
        <f t="shared" si="0"/>
        <v>-132550</v>
      </c>
      <c r="I12" s="159">
        <f t="shared" si="1"/>
        <v>3801279.2289999998</v>
      </c>
    </row>
    <row r="13" spans="1:9">
      <c r="A13" s="180" t="s">
        <v>138</v>
      </c>
      <c r="B13" s="152"/>
      <c r="C13" s="158">
        <v>1209</v>
      </c>
      <c r="D13" s="194"/>
      <c r="E13" s="182">
        <v>282325.97100000002</v>
      </c>
      <c r="F13" s="182">
        <v>-128084</v>
      </c>
      <c r="G13" s="182">
        <v>123359</v>
      </c>
      <c r="H13" s="189">
        <f t="shared" si="0"/>
        <v>-4725</v>
      </c>
      <c r="I13" s="159">
        <f t="shared" si="1"/>
        <v>277600.97100000002</v>
      </c>
    </row>
    <row r="14" spans="1:9">
      <c r="A14" s="180" t="s">
        <v>181</v>
      </c>
      <c r="B14" s="152"/>
      <c r="C14" s="158">
        <v>425</v>
      </c>
      <c r="D14" s="194"/>
      <c r="E14" s="182">
        <v>858053.76017000014</v>
      </c>
      <c r="F14" s="182"/>
      <c r="G14" s="182"/>
      <c r="H14" s="189"/>
      <c r="I14" s="159">
        <f t="shared" si="1"/>
        <v>858053.76017000014</v>
      </c>
    </row>
    <row r="15" spans="1:9">
      <c r="A15" s="180" t="s">
        <v>182</v>
      </c>
      <c r="B15" s="152"/>
      <c r="C15" s="158"/>
      <c r="D15" s="194"/>
      <c r="E15" s="182">
        <v>407399.72499999998</v>
      </c>
      <c r="F15" s="182"/>
      <c r="G15" s="182"/>
      <c r="H15" s="189">
        <f t="shared" si="0"/>
        <v>0</v>
      </c>
      <c r="I15" s="159">
        <f t="shared" si="1"/>
        <v>407399.72499999998</v>
      </c>
    </row>
    <row r="16" spans="1:9">
      <c r="A16" s="180" t="s">
        <v>183</v>
      </c>
      <c r="B16" s="152"/>
      <c r="C16" s="158"/>
      <c r="D16" s="195"/>
      <c r="E16" s="182">
        <v>208808.4523</v>
      </c>
      <c r="F16" s="182"/>
      <c r="G16" s="182"/>
      <c r="H16" s="189">
        <f t="shared" si="0"/>
        <v>0</v>
      </c>
      <c r="I16" s="159">
        <f t="shared" si="1"/>
        <v>208808.4523</v>
      </c>
    </row>
    <row r="17" spans="1:9">
      <c r="A17" s="152"/>
      <c r="B17" s="152"/>
      <c r="C17" s="160">
        <f>SUM(C3:C16)</f>
        <v>253044</v>
      </c>
      <c r="E17" s="160">
        <f>SUM(E3:E16)</f>
        <v>466253414.73247004</v>
      </c>
      <c r="F17" s="160">
        <f>SUM(F3:F16)</f>
        <v>-228150617</v>
      </c>
      <c r="G17" s="160">
        <f>SUM(G3:G16)</f>
        <v>250554267</v>
      </c>
      <c r="H17" s="160">
        <f>SUM(H3:H16)</f>
        <v>22403650</v>
      </c>
      <c r="I17" s="160">
        <f>SUM(I3:I16)</f>
        <v>488657064.73247004</v>
      </c>
    </row>
    <row r="18" spans="1:9" ht="14.4" thickBot="1">
      <c r="A18" s="152"/>
      <c r="B18" s="152"/>
      <c r="C18" s="152"/>
      <c r="E18" s="152"/>
      <c r="F18" s="152"/>
      <c r="G18" s="152"/>
      <c r="I18" s="152"/>
    </row>
    <row r="19" spans="1:9">
      <c r="A19" s="152" t="s">
        <v>19</v>
      </c>
      <c r="B19" s="152"/>
      <c r="C19" s="161">
        <f>C3+C4</f>
        <v>216045</v>
      </c>
      <c r="E19" s="162">
        <f>E3+E4</f>
        <v>233136064.20699999</v>
      </c>
      <c r="F19" s="162">
        <f>F3+F4</f>
        <v>-120655045</v>
      </c>
      <c r="G19" s="162">
        <f>G3+G4</f>
        <v>118116469</v>
      </c>
      <c r="H19" s="162">
        <f>H3+H4</f>
        <v>-2538576</v>
      </c>
      <c r="I19" s="161">
        <f>I3+I4</f>
        <v>230597488.20699999</v>
      </c>
    </row>
    <row r="20" spans="1:9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9" ht="14.4" thickBot="1">
      <c r="A21" s="152" t="s">
        <v>184</v>
      </c>
      <c r="B21" s="152"/>
      <c r="C21" s="177">
        <f>SUM(C5:C8,C11:C13)</f>
        <v>36552</v>
      </c>
      <c r="E21" s="178">
        <f>SUM(E5:E8,E11:E13)</f>
        <v>172190684.088</v>
      </c>
      <c r="F21" s="178">
        <f>SUM(F5:F8,F11:F13)</f>
        <v>-91419893</v>
      </c>
      <c r="G21" s="178">
        <f>SUM(G5:G8,G11:G13)</f>
        <v>86505664</v>
      </c>
      <c r="H21" s="178">
        <f>SUM(H5:H8,H11:H13)</f>
        <v>-4914229</v>
      </c>
      <c r="I21" s="177">
        <f>SUM(I5:I8,I11:I13)</f>
        <v>167276455.088</v>
      </c>
    </row>
    <row r="22" spans="1:9">
      <c r="A22" s="152"/>
      <c r="B22" s="152"/>
      <c r="C22" s="152"/>
      <c r="D22" s="152"/>
      <c r="E22" s="152"/>
    </row>
    <row r="23" spans="1:9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9">
      <c r="A24" s="180" t="s">
        <v>131</v>
      </c>
      <c r="B24" s="152"/>
      <c r="C24" s="181">
        <v>1871538.5</v>
      </c>
      <c r="D24" s="181">
        <v>20707001.530000001</v>
      </c>
      <c r="E24" s="183">
        <v>-11801787</v>
      </c>
      <c r="F24" s="183">
        <v>11352157</v>
      </c>
      <c r="G24" s="174">
        <f>SUM(D24:F24)</f>
        <v>20257371.530000001</v>
      </c>
      <c r="H24" s="174">
        <f>-J65</f>
        <v>19111.264199999998</v>
      </c>
      <c r="I24" s="174">
        <f>SUM(G24:H24)</f>
        <v>20276482.794199999</v>
      </c>
    </row>
    <row r="25" spans="1:9">
      <c r="A25" s="180" t="s">
        <v>178</v>
      </c>
      <c r="B25" s="152"/>
      <c r="C25" s="181">
        <v>3468</v>
      </c>
      <c r="D25" s="181">
        <v>49890.76</v>
      </c>
      <c r="E25" s="183">
        <v>-18728</v>
      </c>
      <c r="F25" s="183">
        <v>17552</v>
      </c>
      <c r="G25" s="174">
        <f t="shared" ref="G25:G33" si="2">SUM(D25:F25)</f>
        <v>48714.76</v>
      </c>
      <c r="H25" s="174">
        <f t="shared" ref="H25:H30" si="3">-J66</f>
        <v>-254.82507000000001</v>
      </c>
      <c r="I25" s="174">
        <f t="shared" ref="I25:I34" si="4">SUM(G25:H25)</f>
        <v>48459.934930000003</v>
      </c>
    </row>
    <row r="26" spans="1:9">
      <c r="A26" s="180" t="s">
        <v>132</v>
      </c>
      <c r="B26" s="152"/>
      <c r="C26" s="181">
        <v>417725.76</v>
      </c>
      <c r="D26" s="181">
        <v>5745129.3899999997</v>
      </c>
      <c r="E26" s="183">
        <v>-3051861</v>
      </c>
      <c r="F26" s="183">
        <v>2934622</v>
      </c>
      <c r="G26" s="174">
        <f t="shared" si="2"/>
        <v>5627890.3899999997</v>
      </c>
      <c r="H26" s="174">
        <f t="shared" si="3"/>
        <v>8019.1740199999995</v>
      </c>
      <c r="I26" s="174">
        <f t="shared" si="4"/>
        <v>5635909.5640199995</v>
      </c>
    </row>
    <row r="27" spans="1:9">
      <c r="A27" s="180" t="s">
        <v>133</v>
      </c>
      <c r="B27" s="152"/>
      <c r="C27" s="181">
        <v>171554.01</v>
      </c>
      <c r="D27" s="181">
        <v>846882.72</v>
      </c>
      <c r="E27" s="183">
        <v>-453450</v>
      </c>
      <c r="F27" s="183">
        <v>440806</v>
      </c>
      <c r="G27" s="174">
        <f t="shared" si="2"/>
        <v>834238.72</v>
      </c>
      <c r="H27" s="174">
        <f t="shared" si="3"/>
        <v>782.31922999999995</v>
      </c>
      <c r="I27" s="174">
        <f t="shared" si="4"/>
        <v>835021.03922999999</v>
      </c>
    </row>
    <row r="28" spans="1:9">
      <c r="A28" s="180" t="s">
        <v>134</v>
      </c>
      <c r="B28" s="152"/>
      <c r="C28" s="181">
        <v>934452.7</v>
      </c>
      <c r="D28" s="181">
        <v>9817261.8100000005</v>
      </c>
      <c r="E28" s="183">
        <v>-4802235</v>
      </c>
      <c r="F28" s="183">
        <f>4262877+307752</f>
        <v>4570629</v>
      </c>
      <c r="G28" s="174">
        <f t="shared" si="2"/>
        <v>9585655.8100000005</v>
      </c>
      <c r="H28" s="174">
        <f t="shared" si="3"/>
        <v>14594.550920000001</v>
      </c>
      <c r="I28" s="174">
        <f t="shared" si="4"/>
        <v>9600250.3609200008</v>
      </c>
    </row>
    <row r="29" spans="1:9">
      <c r="A29" s="180" t="s">
        <v>135</v>
      </c>
      <c r="B29" s="152"/>
      <c r="C29" s="181">
        <v>23500</v>
      </c>
      <c r="D29" s="181">
        <v>267223.74</v>
      </c>
      <c r="E29" s="183">
        <v>-133641</v>
      </c>
      <c r="F29" s="183">
        <v>126949</v>
      </c>
      <c r="G29" s="174">
        <f t="shared" si="2"/>
        <v>260531.74</v>
      </c>
      <c r="H29" s="174">
        <f t="shared" si="3"/>
        <v>342.46079999999995</v>
      </c>
      <c r="I29" s="174">
        <f t="shared" si="4"/>
        <v>260874.20079999999</v>
      </c>
    </row>
    <row r="30" spans="1:9">
      <c r="A30" s="180" t="s">
        <v>136</v>
      </c>
      <c r="B30" s="152"/>
      <c r="C30" s="181">
        <v>483000</v>
      </c>
      <c r="D30" s="181">
        <f>3806218.86-0</f>
        <v>3806218.86</v>
      </c>
      <c r="E30" s="183">
        <v>-1009705</v>
      </c>
      <c r="F30" s="183">
        <v>2559011</v>
      </c>
      <c r="G30" s="174">
        <f t="shared" si="2"/>
        <v>5355524.8599999994</v>
      </c>
      <c r="H30" s="174">
        <f t="shared" si="3"/>
        <v>-48699.750200000002</v>
      </c>
      <c r="I30" s="174">
        <f t="shared" si="4"/>
        <v>5306825.1097999997</v>
      </c>
    </row>
    <row r="31" spans="1:9">
      <c r="A31" s="180" t="s">
        <v>180</v>
      </c>
      <c r="B31" s="152"/>
      <c r="C31" s="181">
        <v>882</v>
      </c>
      <c r="D31" s="181">
        <v>1607.3</v>
      </c>
      <c r="E31" s="183">
        <v>0</v>
      </c>
      <c r="F31" s="183">
        <v>0</v>
      </c>
      <c r="G31" s="174">
        <f t="shared" si="2"/>
        <v>1607.3</v>
      </c>
      <c r="H31" s="174">
        <f>-J72</f>
        <v>0</v>
      </c>
      <c r="I31" s="174">
        <f t="shared" si="4"/>
        <v>1607.3</v>
      </c>
    </row>
    <row r="32" spans="1:9">
      <c r="A32" s="180" t="s">
        <v>137</v>
      </c>
      <c r="B32" s="152"/>
      <c r="C32" s="181">
        <v>21636</v>
      </c>
      <c r="D32" s="181">
        <v>344840.58</v>
      </c>
      <c r="E32" s="183">
        <v>-123720</v>
      </c>
      <c r="F32" s="183">
        <v>113785</v>
      </c>
      <c r="G32" s="174">
        <f t="shared" si="2"/>
        <v>334905.58</v>
      </c>
      <c r="H32" s="174">
        <f>-J73</f>
        <v>551.40800000000002</v>
      </c>
      <c r="I32" s="174">
        <f t="shared" si="4"/>
        <v>335456.98800000001</v>
      </c>
    </row>
    <row r="33" spans="1:11">
      <c r="A33" s="180" t="s">
        <v>138</v>
      </c>
      <c r="B33" s="152"/>
      <c r="C33" s="181">
        <v>21816</v>
      </c>
      <c r="D33" s="181">
        <v>46005.46</v>
      </c>
      <c r="E33" s="183">
        <v>-21063</v>
      </c>
      <c r="F33" s="183">
        <v>20534</v>
      </c>
      <c r="G33" s="174">
        <f t="shared" si="2"/>
        <v>45476.46</v>
      </c>
      <c r="H33" s="174">
        <f>-J74</f>
        <v>15.828750000000003</v>
      </c>
      <c r="I33" s="174">
        <f t="shared" si="4"/>
        <v>45492.28875</v>
      </c>
    </row>
    <row r="34" spans="1:11">
      <c r="A34" s="180" t="s">
        <v>192</v>
      </c>
      <c r="B34" s="152"/>
      <c r="C34" s="174"/>
      <c r="D34" s="181">
        <v>365597.41</v>
      </c>
      <c r="E34" s="181"/>
      <c r="F34" s="181"/>
      <c r="G34" s="174">
        <f>SUM(D34:F34)</f>
        <v>365597.41</v>
      </c>
      <c r="H34" s="174"/>
      <c r="I34" s="174">
        <f t="shared" si="4"/>
        <v>365597.41</v>
      </c>
    </row>
    <row r="35" spans="1:11">
      <c r="A35" s="180" t="s">
        <v>193</v>
      </c>
      <c r="B35" s="152"/>
      <c r="C35" s="194"/>
      <c r="D35" s="181">
        <v>2767250.6</v>
      </c>
      <c r="E35" s="181"/>
      <c r="F35" s="181"/>
      <c r="G35" s="174"/>
      <c r="H35" s="174"/>
      <c r="I35" s="174"/>
    </row>
    <row r="36" spans="1:11">
      <c r="A36" s="180" t="s">
        <v>194</v>
      </c>
      <c r="B36" s="152"/>
      <c r="C36" s="194"/>
      <c r="D36" s="181">
        <v>1863434.5</v>
      </c>
      <c r="E36" s="181"/>
      <c r="F36" s="181"/>
      <c r="G36" s="174"/>
      <c r="H36" s="174"/>
      <c r="I36" s="174"/>
    </row>
    <row r="37" spans="1:11">
      <c r="A37" s="152"/>
      <c r="B37" s="152"/>
      <c r="C37" s="166">
        <f t="shared" ref="C37:I37" si="5">SUM(C24:C36)</f>
        <v>3949572.9699999997</v>
      </c>
      <c r="D37" s="166">
        <f t="shared" si="5"/>
        <v>46628344.659999996</v>
      </c>
      <c r="E37" s="166">
        <f t="shared" si="5"/>
        <v>-21416190</v>
      </c>
      <c r="F37" s="166">
        <f t="shared" si="5"/>
        <v>22136045</v>
      </c>
      <c r="G37" s="166">
        <f t="shared" si="5"/>
        <v>42717514.559999995</v>
      </c>
      <c r="H37" s="166">
        <f t="shared" si="5"/>
        <v>-5537.5693500000016</v>
      </c>
      <c r="I37" s="166">
        <f t="shared" si="5"/>
        <v>42711976.990649998</v>
      </c>
    </row>
    <row r="38" spans="1:11" ht="14.4" thickBot="1">
      <c r="A38" s="152"/>
      <c r="B38" s="152"/>
      <c r="D38" s="167"/>
      <c r="E38" s="152"/>
      <c r="F38" s="152"/>
    </row>
    <row r="39" spans="1:11">
      <c r="A39" s="152" t="s">
        <v>19</v>
      </c>
      <c r="B39" s="152"/>
      <c r="C39" s="169">
        <f t="shared" ref="C39:I39" si="6">C24+C25</f>
        <v>1875006.5</v>
      </c>
      <c r="D39" s="168">
        <f t="shared" si="6"/>
        <v>20756892.290000003</v>
      </c>
      <c r="E39" s="168">
        <f t="shared" si="6"/>
        <v>-11820515</v>
      </c>
      <c r="F39" s="168">
        <f t="shared" si="6"/>
        <v>11369709</v>
      </c>
      <c r="G39" s="168">
        <f t="shared" si="6"/>
        <v>20306086.290000003</v>
      </c>
      <c r="H39" s="168">
        <f t="shared" si="6"/>
        <v>18856.439129999999</v>
      </c>
      <c r="I39" s="169">
        <f t="shared" si="6"/>
        <v>20324942.72913</v>
      </c>
    </row>
    <row r="40" spans="1:11" ht="6" customHeight="1">
      <c r="A40" s="152"/>
      <c r="B40" s="152"/>
      <c r="C40" s="173"/>
      <c r="D40" s="168"/>
      <c r="E40" s="152"/>
      <c r="F40" s="152"/>
      <c r="I40" s="190"/>
    </row>
    <row r="41" spans="1:11" ht="14.4" thickBot="1">
      <c r="A41" s="152" t="s">
        <v>184</v>
      </c>
      <c r="B41" s="152"/>
      <c r="C41" s="175">
        <f>SUM(C26:C29,C31:C33)</f>
        <v>1591566.47</v>
      </c>
      <c r="D41" s="176">
        <f t="shared" ref="D41:I41" si="7">SUM(D26:D29,D31:D33)</f>
        <v>17068951</v>
      </c>
      <c r="E41" s="176">
        <f t="shared" si="7"/>
        <v>-8585970</v>
      </c>
      <c r="F41" s="176">
        <f t="shared" si="7"/>
        <v>8207325</v>
      </c>
      <c r="G41" s="176">
        <f t="shared" si="7"/>
        <v>16690306.000000002</v>
      </c>
      <c r="H41" s="176">
        <f t="shared" si="7"/>
        <v>24305.741720000002</v>
      </c>
      <c r="I41" s="175">
        <f t="shared" si="7"/>
        <v>16714611.741720002</v>
      </c>
    </row>
    <row r="42" spans="1:1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1">
      <c r="A43" s="152"/>
      <c r="B43" s="152"/>
      <c r="C43" s="188"/>
      <c r="D43" s="176"/>
      <c r="E43" s="176"/>
      <c r="F43" s="176"/>
      <c r="G43" s="176"/>
      <c r="H43" s="176"/>
      <c r="I43" s="188"/>
    </row>
    <row r="44" spans="1:11">
      <c r="A44" s="152"/>
      <c r="B44" s="152"/>
      <c r="C44" s="188"/>
      <c r="D44" s="176"/>
      <c r="E44" s="176"/>
      <c r="F44" s="176"/>
      <c r="G44" s="176"/>
      <c r="H44" s="176"/>
      <c r="I44" s="188"/>
    </row>
    <row r="45" spans="1:11">
      <c r="A45" s="152"/>
      <c r="B45" s="152"/>
      <c r="C45" s="188"/>
      <c r="D45" s="176"/>
      <c r="E45" s="176"/>
      <c r="F45" s="176"/>
      <c r="G45" s="176"/>
      <c r="H45" s="176"/>
      <c r="I45" s="188"/>
    </row>
    <row r="46" spans="1:11">
      <c r="A46" s="152"/>
      <c r="B46" s="152"/>
      <c r="C46" s="188"/>
      <c r="D46" s="176"/>
      <c r="E46" s="176"/>
      <c r="F46" s="176"/>
      <c r="G46" s="176"/>
      <c r="H46" s="176"/>
      <c r="I46" s="188"/>
    </row>
    <row r="47" spans="1:11">
      <c r="A47" s="152"/>
      <c r="B47" s="152"/>
      <c r="C47" s="188"/>
      <c r="D47" s="176"/>
      <c r="E47" s="176"/>
      <c r="F47" s="176"/>
      <c r="G47" s="176"/>
      <c r="H47" s="176"/>
      <c r="I47" s="188"/>
    </row>
    <row r="48" spans="1:11">
      <c r="C48" s="191">
        <v>43040</v>
      </c>
      <c r="D48" s="196">
        <v>43040</v>
      </c>
      <c r="E48" s="192">
        <v>42278</v>
      </c>
      <c r="F48" s="191">
        <v>42583</v>
      </c>
      <c r="G48" s="191">
        <v>43009</v>
      </c>
      <c r="H48" s="191">
        <v>42380</v>
      </c>
      <c r="I48" s="191">
        <v>42917</v>
      </c>
      <c r="J48" s="191"/>
      <c r="K48" s="196"/>
    </row>
    <row r="49" spans="1:13" ht="42" customHeight="1">
      <c r="A49" s="179" t="s">
        <v>195</v>
      </c>
      <c r="B49" s="154"/>
      <c r="C49" s="165" t="s">
        <v>196</v>
      </c>
      <c r="D49" s="165" t="s">
        <v>213</v>
      </c>
      <c r="E49" s="165" t="s">
        <v>197</v>
      </c>
      <c r="F49" s="165" t="s">
        <v>198</v>
      </c>
      <c r="G49" s="165" t="s">
        <v>199</v>
      </c>
      <c r="H49" s="165" t="s">
        <v>200</v>
      </c>
      <c r="I49" s="165" t="s">
        <v>201</v>
      </c>
      <c r="K49" s="211" t="s">
        <v>229</v>
      </c>
      <c r="L49" s="1" t="s">
        <v>230</v>
      </c>
    </row>
    <row r="50" spans="1:13">
      <c r="A50" s="180" t="s">
        <v>131</v>
      </c>
      <c r="B50" s="152"/>
      <c r="C50" s="171">
        <v>-8.0999999999999996E-4</v>
      </c>
      <c r="D50" s="171">
        <v>4.45E-3</v>
      </c>
      <c r="E50" s="171"/>
      <c r="F50" s="171">
        <v>3.4399999999999999E-3</v>
      </c>
      <c r="G50" s="171">
        <v>1.0499999999999999E-3</v>
      </c>
      <c r="H50" s="171">
        <v>0</v>
      </c>
      <c r="I50" s="171">
        <v>-5.6999999999999998E-4</v>
      </c>
      <c r="K50" s="171">
        <f t="shared" ref="K50:K62" si="8">SUM(C50:I50)</f>
        <v>7.5599999999999999E-3</v>
      </c>
      <c r="L50" s="212">
        <f t="shared" ref="L50:L62" si="9">K50*H3</f>
        <v>-19111.264200000001</v>
      </c>
    </row>
    <row r="51" spans="1:13">
      <c r="A51" s="180" t="s">
        <v>178</v>
      </c>
      <c r="B51" s="152"/>
      <c r="C51" s="171">
        <v>-8.0999999999999996E-4</v>
      </c>
      <c r="D51" s="171">
        <v>4.45E-3</v>
      </c>
      <c r="E51" s="171">
        <v>-3.1530000000000002E-2</v>
      </c>
      <c r="F51" s="171">
        <v>3.4399999999999999E-3</v>
      </c>
      <c r="G51" s="171">
        <v>1.0499999999999999E-3</v>
      </c>
      <c r="H51" s="171">
        <v>0</v>
      </c>
      <c r="I51" s="171">
        <v>-5.6999999999999998E-4</v>
      </c>
      <c r="K51" s="171">
        <f t="shared" si="8"/>
        <v>-2.3970000000000005E-2</v>
      </c>
      <c r="L51" s="212">
        <f t="shared" si="9"/>
        <v>254.82507000000007</v>
      </c>
    </row>
    <row r="52" spans="1:13">
      <c r="A52" s="180" t="s">
        <v>132</v>
      </c>
      <c r="B52" s="152"/>
      <c r="C52" s="171">
        <v>0</v>
      </c>
      <c r="D52" s="171">
        <v>4.0000000000000002E-4</v>
      </c>
      <c r="E52" s="171"/>
      <c r="F52" s="171">
        <v>4.6299999999999996E-3</v>
      </c>
      <c r="G52" s="171">
        <v>1.5200000000000001E-3</v>
      </c>
      <c r="H52" s="171">
        <v>0</v>
      </c>
      <c r="I52" s="171">
        <v>-5.6999999999999998E-4</v>
      </c>
      <c r="K52" s="171">
        <f t="shared" si="8"/>
        <v>5.9800000000000001E-3</v>
      </c>
      <c r="L52" s="212">
        <f t="shared" si="9"/>
        <v>-8019.1740200000004</v>
      </c>
    </row>
    <row r="53" spans="1:13">
      <c r="A53" s="180" t="s">
        <v>133</v>
      </c>
      <c r="B53" s="152"/>
      <c r="C53" s="171">
        <v>-8.0999999999999996E-4</v>
      </c>
      <c r="D53" s="171">
        <v>4.0000000000000002E-4</v>
      </c>
      <c r="E53" s="171"/>
      <c r="F53" s="171">
        <v>4.6299999999999996E-3</v>
      </c>
      <c r="G53" s="171">
        <v>1.5200000000000001E-3</v>
      </c>
      <c r="H53" s="171">
        <v>0</v>
      </c>
      <c r="I53" s="171">
        <v>-5.6999999999999998E-4</v>
      </c>
      <c r="K53" s="171">
        <f t="shared" si="8"/>
        <v>5.1700000000000001E-3</v>
      </c>
      <c r="L53" s="212">
        <f t="shared" si="9"/>
        <v>-782.31923000000006</v>
      </c>
    </row>
    <row r="54" spans="1:13">
      <c r="A54" s="180" t="s">
        <v>134</v>
      </c>
      <c r="B54" s="152"/>
      <c r="C54" s="171">
        <v>0</v>
      </c>
      <c r="D54" s="171">
        <v>4.0000000000000002E-4</v>
      </c>
      <c r="E54" s="171"/>
      <c r="F54" s="171">
        <v>3.6600000000000001E-3</v>
      </c>
      <c r="G54" s="171">
        <v>1.1000000000000001E-3</v>
      </c>
      <c r="H54" s="171">
        <v>0</v>
      </c>
      <c r="I54" s="171">
        <v>-5.9000000000000003E-4</v>
      </c>
      <c r="K54" s="171">
        <f t="shared" si="8"/>
        <v>4.5700000000000003E-3</v>
      </c>
      <c r="L54" s="212">
        <f t="shared" si="9"/>
        <v>-14594.550920000001</v>
      </c>
    </row>
    <row r="55" spans="1:13">
      <c r="A55" s="180" t="s">
        <v>135</v>
      </c>
      <c r="B55" s="152"/>
      <c r="C55" s="171">
        <v>-8.0999999999999996E-4</v>
      </c>
      <c r="D55" s="171">
        <v>4.0000000000000002E-4</v>
      </c>
      <c r="E55" s="171"/>
      <c r="F55" s="171">
        <v>3.6600000000000001E-3</v>
      </c>
      <c r="G55" s="171">
        <v>1.1000000000000001E-3</v>
      </c>
      <c r="H55" s="171">
        <v>0</v>
      </c>
      <c r="I55" s="171">
        <v>-5.9000000000000003E-4</v>
      </c>
      <c r="K55" s="171">
        <f t="shared" si="8"/>
        <v>3.7600000000000003E-3</v>
      </c>
      <c r="L55" s="212">
        <f t="shared" si="9"/>
        <v>-342.46080000000001</v>
      </c>
    </row>
    <row r="56" spans="1:13">
      <c r="A56" s="180" t="s">
        <v>136</v>
      </c>
      <c r="B56" s="152"/>
      <c r="C56" s="171">
        <v>0</v>
      </c>
      <c r="D56" s="171">
        <v>0</v>
      </c>
      <c r="E56" s="171"/>
      <c r="F56" s="171">
        <v>2.32E-3</v>
      </c>
      <c r="G56" s="171">
        <v>6.8999999999999997E-4</v>
      </c>
      <c r="H56" s="171">
        <v>0</v>
      </c>
      <c r="I56" s="171">
        <v>-5.6999999999999998E-4</v>
      </c>
      <c r="K56" s="171">
        <f t="shared" si="8"/>
        <v>2.4400000000000003E-3</v>
      </c>
      <c r="L56" s="212">
        <f t="shared" si="9"/>
        <v>-12550.249800000001</v>
      </c>
    </row>
    <row r="57" spans="1:13">
      <c r="A57" s="180" t="s">
        <v>179</v>
      </c>
      <c r="B57" s="152"/>
      <c r="C57" s="171">
        <v>0</v>
      </c>
      <c r="D57" s="171">
        <v>0</v>
      </c>
      <c r="E57" s="171"/>
      <c r="F57" s="171">
        <v>2.32E-3</v>
      </c>
      <c r="G57" s="171">
        <v>0</v>
      </c>
      <c r="H57" s="171">
        <v>0</v>
      </c>
      <c r="I57" s="171">
        <v>-5.6999999999999998E-4</v>
      </c>
      <c r="K57" s="171">
        <f t="shared" si="8"/>
        <v>1.75E-3</v>
      </c>
      <c r="L57" s="212">
        <f t="shared" si="9"/>
        <v>61250</v>
      </c>
    </row>
    <row r="58" spans="1:13">
      <c r="A58" s="180" t="s">
        <v>180</v>
      </c>
      <c r="B58" s="152"/>
      <c r="C58" s="171">
        <v>0</v>
      </c>
      <c r="D58" s="171">
        <v>4.0000000000000002E-4</v>
      </c>
      <c r="E58" s="171"/>
      <c r="F58" s="171">
        <v>3.4099999999999998E-3</v>
      </c>
      <c r="G58" s="171">
        <v>9.6000000000000002E-4</v>
      </c>
      <c r="H58" s="171">
        <v>0</v>
      </c>
      <c r="I58" s="171">
        <v>-6.0999999999999997E-4</v>
      </c>
      <c r="K58" s="171">
        <f t="shared" si="8"/>
        <v>4.1599999999999996E-3</v>
      </c>
      <c r="L58" s="212">
        <f t="shared" si="9"/>
        <v>0</v>
      </c>
    </row>
    <row r="59" spans="1:13">
      <c r="A59" s="180" t="s">
        <v>137</v>
      </c>
      <c r="B59" s="152"/>
      <c r="C59" s="171">
        <v>0</v>
      </c>
      <c r="D59" s="171">
        <v>4.0000000000000002E-4</v>
      </c>
      <c r="E59" s="171"/>
      <c r="F59" s="171">
        <v>3.4099999999999998E-3</v>
      </c>
      <c r="G59" s="171">
        <v>9.6000000000000002E-4</v>
      </c>
      <c r="H59" s="171">
        <v>0</v>
      </c>
      <c r="I59" s="171">
        <v>-6.0999999999999997E-4</v>
      </c>
      <c r="K59" s="171">
        <f t="shared" si="8"/>
        <v>4.1599999999999996E-3</v>
      </c>
      <c r="L59" s="212">
        <f t="shared" si="9"/>
        <v>-551.4079999999999</v>
      </c>
    </row>
    <row r="60" spans="1:13">
      <c r="A60" s="180" t="s">
        <v>138</v>
      </c>
      <c r="B60" s="152"/>
      <c r="C60" s="171">
        <v>-8.0999999999999996E-4</v>
      </c>
      <c r="D60" s="171">
        <v>4.0000000000000002E-4</v>
      </c>
      <c r="E60" s="171"/>
      <c r="F60" s="171">
        <v>3.4099999999999998E-3</v>
      </c>
      <c r="G60" s="171">
        <v>9.6000000000000002E-4</v>
      </c>
      <c r="H60" s="171">
        <v>0</v>
      </c>
      <c r="I60" s="171">
        <v>-6.0999999999999997E-4</v>
      </c>
      <c r="K60" s="171">
        <f t="shared" si="8"/>
        <v>3.3500000000000001E-3</v>
      </c>
      <c r="L60" s="212">
        <f t="shared" si="9"/>
        <v>-15.828750000000001</v>
      </c>
    </row>
    <row r="61" spans="1:13" ht="14.4" customHeight="1">
      <c r="A61" s="180" t="s">
        <v>192</v>
      </c>
      <c r="B61" s="152"/>
      <c r="C61" s="171">
        <v>0</v>
      </c>
      <c r="D61" s="171">
        <v>0</v>
      </c>
      <c r="E61" s="171"/>
      <c r="F61" s="186">
        <v>1.2149999999999999E-2</v>
      </c>
      <c r="G61" s="401" t="s">
        <v>214</v>
      </c>
      <c r="H61" s="171">
        <v>0</v>
      </c>
      <c r="I61" s="186">
        <v>-6.4999999999999997E-4</v>
      </c>
      <c r="K61" s="171">
        <f t="shared" si="8"/>
        <v>1.15E-2</v>
      </c>
      <c r="L61" s="212">
        <f t="shared" si="9"/>
        <v>0</v>
      </c>
    </row>
    <row r="62" spans="1:13">
      <c r="A62" s="180" t="s">
        <v>183</v>
      </c>
      <c r="B62" s="152"/>
      <c r="C62" s="171">
        <v>-8.0999999999999996E-4</v>
      </c>
      <c r="D62" s="171">
        <v>0</v>
      </c>
      <c r="E62" s="171"/>
      <c r="F62" s="186">
        <v>1.2149999999999999E-2</v>
      </c>
      <c r="G62" s="401"/>
      <c r="H62" s="171">
        <v>0</v>
      </c>
      <c r="I62" s="186">
        <v>-6.4999999999999997E-4</v>
      </c>
      <c r="K62" s="171">
        <f t="shared" si="8"/>
        <v>1.069E-2</v>
      </c>
      <c r="L62" s="212">
        <f t="shared" si="9"/>
        <v>0</v>
      </c>
    </row>
    <row r="63" spans="1:13">
      <c r="E63" s="152"/>
      <c r="L63" s="212">
        <f>SUM(L50:L62)</f>
        <v>5537.5693499999879</v>
      </c>
    </row>
    <row r="64" spans="1:13" ht="52.8">
      <c r="A64" s="179" t="s">
        <v>202</v>
      </c>
      <c r="B64" s="154"/>
      <c r="C64" s="172" t="s">
        <v>209</v>
      </c>
      <c r="D64" s="172" t="s">
        <v>213</v>
      </c>
      <c r="E64" s="172" t="s">
        <v>203</v>
      </c>
      <c r="F64" s="172" t="s">
        <v>204</v>
      </c>
      <c r="G64" s="172" t="s">
        <v>205</v>
      </c>
      <c r="H64" s="172" t="s">
        <v>206</v>
      </c>
      <c r="I64" s="172" t="s">
        <v>207</v>
      </c>
      <c r="J64" s="172" t="s">
        <v>208</v>
      </c>
      <c r="M64" s="209"/>
    </row>
    <row r="65" spans="1:13">
      <c r="A65" s="180" t="s">
        <v>131</v>
      </c>
      <c r="C65" s="168">
        <f t="shared" ref="C65:C70" si="10">C50*H3</f>
        <v>2047.63545</v>
      </c>
      <c r="D65" s="168">
        <f t="shared" ref="D65:D70" si="11">D50*H3</f>
        <v>-11249.355250000001</v>
      </c>
      <c r="E65" s="168">
        <f t="shared" ref="E65:E70" si="12">$H3*E50</f>
        <v>0</v>
      </c>
      <c r="F65" s="168">
        <f t="shared" ref="F65:G70" si="13">($H3*F50)</f>
        <v>-8696.130799999999</v>
      </c>
      <c r="G65" s="168">
        <f t="shared" si="13"/>
        <v>-2654.3422499999997</v>
      </c>
      <c r="H65" s="168">
        <f t="shared" ref="H65:H70" si="14">$H3*H50</f>
        <v>0</v>
      </c>
      <c r="I65" s="168">
        <f t="shared" ref="I65:I70" si="15">(I50*H3)</f>
        <v>1440.9286499999998</v>
      </c>
      <c r="J65" s="168">
        <f>SUM(C65:I65)</f>
        <v>-19111.264199999998</v>
      </c>
      <c r="M65" s="168"/>
    </row>
    <row r="66" spans="1:13">
      <c r="A66" s="180" t="s">
        <v>178</v>
      </c>
      <c r="C66" s="168">
        <f t="shared" si="10"/>
        <v>8.61111</v>
      </c>
      <c r="D66" s="168">
        <f t="shared" si="11"/>
        <v>-47.307949999999998</v>
      </c>
      <c r="E66" s="168">
        <f t="shared" si="12"/>
        <v>335.19543000000004</v>
      </c>
      <c r="F66" s="168">
        <f t="shared" si="13"/>
        <v>-36.570639999999997</v>
      </c>
      <c r="G66" s="168">
        <f t="shared" si="13"/>
        <v>-11.16255</v>
      </c>
      <c r="H66" s="168">
        <f t="shared" si="14"/>
        <v>0</v>
      </c>
      <c r="I66" s="168">
        <f t="shared" si="15"/>
        <v>6.0596699999999997</v>
      </c>
      <c r="J66" s="168">
        <f t="shared" ref="J66:J75" si="16">SUM(C66:I66)</f>
        <v>254.82507000000001</v>
      </c>
      <c r="M66" s="168"/>
    </row>
    <row r="67" spans="1:13">
      <c r="A67" s="180" t="s">
        <v>132</v>
      </c>
      <c r="C67" s="168">
        <f t="shared" si="10"/>
        <v>0</v>
      </c>
      <c r="D67" s="168">
        <f t="shared" si="11"/>
        <v>-536.39960000000008</v>
      </c>
      <c r="E67" s="168">
        <f t="shared" si="12"/>
        <v>0</v>
      </c>
      <c r="F67" s="168">
        <f t="shared" si="13"/>
        <v>-6208.8253699999996</v>
      </c>
      <c r="G67" s="168">
        <f t="shared" si="13"/>
        <v>-2038.3184800000001</v>
      </c>
      <c r="H67" s="168">
        <f t="shared" si="14"/>
        <v>0</v>
      </c>
      <c r="I67" s="168">
        <f t="shared" si="15"/>
        <v>764.36942999999997</v>
      </c>
      <c r="J67" s="168">
        <f t="shared" si="16"/>
        <v>-8019.1740199999995</v>
      </c>
      <c r="M67" s="168"/>
    </row>
    <row r="68" spans="1:13">
      <c r="A68" s="180" t="s">
        <v>133</v>
      </c>
      <c r="C68" s="168">
        <f t="shared" si="10"/>
        <v>122.56838999999999</v>
      </c>
      <c r="D68" s="168">
        <f t="shared" si="11"/>
        <v>-60.5276</v>
      </c>
      <c r="E68" s="168">
        <f t="shared" si="12"/>
        <v>0</v>
      </c>
      <c r="F68" s="168">
        <f t="shared" si="13"/>
        <v>-700.60696999999993</v>
      </c>
      <c r="G68" s="168">
        <f t="shared" si="13"/>
        <v>-230.00488000000001</v>
      </c>
      <c r="H68" s="168">
        <f t="shared" si="14"/>
        <v>0</v>
      </c>
      <c r="I68" s="168">
        <f t="shared" si="15"/>
        <v>86.251829999999998</v>
      </c>
      <c r="J68" s="168">
        <f t="shared" si="16"/>
        <v>-782.31922999999995</v>
      </c>
      <c r="M68" s="168"/>
    </row>
    <row r="69" spans="1:13">
      <c r="A69" s="180" t="s">
        <v>134</v>
      </c>
      <c r="C69" s="168">
        <f t="shared" si="10"/>
        <v>0</v>
      </c>
      <c r="D69" s="168">
        <f t="shared" si="11"/>
        <v>-1277.4224000000002</v>
      </c>
      <c r="E69" s="168">
        <f t="shared" si="12"/>
        <v>0</v>
      </c>
      <c r="F69" s="168">
        <f t="shared" si="13"/>
        <v>-11688.41496</v>
      </c>
      <c r="G69" s="168">
        <f t="shared" si="13"/>
        <v>-3512.9116000000004</v>
      </c>
      <c r="H69" s="168">
        <f t="shared" si="14"/>
        <v>0</v>
      </c>
      <c r="I69" s="168">
        <f t="shared" si="15"/>
        <v>1884.19804</v>
      </c>
      <c r="J69" s="168">
        <f t="shared" si="16"/>
        <v>-14594.550920000001</v>
      </c>
      <c r="M69" s="168"/>
    </row>
    <row r="70" spans="1:13">
      <c r="A70" s="180" t="s">
        <v>135</v>
      </c>
      <c r="C70" s="168">
        <f t="shared" si="10"/>
        <v>73.774799999999999</v>
      </c>
      <c r="D70" s="168">
        <f t="shared" si="11"/>
        <v>-36.432000000000002</v>
      </c>
      <c r="E70" s="168">
        <f t="shared" si="12"/>
        <v>0</v>
      </c>
      <c r="F70" s="168">
        <f t="shared" si="13"/>
        <v>-333.3528</v>
      </c>
      <c r="G70" s="168">
        <f t="shared" si="13"/>
        <v>-100.188</v>
      </c>
      <c r="H70" s="168">
        <f t="shared" si="14"/>
        <v>0</v>
      </c>
      <c r="I70" s="168">
        <f t="shared" si="15"/>
        <v>53.737200000000001</v>
      </c>
      <c r="J70" s="168">
        <f>SUM(C70:I70)</f>
        <v>-342.46079999999995</v>
      </c>
      <c r="M70" s="168"/>
    </row>
    <row r="71" spans="1:13">
      <c r="A71" s="180" t="s">
        <v>136</v>
      </c>
      <c r="C71" s="168">
        <f t="shared" ref="C71:I71" si="17">$H9*C56+$H10*C57</f>
        <v>0</v>
      </c>
      <c r="D71" s="168">
        <f t="shared" si="17"/>
        <v>0</v>
      </c>
      <c r="E71" s="168">
        <f t="shared" si="17"/>
        <v>0</v>
      </c>
      <c r="F71" s="168">
        <f t="shared" si="17"/>
        <v>69266.975600000005</v>
      </c>
      <c r="G71" s="168">
        <f t="shared" si="17"/>
        <v>-3549.0460499999999</v>
      </c>
      <c r="H71" s="168">
        <f t="shared" si="17"/>
        <v>0</v>
      </c>
      <c r="I71" s="168">
        <f t="shared" si="17"/>
        <v>-17018.179349999999</v>
      </c>
      <c r="J71" s="168">
        <f t="shared" si="16"/>
        <v>48699.750200000002</v>
      </c>
      <c r="M71" s="168"/>
    </row>
    <row r="72" spans="1:13">
      <c r="A72" s="180" t="s">
        <v>180</v>
      </c>
      <c r="C72" s="168">
        <f t="shared" ref="C72:E74" si="18">$H11*C58</f>
        <v>0</v>
      </c>
      <c r="D72" s="168">
        <f t="shared" si="18"/>
        <v>0</v>
      </c>
      <c r="E72" s="168">
        <f t="shared" si="18"/>
        <v>0</v>
      </c>
      <c r="F72" s="168">
        <f t="shared" ref="F72:G74" si="19">($H11*F58)</f>
        <v>0</v>
      </c>
      <c r="G72" s="168">
        <f t="shared" si="19"/>
        <v>0</v>
      </c>
      <c r="H72" s="168">
        <f t="shared" ref="H72:I74" si="20">$H11*H58</f>
        <v>0</v>
      </c>
      <c r="I72" s="168">
        <f t="shared" si="20"/>
        <v>0</v>
      </c>
      <c r="J72" s="168">
        <f t="shared" si="16"/>
        <v>0</v>
      </c>
      <c r="M72" s="168"/>
    </row>
    <row r="73" spans="1:13">
      <c r="A73" s="180" t="s">
        <v>137</v>
      </c>
      <c r="C73" s="168">
        <f t="shared" si="18"/>
        <v>0</v>
      </c>
      <c r="D73" s="168">
        <f t="shared" si="18"/>
        <v>-53.02</v>
      </c>
      <c r="E73" s="168">
        <f t="shared" si="18"/>
        <v>0</v>
      </c>
      <c r="F73" s="168">
        <f t="shared" si="19"/>
        <v>-451.99549999999999</v>
      </c>
      <c r="G73" s="168">
        <f t="shared" si="19"/>
        <v>-127.248</v>
      </c>
      <c r="H73" s="168">
        <f t="shared" si="20"/>
        <v>0</v>
      </c>
      <c r="I73" s="168">
        <f t="shared" si="20"/>
        <v>80.855499999999992</v>
      </c>
      <c r="J73" s="168">
        <f t="shared" si="16"/>
        <v>-551.40800000000002</v>
      </c>
      <c r="M73" s="168"/>
    </row>
    <row r="74" spans="1:13">
      <c r="A74" s="180" t="s">
        <v>138</v>
      </c>
      <c r="C74" s="168">
        <f t="shared" si="18"/>
        <v>3.8272499999999998</v>
      </c>
      <c r="D74" s="168">
        <f t="shared" si="18"/>
        <v>-1.8900000000000001</v>
      </c>
      <c r="E74" s="168">
        <f t="shared" si="18"/>
        <v>0</v>
      </c>
      <c r="F74" s="168">
        <f t="shared" si="19"/>
        <v>-16.11225</v>
      </c>
      <c r="G74" s="168">
        <f t="shared" si="19"/>
        <v>-4.5360000000000005</v>
      </c>
      <c r="H74" s="168">
        <f t="shared" si="20"/>
        <v>0</v>
      </c>
      <c r="I74" s="168">
        <f t="shared" si="20"/>
        <v>2.88225</v>
      </c>
      <c r="J74" s="168">
        <f t="shared" si="16"/>
        <v>-15.828750000000003</v>
      </c>
      <c r="M74" s="168"/>
    </row>
    <row r="75" spans="1:13">
      <c r="A75" s="180" t="s">
        <v>192</v>
      </c>
      <c r="C75" s="168">
        <f>($H14+$H15)*C61+$H16*C62</f>
        <v>0</v>
      </c>
      <c r="D75" s="168">
        <f>($H14+$H15)*D61+$H16*D62</f>
        <v>0</v>
      </c>
      <c r="E75" s="168">
        <f>($H14+$H15)*E61+$H16*E62</f>
        <v>0</v>
      </c>
      <c r="F75" s="168">
        <f>($H14+$H15)*F61+$H16*F62</f>
        <v>0</v>
      </c>
      <c r="G75" s="168"/>
      <c r="H75" s="168">
        <f>($H14+$H15)*H61+$H16*H62</f>
        <v>0</v>
      </c>
      <c r="I75" s="168">
        <f>($H14+$H15)*I61+$H16*I62</f>
        <v>0</v>
      </c>
      <c r="J75" s="168">
        <f t="shared" si="16"/>
        <v>0</v>
      </c>
      <c r="M75" s="168"/>
    </row>
    <row r="76" spans="1:13">
      <c r="A76" s="157"/>
      <c r="C76" s="193">
        <f t="shared" ref="C76:J76" si="21">SUM(C65:C75)</f>
        <v>2256.4169999999999</v>
      </c>
      <c r="D76" s="193">
        <f t="shared" si="21"/>
        <v>-13262.354800000001</v>
      </c>
      <c r="E76" s="193">
        <f t="shared" si="21"/>
        <v>335.19543000000004</v>
      </c>
      <c r="F76" s="193">
        <f t="shared" si="21"/>
        <v>41134.966310000011</v>
      </c>
      <c r="G76" s="193">
        <f t="shared" si="21"/>
        <v>-12227.757809999999</v>
      </c>
      <c r="H76" s="193">
        <f t="shared" si="21"/>
        <v>0</v>
      </c>
      <c r="I76" s="193">
        <f t="shared" si="21"/>
        <v>-12698.896779999999</v>
      </c>
      <c r="J76" s="193">
        <f t="shared" si="21"/>
        <v>5537.5693500000016</v>
      </c>
    </row>
    <row r="77" spans="1:13" ht="15.75" customHeight="1"/>
    <row r="78" spans="1:13">
      <c r="A78" s="152" t="s">
        <v>19</v>
      </c>
      <c r="B78" s="152"/>
      <c r="C78" s="168">
        <f t="shared" ref="C78:J78" si="22">C65+C66</f>
        <v>2056.24656</v>
      </c>
      <c r="D78" s="168">
        <f t="shared" si="22"/>
        <v>-11296.663200000001</v>
      </c>
      <c r="E78" s="168">
        <f t="shared" si="22"/>
        <v>335.19543000000004</v>
      </c>
      <c r="F78" s="168">
        <f t="shared" si="22"/>
        <v>-8732.7014399999989</v>
      </c>
      <c r="G78" s="168">
        <f t="shared" si="22"/>
        <v>-2665.5047999999997</v>
      </c>
      <c r="H78" s="168">
        <f t="shared" si="22"/>
        <v>0</v>
      </c>
      <c r="I78" s="168">
        <f t="shared" si="22"/>
        <v>1446.9883199999999</v>
      </c>
      <c r="J78" s="168">
        <f t="shared" si="22"/>
        <v>-18856.439129999999</v>
      </c>
    </row>
    <row r="79" spans="1:13">
      <c r="A79" s="152"/>
      <c r="B79" s="152"/>
      <c r="C79" s="168"/>
      <c r="D79" s="168"/>
      <c r="E79" s="168"/>
      <c r="F79" s="168"/>
      <c r="G79" s="168"/>
      <c r="H79" s="168"/>
      <c r="I79" s="168"/>
      <c r="J79" s="168"/>
    </row>
    <row r="80" spans="1:13">
      <c r="A80" s="152" t="s">
        <v>184</v>
      </c>
      <c r="B80" s="152"/>
      <c r="C80" s="176">
        <f t="shared" ref="C80:J80" si="23">SUM(C67:C70,C72:C74)</f>
        <v>200.17043999999999</v>
      </c>
      <c r="D80" s="176">
        <f t="shared" si="23"/>
        <v>-1965.6916000000003</v>
      </c>
      <c r="E80" s="176">
        <f t="shared" si="23"/>
        <v>0</v>
      </c>
      <c r="F80" s="176">
        <f t="shared" si="23"/>
        <v>-19399.307850000001</v>
      </c>
      <c r="G80" s="176">
        <f t="shared" si="23"/>
        <v>-6013.2069600000004</v>
      </c>
      <c r="H80" s="176">
        <f t="shared" si="23"/>
        <v>0</v>
      </c>
      <c r="I80" s="176">
        <f t="shared" si="23"/>
        <v>2872.2942500000004</v>
      </c>
      <c r="J80" s="176">
        <f t="shared" si="23"/>
        <v>-24305.741720000002</v>
      </c>
    </row>
    <row r="81" spans="1:14" ht="15.75" customHeight="1"/>
    <row r="82" spans="1:14" ht="14.4">
      <c r="A82" s="151" t="s">
        <v>215</v>
      </c>
      <c r="B82" s="151"/>
      <c r="C82" s="151"/>
      <c r="D82" s="151"/>
      <c r="E82" s="151"/>
      <c r="F82" s="151"/>
    </row>
    <row r="83" spans="1:14" ht="14.4">
      <c r="A83" s="151" t="s">
        <v>223</v>
      </c>
      <c r="B83" s="151"/>
      <c r="C83" s="151"/>
      <c r="D83" s="151"/>
      <c r="E83" s="151"/>
      <c r="F83" s="151"/>
    </row>
    <row r="84" spans="1:14" ht="14.4">
      <c r="A84" s="170" t="s">
        <v>222</v>
      </c>
      <c r="B84" s="170"/>
      <c r="C84" s="170"/>
      <c r="D84" s="170"/>
      <c r="E84" s="170"/>
      <c r="F84" s="151"/>
    </row>
    <row r="85" spans="1:14" ht="28.8">
      <c r="A85" s="170"/>
      <c r="B85" s="197" t="s">
        <v>216</v>
      </c>
      <c r="C85" s="197" t="s">
        <v>217</v>
      </c>
      <c r="D85" s="197" t="s">
        <v>218</v>
      </c>
      <c r="E85" s="197" t="s">
        <v>221</v>
      </c>
      <c r="F85" s="151"/>
    </row>
    <row r="86" spans="1:14" ht="14.4">
      <c r="A86" s="170" t="s">
        <v>231</v>
      </c>
      <c r="B86" s="198">
        <v>1</v>
      </c>
      <c r="C86" s="199">
        <v>951957.3</v>
      </c>
      <c r="D86" s="200">
        <f>78038.39-C86*SUM(K56)</f>
        <v>75715.614187999992</v>
      </c>
      <c r="E86" s="200">
        <v>500</v>
      </c>
      <c r="F86" s="201" t="s">
        <v>219</v>
      </c>
      <c r="K86" s="198"/>
      <c r="L86" s="199"/>
      <c r="M86" s="200"/>
      <c r="N86" s="200"/>
    </row>
    <row r="87" spans="1:14" ht="28.8">
      <c r="A87" s="202" t="s">
        <v>220</v>
      </c>
      <c r="B87" s="203">
        <f>SUM(B86:B86)</f>
        <v>1</v>
      </c>
      <c r="C87" s="204">
        <f>SUM(C86:C86)</f>
        <v>951957.3</v>
      </c>
      <c r="D87" s="205">
        <f>SUM(D86:D86)</f>
        <v>75715.614187999992</v>
      </c>
      <c r="E87" s="205">
        <f>SUM(E86:E86)</f>
        <v>500</v>
      </c>
      <c r="F87" s="151"/>
    </row>
    <row r="88" spans="1:14" ht="9" customHeight="1">
      <c r="A88" s="170"/>
      <c r="B88" s="170"/>
      <c r="C88" s="170"/>
      <c r="D88" s="170"/>
      <c r="E88" s="170"/>
      <c r="F88" s="151"/>
    </row>
    <row r="89" spans="1:14" ht="14.4">
      <c r="A89" s="206" t="s">
        <v>232</v>
      </c>
      <c r="B89" s="206"/>
      <c r="C89" s="206"/>
      <c r="D89" s="206"/>
      <c r="E89" s="206"/>
      <c r="F89" s="151"/>
    </row>
  </sheetData>
  <mergeCells count="2">
    <mergeCell ref="A1:I1"/>
    <mergeCell ref="G61:G62"/>
  </mergeCells>
  <pageMargins left="0.57999999999999996" right="0.6" top="0.47" bottom="0.5" header="0.3" footer="0.3"/>
  <pageSetup scale="77" orientation="landscape" r:id="rId1"/>
  <headerFooter>
    <oddFooter>&amp;L&amp;F / &amp;A&amp;RPage &amp;P</oddFooter>
  </headerFooter>
  <rowBreaks count="1" manualBreakCount="1">
    <brk id="4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7"/>
  <sheetViews>
    <sheetView topLeftCell="E23" workbookViewId="0">
      <selection activeCell="M52" sqref="M52"/>
    </sheetView>
  </sheetViews>
  <sheetFormatPr defaultRowHeight="14.4"/>
  <cols>
    <col min="1" max="1" width="2.44140625" customWidth="1"/>
    <col min="2" max="2" width="22.6640625" customWidth="1"/>
    <col min="4" max="15" width="12.5546875" bestFit="1" customWidth="1"/>
    <col min="16" max="16" width="14.33203125" bestFit="1" customWidth="1"/>
  </cols>
  <sheetData>
    <row r="1" spans="1:16">
      <c r="A1" t="s">
        <v>287</v>
      </c>
    </row>
    <row r="2" spans="1:16">
      <c r="A2" t="s">
        <v>80</v>
      </c>
    </row>
    <row r="3" spans="1:16">
      <c r="A3" t="s">
        <v>266</v>
      </c>
    </row>
    <row r="4" spans="1:16">
      <c r="A4" t="s">
        <v>81</v>
      </c>
    </row>
    <row r="5" spans="1:16">
      <c r="D5" s="327">
        <v>42370</v>
      </c>
      <c r="E5" s="327">
        <v>42401</v>
      </c>
      <c r="F5" s="327">
        <v>42430</v>
      </c>
      <c r="G5" s="327">
        <v>42461</v>
      </c>
      <c r="H5" s="327">
        <v>42491</v>
      </c>
      <c r="I5" s="327">
        <v>42522</v>
      </c>
      <c r="J5" s="327">
        <v>42552</v>
      </c>
      <c r="K5" s="327">
        <v>42583</v>
      </c>
      <c r="L5" s="327">
        <v>42614</v>
      </c>
      <c r="M5" s="327">
        <v>42644</v>
      </c>
      <c r="N5" s="327">
        <v>42675</v>
      </c>
      <c r="O5" s="327">
        <v>42705</v>
      </c>
      <c r="P5" t="s">
        <v>66</v>
      </c>
    </row>
    <row r="6" spans="1:16">
      <c r="A6" t="s">
        <v>84</v>
      </c>
    </row>
    <row r="7" spans="1:16">
      <c r="B7" t="s">
        <v>267</v>
      </c>
      <c r="D7" s="50">
        <v>281027480</v>
      </c>
      <c r="E7" s="50">
        <v>230506821</v>
      </c>
      <c r="F7" s="50">
        <v>198363507</v>
      </c>
      <c r="G7" s="50">
        <v>175201661</v>
      </c>
      <c r="H7" s="50">
        <v>148495652</v>
      </c>
      <c r="I7" s="50">
        <v>154090136.59999999</v>
      </c>
      <c r="J7" s="50">
        <v>163425633</v>
      </c>
      <c r="K7" s="50">
        <v>176921758</v>
      </c>
      <c r="L7" s="50">
        <v>176555296</v>
      </c>
      <c r="M7" s="50">
        <v>148062106</v>
      </c>
      <c r="N7" s="50">
        <v>171637794</v>
      </c>
      <c r="O7" s="50">
        <v>244773659</v>
      </c>
      <c r="P7" s="50">
        <v>2269061503.5999999</v>
      </c>
    </row>
    <row r="8" spans="1:16">
      <c r="B8" t="s">
        <v>85</v>
      </c>
      <c r="D8" s="50">
        <v>62103053</v>
      </c>
      <c r="E8" s="50">
        <v>55492050</v>
      </c>
      <c r="F8" s="50">
        <v>51335713</v>
      </c>
      <c r="G8" s="50">
        <v>47127306</v>
      </c>
      <c r="H8" s="50">
        <v>45475268</v>
      </c>
      <c r="I8" s="50">
        <v>46917495</v>
      </c>
      <c r="J8" s="50">
        <v>48733807</v>
      </c>
      <c r="K8" s="50">
        <v>51765642</v>
      </c>
      <c r="L8" s="50">
        <v>52690785</v>
      </c>
      <c r="M8" s="50">
        <v>45883770</v>
      </c>
      <c r="N8" s="50">
        <v>46983800</v>
      </c>
      <c r="O8" s="50">
        <v>57305285</v>
      </c>
      <c r="P8" s="50">
        <v>611813974</v>
      </c>
    </row>
    <row r="9" spans="1:16">
      <c r="B9" t="s">
        <v>86</v>
      </c>
      <c r="D9" s="50">
        <v>125186862</v>
      </c>
      <c r="E9" s="50">
        <v>112643414</v>
      </c>
      <c r="F9" s="50">
        <v>107231528</v>
      </c>
      <c r="G9" s="50">
        <v>112981690</v>
      </c>
      <c r="H9" s="50">
        <v>112626772</v>
      </c>
      <c r="I9" s="50">
        <v>118295108</v>
      </c>
      <c r="J9" s="50">
        <v>119288439</v>
      </c>
      <c r="K9" s="50">
        <v>119517243</v>
      </c>
      <c r="L9" s="50">
        <v>125067964</v>
      </c>
      <c r="M9" s="50">
        <v>111371375</v>
      </c>
      <c r="N9" s="50">
        <v>108423915</v>
      </c>
      <c r="O9" s="50">
        <v>125109526</v>
      </c>
      <c r="P9" s="50">
        <v>1397743836</v>
      </c>
    </row>
    <row r="10" spans="1:16">
      <c r="B10" t="s">
        <v>268</v>
      </c>
      <c r="D10" s="50">
        <v>93759560</v>
      </c>
      <c r="E10" s="50">
        <v>89320116</v>
      </c>
      <c r="F10" s="50">
        <v>92724920</v>
      </c>
      <c r="G10" s="50">
        <v>81644231</v>
      </c>
      <c r="H10" s="50">
        <v>98986457</v>
      </c>
      <c r="I10" s="50">
        <v>55033539</v>
      </c>
      <c r="J10" s="50">
        <v>135689737</v>
      </c>
      <c r="K10" s="50">
        <v>98320357</v>
      </c>
      <c r="L10" s="50">
        <v>86043771</v>
      </c>
      <c r="M10" s="50">
        <v>91087801</v>
      </c>
      <c r="N10" s="50">
        <v>88451909</v>
      </c>
      <c r="O10" s="50">
        <v>95010892</v>
      </c>
      <c r="P10" s="50">
        <v>1106073290</v>
      </c>
    </row>
    <row r="11" spans="1:16">
      <c r="B11" t="s">
        <v>269</v>
      </c>
      <c r="D11" s="50">
        <v>3962568.5</v>
      </c>
      <c r="E11" s="50">
        <v>3835415</v>
      </c>
      <c r="F11" s="50">
        <v>3817404</v>
      </c>
      <c r="G11" s="50">
        <v>5668911</v>
      </c>
      <c r="H11" s="50">
        <v>11827237</v>
      </c>
      <c r="I11" s="50">
        <v>17473356.666670002</v>
      </c>
      <c r="J11" s="50">
        <v>21240193</v>
      </c>
      <c r="K11" s="50">
        <v>24373405</v>
      </c>
      <c r="L11" s="50">
        <v>21721978</v>
      </c>
      <c r="M11" s="50">
        <v>12100052</v>
      </c>
      <c r="N11" s="50">
        <v>3753578</v>
      </c>
      <c r="O11" s="50">
        <v>3803632</v>
      </c>
      <c r="P11" s="50">
        <v>133577730.16666999</v>
      </c>
    </row>
    <row r="12" spans="1:16">
      <c r="B12" t="s">
        <v>87</v>
      </c>
      <c r="D12" s="50">
        <v>2124844.9717100002</v>
      </c>
      <c r="E12" s="50">
        <v>1905380.7574100001</v>
      </c>
      <c r="F12" s="50">
        <v>1884539.6084299998</v>
      </c>
      <c r="G12" s="50">
        <v>1916999.49967</v>
      </c>
      <c r="H12" s="50">
        <v>1959056.7826600003</v>
      </c>
      <c r="I12" s="50">
        <v>1909984.0465300002</v>
      </c>
      <c r="J12" s="50">
        <v>1897894.3302699998</v>
      </c>
      <c r="K12" s="50">
        <v>1950448.3249700002</v>
      </c>
      <c r="L12" s="50">
        <v>1909711.9522499999</v>
      </c>
      <c r="M12" s="50">
        <v>1857123.46842</v>
      </c>
      <c r="N12" s="50">
        <v>1889621.05859</v>
      </c>
      <c r="O12" s="50">
        <v>1915566.0024200003</v>
      </c>
      <c r="P12" s="50">
        <v>23121170.803329997</v>
      </c>
    </row>
    <row r="13" spans="1:16">
      <c r="A13" t="s">
        <v>88</v>
      </c>
      <c r="D13" s="51">
        <v>568164368.47170997</v>
      </c>
      <c r="E13" s="51">
        <v>493703196.75740999</v>
      </c>
      <c r="F13" s="51">
        <v>455357611.60843003</v>
      </c>
      <c r="G13" s="51">
        <v>424540798.49967003</v>
      </c>
      <c r="H13" s="51">
        <v>419370442.78266001</v>
      </c>
      <c r="I13" s="51">
        <v>393719619.31320006</v>
      </c>
      <c r="J13" s="51">
        <v>490275703.33026999</v>
      </c>
      <c r="K13" s="51">
        <v>472848853.32497001</v>
      </c>
      <c r="L13" s="51">
        <v>463989505.95225</v>
      </c>
      <c r="M13" s="51">
        <v>410362227.46842003</v>
      </c>
      <c r="N13" s="51">
        <v>421140617.05858999</v>
      </c>
      <c r="O13" s="51">
        <v>527918560.00242001</v>
      </c>
      <c r="P13" s="51">
        <v>5541391504.5700006</v>
      </c>
    </row>
    <row r="14" spans="1:16"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>
      <c r="A15" t="s">
        <v>89</v>
      </c>
    </row>
    <row r="16" spans="1:16">
      <c r="B16" t="s">
        <v>267</v>
      </c>
      <c r="D16" s="50">
        <v>-5802194</v>
      </c>
      <c r="E16" s="50">
        <v>-20987679</v>
      </c>
      <c r="F16" s="50">
        <v>142616</v>
      </c>
      <c r="G16" s="50">
        <v>-18536904</v>
      </c>
      <c r="H16" s="50">
        <v>-6065337</v>
      </c>
      <c r="I16" s="50">
        <v>2412838</v>
      </c>
      <c r="J16" s="50">
        <v>15208818</v>
      </c>
      <c r="K16" s="50">
        <v>4646020</v>
      </c>
      <c r="L16" s="50">
        <v>-22372199</v>
      </c>
      <c r="M16" s="50">
        <v>9116055</v>
      </c>
      <c r="N16" s="50">
        <v>21662026</v>
      </c>
      <c r="O16" s="50">
        <v>39741167</v>
      </c>
      <c r="P16" s="50">
        <v>19165227</v>
      </c>
    </row>
    <row r="17" spans="1:16">
      <c r="B17" t="s">
        <v>85</v>
      </c>
      <c r="D17" s="50">
        <v>-2623049</v>
      </c>
      <c r="E17" s="50">
        <v>-2413188</v>
      </c>
      <c r="F17" s="50">
        <v>2101017</v>
      </c>
      <c r="G17" s="50">
        <v>-3831123</v>
      </c>
      <c r="H17" s="50">
        <v>1698711</v>
      </c>
      <c r="I17" s="50">
        <v>602404</v>
      </c>
      <c r="J17" s="50">
        <v>3918304</v>
      </c>
      <c r="K17" s="50">
        <v>774679</v>
      </c>
      <c r="L17" s="50">
        <v>-6018955</v>
      </c>
      <c r="M17" s="50">
        <v>3843245</v>
      </c>
      <c r="N17" s="50">
        <v>2414933</v>
      </c>
      <c r="O17" s="50">
        <v>4423953</v>
      </c>
      <c r="P17" s="50">
        <v>4890931</v>
      </c>
    </row>
    <row r="18" spans="1:16">
      <c r="B18" t="s">
        <v>86</v>
      </c>
      <c r="D18" s="50">
        <v>-10193765</v>
      </c>
      <c r="E18" s="50">
        <v>-4767451</v>
      </c>
      <c r="F18" s="50">
        <v>6082535</v>
      </c>
      <c r="G18" s="50">
        <v>-133123</v>
      </c>
      <c r="H18" s="50">
        <v>6764776</v>
      </c>
      <c r="I18" s="50">
        <v>2048807</v>
      </c>
      <c r="J18" s="50">
        <v>7701313</v>
      </c>
      <c r="K18" s="50">
        <v>-2644118</v>
      </c>
      <c r="L18" s="50">
        <v>-12188232</v>
      </c>
      <c r="M18" s="50">
        <v>10680568</v>
      </c>
      <c r="N18" s="50">
        <v>1970093</v>
      </c>
      <c r="O18" s="50">
        <v>5732655</v>
      </c>
      <c r="P18" s="50">
        <v>11054058</v>
      </c>
    </row>
    <row r="19" spans="1:16">
      <c r="B19" t="s">
        <v>268</v>
      </c>
      <c r="D19" s="50">
        <v>-1129891</v>
      </c>
      <c r="E19" s="50">
        <v>-1524703</v>
      </c>
      <c r="F19" s="50">
        <v>0</v>
      </c>
      <c r="G19" s="50">
        <v>952096</v>
      </c>
      <c r="H19" s="50">
        <v>2295167</v>
      </c>
      <c r="I19" s="50">
        <v>38362784</v>
      </c>
      <c r="J19" s="50">
        <v>-41610047</v>
      </c>
      <c r="K19" s="50">
        <v>0</v>
      </c>
      <c r="L19" s="50">
        <v>4399998</v>
      </c>
      <c r="M19" s="50">
        <v>2327328</v>
      </c>
      <c r="N19" s="50">
        <v>-339369</v>
      </c>
      <c r="O19" s="50">
        <v>-1814256</v>
      </c>
      <c r="P19" s="50">
        <v>1919107</v>
      </c>
    </row>
    <row r="20" spans="1:16">
      <c r="B20" t="s">
        <v>269</v>
      </c>
      <c r="D20" s="50">
        <v>-486558</v>
      </c>
      <c r="E20" s="50">
        <v>-27471</v>
      </c>
      <c r="F20" s="50">
        <v>294254</v>
      </c>
      <c r="G20" s="50">
        <v>328652</v>
      </c>
      <c r="H20" s="50">
        <v>1261969</v>
      </c>
      <c r="I20" s="50">
        <v>3988789</v>
      </c>
      <c r="J20" s="50">
        <v>338264</v>
      </c>
      <c r="K20" s="50">
        <v>1094999</v>
      </c>
      <c r="L20" s="50">
        <v>-2742861</v>
      </c>
      <c r="M20" s="50">
        <v>-1221586</v>
      </c>
      <c r="N20" s="50">
        <v>-2947312</v>
      </c>
      <c r="O20" s="50">
        <v>36441</v>
      </c>
      <c r="P20" s="50">
        <v>-82420</v>
      </c>
    </row>
    <row r="21" spans="1:16">
      <c r="B21" t="s">
        <v>87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</row>
    <row r="22" spans="1:16">
      <c r="A22" t="s">
        <v>90</v>
      </c>
      <c r="D22" s="51">
        <v>-20235457</v>
      </c>
      <c r="E22" s="51">
        <v>-29720492</v>
      </c>
      <c r="F22" s="51">
        <v>8620422</v>
      </c>
      <c r="G22" s="51">
        <v>-21220402</v>
      </c>
      <c r="H22" s="51">
        <v>5955286</v>
      </c>
      <c r="I22" s="51">
        <v>47415622</v>
      </c>
      <c r="J22" s="51">
        <v>-14443348</v>
      </c>
      <c r="K22" s="51">
        <v>3871580</v>
      </c>
      <c r="L22" s="51">
        <v>-38922249</v>
      </c>
      <c r="M22" s="51">
        <v>24745610</v>
      </c>
      <c r="N22" s="51">
        <v>22760371</v>
      </c>
      <c r="O22" s="51">
        <v>48119960</v>
      </c>
      <c r="P22" s="51">
        <v>36946903</v>
      </c>
    </row>
    <row r="24" spans="1:16">
      <c r="A24" t="s">
        <v>91</v>
      </c>
    </row>
    <row r="25" spans="1:16">
      <c r="B25" t="s">
        <v>85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>
        <v>0</v>
      </c>
    </row>
    <row r="26" spans="1:16">
      <c r="B26" t="s">
        <v>86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>
        <v>0</v>
      </c>
    </row>
    <row r="27" spans="1:16">
      <c r="A27" t="s">
        <v>91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</row>
    <row r="28" spans="1:16"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</row>
    <row r="29" spans="1:16">
      <c r="A29" t="s">
        <v>92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</row>
    <row r="30" spans="1:16">
      <c r="B30" t="s">
        <v>268</v>
      </c>
      <c r="D30" s="50">
        <v>-409662</v>
      </c>
      <c r="E30" s="50">
        <v>0</v>
      </c>
      <c r="F30" s="50">
        <v>647398</v>
      </c>
      <c r="G30" s="50">
        <v>5960523</v>
      </c>
      <c r="H30" s="50">
        <v>-6761048</v>
      </c>
      <c r="I30" s="50">
        <v>270619</v>
      </c>
      <c r="J30" s="50">
        <v>-117492</v>
      </c>
      <c r="K30" s="50">
        <v>0</v>
      </c>
      <c r="L30" s="50">
        <v>0</v>
      </c>
      <c r="M30" s="50">
        <v>-255888</v>
      </c>
      <c r="N30" s="50">
        <v>204162</v>
      </c>
      <c r="O30" s="50">
        <v>-122851</v>
      </c>
      <c r="P30" s="50">
        <v>-584239</v>
      </c>
    </row>
    <row r="32" spans="1:16">
      <c r="A32" t="s">
        <v>93</v>
      </c>
    </row>
    <row r="33" spans="1:16">
      <c r="B33" t="s">
        <v>267</v>
      </c>
      <c r="D33" s="50">
        <v>7493658</v>
      </c>
      <c r="E33" s="50">
        <v>19509772</v>
      </c>
      <c r="F33" s="50">
        <v>11259273</v>
      </c>
      <c r="G33" s="50">
        <v>20261319</v>
      </c>
      <c r="H33" s="50">
        <v>12470672</v>
      </c>
      <c r="I33" s="50">
        <v>-12886269</v>
      </c>
      <c r="J33" s="50">
        <v>11867820</v>
      </c>
      <c r="K33" s="50">
        <v>-9609386</v>
      </c>
      <c r="L33" s="50">
        <v>8630784</v>
      </c>
      <c r="M33" s="50">
        <v>1891413</v>
      </c>
      <c r="N33" s="50">
        <v>22644242</v>
      </c>
      <c r="O33" s="50">
        <v>-19874040</v>
      </c>
      <c r="P33" s="50">
        <v>73659258</v>
      </c>
    </row>
    <row r="34" spans="1:16">
      <c r="B34" t="s">
        <v>85</v>
      </c>
      <c r="D34" s="50">
        <v>773421</v>
      </c>
      <c r="E34" s="50">
        <v>2011636</v>
      </c>
      <c r="F34" s="50">
        <v>1164560</v>
      </c>
      <c r="G34" s="50">
        <v>1558673</v>
      </c>
      <c r="H34" s="50">
        <v>1369986</v>
      </c>
      <c r="I34" s="50">
        <v>-2017662</v>
      </c>
      <c r="J34" s="50">
        <v>1708541</v>
      </c>
      <c r="K34" s="50">
        <v>-1386802</v>
      </c>
      <c r="L34" s="50">
        <v>1237399</v>
      </c>
      <c r="M34" s="50">
        <v>205058</v>
      </c>
      <c r="N34" s="50">
        <v>1964258</v>
      </c>
      <c r="O34" s="50">
        <v>-2050090</v>
      </c>
      <c r="P34" s="50">
        <v>6538978</v>
      </c>
    </row>
    <row r="35" spans="1:16">
      <c r="B35" t="s">
        <v>86</v>
      </c>
      <c r="D35" s="50">
        <v>330596</v>
      </c>
      <c r="E35" s="50">
        <v>859369</v>
      </c>
      <c r="F35" s="50">
        <v>485505</v>
      </c>
      <c r="G35" s="50">
        <v>145546</v>
      </c>
      <c r="H35" s="50">
        <v>67587</v>
      </c>
      <c r="I35" s="50">
        <v>-1808649</v>
      </c>
      <c r="J35" s="50">
        <v>1378886</v>
      </c>
      <c r="K35" s="50">
        <v>-1106978</v>
      </c>
      <c r="L35" s="50">
        <v>998618</v>
      </c>
      <c r="M35" s="50">
        <v>10259</v>
      </c>
      <c r="N35" s="50">
        <v>142416</v>
      </c>
      <c r="O35" s="50">
        <v>-841848</v>
      </c>
      <c r="P35" s="50">
        <v>661307</v>
      </c>
    </row>
    <row r="36" spans="1:16">
      <c r="B36" t="s">
        <v>268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</row>
    <row r="37" spans="1:16">
      <c r="B37" t="s">
        <v>269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</row>
    <row r="38" spans="1:16">
      <c r="B38" t="s">
        <v>87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</row>
    <row r="39" spans="1:16">
      <c r="A39" t="s">
        <v>94</v>
      </c>
      <c r="D39" s="51">
        <v>8597675</v>
      </c>
      <c r="E39" s="51">
        <v>22380777</v>
      </c>
      <c r="F39" s="51">
        <v>12909338</v>
      </c>
      <c r="G39" s="51">
        <v>21965538</v>
      </c>
      <c r="H39" s="51">
        <v>13908245</v>
      </c>
      <c r="I39" s="51">
        <v>-16712580</v>
      </c>
      <c r="J39" s="51">
        <v>14955247</v>
      </c>
      <c r="K39" s="51">
        <v>-12103166</v>
      </c>
      <c r="L39" s="51">
        <v>10866801</v>
      </c>
      <c r="M39" s="51">
        <v>2106730</v>
      </c>
      <c r="N39" s="51">
        <v>24750916</v>
      </c>
      <c r="O39" s="51">
        <v>-22765978</v>
      </c>
      <c r="P39" s="51">
        <v>80859543</v>
      </c>
    </row>
    <row r="41" spans="1:16">
      <c r="A41" t="s">
        <v>95</v>
      </c>
    </row>
    <row r="42" spans="1:16">
      <c r="B42" t="s">
        <v>267</v>
      </c>
      <c r="D42" s="50">
        <v>282718944</v>
      </c>
      <c r="E42" s="50">
        <v>229028914</v>
      </c>
      <c r="F42" s="50">
        <v>209765396</v>
      </c>
      <c r="G42" s="50">
        <v>176926076</v>
      </c>
      <c r="H42" s="50">
        <v>154900987</v>
      </c>
      <c r="I42" s="50">
        <v>143616705.59999999</v>
      </c>
      <c r="J42" s="50">
        <v>190502271</v>
      </c>
      <c r="K42" s="50">
        <v>171958392</v>
      </c>
      <c r="L42" s="50">
        <v>162813881</v>
      </c>
      <c r="M42" s="50">
        <v>159069574</v>
      </c>
      <c r="N42" s="50">
        <v>215944062</v>
      </c>
      <c r="O42" s="50">
        <v>264640786</v>
      </c>
      <c r="P42" s="50">
        <v>2361885988.5999999</v>
      </c>
    </row>
    <row r="43" spans="1:16">
      <c r="B43" t="s">
        <v>85</v>
      </c>
      <c r="D43" s="50">
        <v>60253425</v>
      </c>
      <c r="E43" s="50">
        <v>55090498</v>
      </c>
      <c r="F43" s="50">
        <v>54601290</v>
      </c>
      <c r="G43" s="50">
        <v>44854856</v>
      </c>
      <c r="H43" s="50">
        <v>48543965</v>
      </c>
      <c r="I43" s="50">
        <v>45502237</v>
      </c>
      <c r="J43" s="50">
        <v>54360652</v>
      </c>
      <c r="K43" s="50">
        <v>51153519</v>
      </c>
      <c r="L43" s="50">
        <v>47909229</v>
      </c>
      <c r="M43" s="50">
        <v>49932073</v>
      </c>
      <c r="N43" s="50">
        <v>51362991</v>
      </c>
      <c r="O43" s="50">
        <v>59679148</v>
      </c>
      <c r="P43" s="50">
        <v>623243883</v>
      </c>
    </row>
    <row r="44" spans="1:16">
      <c r="B44" t="s">
        <v>86</v>
      </c>
      <c r="D44" s="50">
        <v>115323693</v>
      </c>
      <c r="E44" s="50">
        <v>108735332</v>
      </c>
      <c r="F44" s="50">
        <v>113799568</v>
      </c>
      <c r="G44" s="50">
        <v>112994113</v>
      </c>
      <c r="H44" s="50">
        <v>119459135</v>
      </c>
      <c r="I44" s="50">
        <v>118535266</v>
      </c>
      <c r="J44" s="50">
        <v>128368638</v>
      </c>
      <c r="K44" s="50">
        <v>115766147</v>
      </c>
      <c r="L44" s="50">
        <v>113878350</v>
      </c>
      <c r="M44" s="50">
        <v>122062202</v>
      </c>
      <c r="N44" s="50">
        <v>110536424</v>
      </c>
      <c r="O44" s="50">
        <v>130000333</v>
      </c>
      <c r="P44" s="50">
        <v>1409459201</v>
      </c>
    </row>
    <row r="45" spans="1:16">
      <c r="B45" t="s">
        <v>268</v>
      </c>
      <c r="D45" s="50">
        <v>92220007</v>
      </c>
      <c r="E45" s="50">
        <v>87795413</v>
      </c>
      <c r="F45" s="50">
        <v>93372318</v>
      </c>
      <c r="G45" s="50">
        <v>88556850</v>
      </c>
      <c r="H45" s="50">
        <v>94520576</v>
      </c>
      <c r="I45" s="50">
        <v>93666942</v>
      </c>
      <c r="J45" s="50">
        <v>93962198</v>
      </c>
      <c r="K45" s="50">
        <v>98320357</v>
      </c>
      <c r="L45" s="50">
        <v>90443769</v>
      </c>
      <c r="M45" s="50">
        <v>93159241</v>
      </c>
      <c r="N45" s="50">
        <v>88316702</v>
      </c>
      <c r="O45" s="50">
        <v>93073785</v>
      </c>
      <c r="P45" s="50">
        <v>1107408158</v>
      </c>
    </row>
    <row r="46" spans="1:16">
      <c r="B46" t="s">
        <v>269</v>
      </c>
      <c r="D46" s="50">
        <v>3476010.5</v>
      </c>
      <c r="E46" s="50">
        <v>3807944</v>
      </c>
      <c r="F46" s="50">
        <v>4111658</v>
      </c>
      <c r="G46" s="50">
        <v>5997563</v>
      </c>
      <c r="H46" s="50">
        <v>13089206</v>
      </c>
      <c r="I46" s="50">
        <v>21462145.666670002</v>
      </c>
      <c r="J46" s="50">
        <v>21578457</v>
      </c>
      <c r="K46" s="50">
        <v>25468404</v>
      </c>
      <c r="L46" s="50">
        <v>18979117</v>
      </c>
      <c r="M46" s="50">
        <v>10878466</v>
      </c>
      <c r="N46" s="50">
        <v>806266</v>
      </c>
      <c r="O46" s="50">
        <v>3840073</v>
      </c>
      <c r="P46" s="50">
        <v>133495310.16666999</v>
      </c>
    </row>
    <row r="47" spans="1:16">
      <c r="B47" t="s">
        <v>87</v>
      </c>
      <c r="D47" s="50">
        <v>2124844.9717100002</v>
      </c>
      <c r="E47" s="50">
        <v>1905380.7574100001</v>
      </c>
      <c r="F47" s="50">
        <v>1884539.6084299998</v>
      </c>
      <c r="G47" s="50">
        <v>1916999.49967</v>
      </c>
      <c r="H47" s="50">
        <v>1959056.7826600003</v>
      </c>
      <c r="I47" s="50">
        <v>1909984.0465300002</v>
      </c>
      <c r="J47" s="50">
        <v>1897894.3302699998</v>
      </c>
      <c r="K47" s="50">
        <v>1950448.3249700002</v>
      </c>
      <c r="L47" s="50">
        <v>1909711.9522499999</v>
      </c>
      <c r="M47" s="50">
        <v>1857123.46842</v>
      </c>
      <c r="N47" s="50">
        <v>1889621.05859</v>
      </c>
      <c r="O47" s="50">
        <v>1915566.0024200003</v>
      </c>
      <c r="P47" s="50">
        <v>23121170.803329997</v>
      </c>
    </row>
    <row r="48" spans="1:16">
      <c r="A48" t="s">
        <v>96</v>
      </c>
      <c r="D48" s="51">
        <v>556116924.47170997</v>
      </c>
      <c r="E48" s="51">
        <v>486363481.75740999</v>
      </c>
      <c r="F48" s="51">
        <v>477534769.60843003</v>
      </c>
      <c r="G48" s="51">
        <v>431246457.49967003</v>
      </c>
      <c r="H48" s="51">
        <v>432472925.78266001</v>
      </c>
      <c r="I48" s="51">
        <v>424693280.31320006</v>
      </c>
      <c r="J48" s="51">
        <v>490670110.33026999</v>
      </c>
      <c r="K48" s="51">
        <v>464617267.32497001</v>
      </c>
      <c r="L48" s="51">
        <v>435934057.95225</v>
      </c>
      <c r="M48" s="51">
        <v>436958679.46842003</v>
      </c>
      <c r="N48" s="51">
        <v>468856066.05858999</v>
      </c>
      <c r="O48" s="51">
        <v>553149691.00241995</v>
      </c>
      <c r="P48" s="51">
        <v>5658613711.5700006</v>
      </c>
    </row>
    <row r="50" spans="2:16">
      <c r="B50" t="s">
        <v>97</v>
      </c>
      <c r="D50" s="50">
        <v>282718944</v>
      </c>
      <c r="E50" s="50">
        <v>229028914</v>
      </c>
      <c r="F50" s="50">
        <v>209765396</v>
      </c>
      <c r="G50" s="50">
        <v>176926076</v>
      </c>
      <c r="H50" s="50">
        <v>154900987</v>
      </c>
      <c r="I50" s="50">
        <v>143616705.59999999</v>
      </c>
      <c r="J50" s="50">
        <v>190502271</v>
      </c>
      <c r="K50" s="50">
        <v>171958392</v>
      </c>
      <c r="L50" s="50">
        <v>162813881</v>
      </c>
      <c r="M50" s="50">
        <v>159069574</v>
      </c>
      <c r="N50" s="50">
        <v>215944062</v>
      </c>
      <c r="O50" s="50">
        <v>264640786</v>
      </c>
      <c r="P50" s="50">
        <v>2361885988.5999999</v>
      </c>
    </row>
    <row r="51" spans="2:16">
      <c r="B51" t="s">
        <v>98</v>
      </c>
      <c r="D51" s="50">
        <v>208217</v>
      </c>
      <c r="E51" s="50">
        <v>210418</v>
      </c>
      <c r="F51" s="50">
        <v>209750</v>
      </c>
      <c r="G51" s="50">
        <v>209405</v>
      </c>
      <c r="H51" s="50">
        <v>209004</v>
      </c>
      <c r="I51" s="50">
        <v>208965</v>
      </c>
      <c r="J51" s="50">
        <v>209204</v>
      </c>
      <c r="K51" s="50">
        <v>209512</v>
      </c>
      <c r="L51" s="50">
        <v>210314</v>
      </c>
      <c r="M51" s="50">
        <v>210674</v>
      </c>
      <c r="N51" s="50">
        <v>211346</v>
      </c>
      <c r="O51" s="50">
        <v>211562</v>
      </c>
      <c r="P51" s="50">
        <v>2518371</v>
      </c>
    </row>
    <row r="52" spans="2:16">
      <c r="B52" t="s">
        <v>99</v>
      </c>
      <c r="D52" s="56">
        <v>1357.8091318192078</v>
      </c>
      <c r="E52" s="56">
        <v>1088.4473476603712</v>
      </c>
      <c r="F52" s="56">
        <v>1000.0734016686531</v>
      </c>
      <c r="G52" s="56">
        <v>844.89900432176887</v>
      </c>
      <c r="H52" s="56">
        <v>741.138863371036</v>
      </c>
      <c r="I52" s="56">
        <v>687.27636494149738</v>
      </c>
      <c r="J52" s="56">
        <v>910.60529913385972</v>
      </c>
      <c r="K52" s="56">
        <v>820.75676810874791</v>
      </c>
      <c r="L52" s="56">
        <v>774.14666165828237</v>
      </c>
      <c r="M52" s="56">
        <v>755.05080835793694</v>
      </c>
      <c r="N52" s="56">
        <v>1021.7560871745858</v>
      </c>
      <c r="O52" s="56">
        <v>1250.8899802421986</v>
      </c>
      <c r="P52" s="56">
        <v>937.86260586704657</v>
      </c>
    </row>
    <row r="53" spans="2:16">
      <c r="B53" t="s">
        <v>100</v>
      </c>
      <c r="D53" s="50">
        <v>179053128.5</v>
      </c>
      <c r="E53" s="50">
        <v>167633774</v>
      </c>
      <c r="F53" s="50">
        <v>172512516</v>
      </c>
      <c r="G53" s="50">
        <v>163846532</v>
      </c>
      <c r="H53" s="50">
        <v>181092306</v>
      </c>
      <c r="I53" s="50">
        <v>185499648.66666999</v>
      </c>
      <c r="J53" s="50">
        <v>204307747</v>
      </c>
      <c r="K53" s="50">
        <v>192388070</v>
      </c>
      <c r="L53" s="50">
        <v>180766696</v>
      </c>
      <c r="M53" s="50">
        <v>182872741</v>
      </c>
      <c r="N53" s="50">
        <v>162705681</v>
      </c>
      <c r="O53" s="50">
        <v>193519554</v>
      </c>
      <c r="P53" s="50">
        <v>2166198394.1666698</v>
      </c>
    </row>
    <row r="54" spans="2:16">
      <c r="B54" t="s">
        <v>101</v>
      </c>
      <c r="D54" s="50">
        <v>35331</v>
      </c>
      <c r="E54" s="50">
        <v>35572</v>
      </c>
      <c r="F54" s="50">
        <v>35571</v>
      </c>
      <c r="G54" s="50">
        <v>35497</v>
      </c>
      <c r="H54" s="50">
        <v>35658</v>
      </c>
      <c r="I54" s="50">
        <v>35582</v>
      </c>
      <c r="J54" s="50">
        <v>35519</v>
      </c>
      <c r="K54" s="50">
        <v>35694</v>
      </c>
      <c r="L54" s="50">
        <v>35669</v>
      </c>
      <c r="M54" s="50">
        <v>35828</v>
      </c>
      <c r="N54" s="50">
        <v>35762</v>
      </c>
      <c r="O54" s="50">
        <v>35782</v>
      </c>
      <c r="P54" s="50">
        <v>427465</v>
      </c>
    </row>
    <row r="55" spans="2:16">
      <c r="B55" t="s">
        <v>102</v>
      </c>
      <c r="D55" s="50">
        <v>5067.8760437009987</v>
      </c>
      <c r="E55" s="50">
        <v>4712.5203530866975</v>
      </c>
      <c r="F55" s="50">
        <v>4849.8078772033396</v>
      </c>
      <c r="G55" s="50">
        <v>4615.7853339718849</v>
      </c>
      <c r="H55" s="50">
        <v>5078.5884233552079</v>
      </c>
      <c r="I55" s="50">
        <v>5213.3002267064803</v>
      </c>
      <c r="J55" s="50">
        <v>5752.0692305526618</v>
      </c>
      <c r="K55" s="50">
        <v>5389.9274387852302</v>
      </c>
      <c r="L55" s="50">
        <v>5067.8935770557064</v>
      </c>
      <c r="M55" s="50">
        <v>5104.1850228871272</v>
      </c>
      <c r="N55" s="50">
        <v>4549.6806945920252</v>
      </c>
      <c r="O55" s="50">
        <v>5408.2933877368505</v>
      </c>
      <c r="P55" s="50">
        <v>5067.5456333657021</v>
      </c>
    </row>
    <row r="57" spans="2:16">
      <c r="B57" t="s">
        <v>103</v>
      </c>
      <c r="D57" s="57">
        <v>9.8277944531649883E-2</v>
      </c>
      <c r="E57" s="57">
        <v>8.5950995517322007E-2</v>
      </c>
      <c r="F57" s="57">
        <v>8.4390770239719456E-2</v>
      </c>
      <c r="G57" s="57">
        <v>7.6210619681974956E-2</v>
      </c>
      <c r="H57" s="57">
        <v>7.6427363277757482E-2</v>
      </c>
      <c r="I57" s="57">
        <v>7.505253087780886E-2</v>
      </c>
      <c r="J57" s="57">
        <v>8.6712070365752528E-2</v>
      </c>
      <c r="K57" s="57">
        <v>8.210796689920373E-2</v>
      </c>
      <c r="L57" s="57">
        <v>7.7039020539767272E-2</v>
      </c>
      <c r="M57" s="57">
        <v>7.722009342588336E-2</v>
      </c>
      <c r="N57" s="57">
        <v>8.2857054741152208E-2</v>
      </c>
      <c r="O57" s="57">
        <v>9.7753569902008175E-2</v>
      </c>
      <c r="P57" s="57">
        <v>1</v>
      </c>
    </row>
  </sheetData>
  <pageMargins left="0.7" right="0.7" top="0.75" bottom="0.75" header="0.3" footer="0.3"/>
  <pageSetup scale="6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0.39997558519241921"/>
    <pageSetUpPr fitToPage="1"/>
  </sheetPr>
  <dimension ref="A1:M89"/>
  <sheetViews>
    <sheetView workbookViewId="0">
      <selection sqref="A1:I1"/>
    </sheetView>
  </sheetViews>
  <sheetFormatPr defaultColWidth="9.109375" defaultRowHeight="13.8"/>
  <cols>
    <col min="1" max="1" width="14.6640625" style="1" customWidth="1"/>
    <col min="2" max="2" width="10.109375" style="1" customWidth="1"/>
    <col min="3" max="3" width="16.33203125" style="1" customWidth="1"/>
    <col min="4" max="4" width="20.6640625" style="1" bestFit="1" customWidth="1"/>
    <col min="5" max="5" width="15.5546875" style="1" customWidth="1"/>
    <col min="6" max="6" width="14.6640625" style="1" bestFit="1" customWidth="1"/>
    <col min="7" max="7" width="18.88671875" style="1" bestFit="1" customWidth="1"/>
    <col min="8" max="8" width="13.5546875" style="1" bestFit="1" customWidth="1"/>
    <col min="9" max="9" width="14.5546875" style="1" bestFit="1" customWidth="1"/>
    <col min="10" max="10" width="13.33203125" style="1" bestFit="1" customWidth="1"/>
    <col min="11" max="11" width="13.109375" style="1" customWidth="1"/>
    <col min="12" max="12" width="13.44140625" style="1" bestFit="1" customWidth="1"/>
    <col min="13" max="13" width="27.5546875" style="1" bestFit="1" customWidth="1"/>
    <col min="14" max="16384" width="9.109375" style="1"/>
  </cols>
  <sheetData>
    <row r="1" spans="1:9">
      <c r="A1" s="399" t="s">
        <v>172</v>
      </c>
      <c r="B1" s="399"/>
      <c r="C1" s="399"/>
      <c r="D1" s="399"/>
      <c r="E1" s="399"/>
      <c r="F1" s="399"/>
      <c r="G1" s="399"/>
      <c r="H1" s="399"/>
      <c r="I1" s="399"/>
    </row>
    <row r="2" spans="1:9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</row>
    <row r="3" spans="1:9">
      <c r="A3" s="180" t="s">
        <v>131</v>
      </c>
      <c r="B3" s="152"/>
      <c r="C3" s="158">
        <v>213789</v>
      </c>
      <c r="D3" s="194"/>
      <c r="E3" s="182">
        <v>227037407.68599999</v>
      </c>
      <c r="F3" s="182">
        <v>-131744919</v>
      </c>
      <c r="G3" s="182">
        <v>120366856</v>
      </c>
      <c r="H3" s="189">
        <f>SUM(F3:G3)</f>
        <v>-11378063</v>
      </c>
      <c r="I3" s="159">
        <f>E3+H3</f>
        <v>215659344.68599999</v>
      </c>
    </row>
    <row r="4" spans="1:9">
      <c r="A4" s="180" t="s">
        <v>178</v>
      </c>
      <c r="B4" s="152"/>
      <c r="C4" s="158">
        <v>408</v>
      </c>
      <c r="D4" s="194"/>
      <c r="E4" s="182">
        <v>537918.89899999998</v>
      </c>
      <c r="F4" s="182">
        <v>-328050</v>
      </c>
      <c r="G4" s="182">
        <v>288189</v>
      </c>
      <c r="H4" s="189">
        <f t="shared" ref="H4:H16" si="0">SUM(F4:G4)</f>
        <v>-39861</v>
      </c>
      <c r="I4" s="159">
        <f t="shared" ref="I4:I16" si="1">E4+H4</f>
        <v>498057.89899999998</v>
      </c>
    </row>
    <row r="5" spans="1:9">
      <c r="A5" s="180" t="s">
        <v>132</v>
      </c>
      <c r="B5" s="152"/>
      <c r="C5" s="158">
        <v>22712</v>
      </c>
      <c r="D5" s="194"/>
      <c r="E5" s="182">
        <v>49814123.362000003</v>
      </c>
      <c r="F5" s="182">
        <v>-25948763</v>
      </c>
      <c r="G5" s="182">
        <v>26321244</v>
      </c>
      <c r="H5" s="189">
        <f t="shared" si="0"/>
        <v>372481</v>
      </c>
      <c r="I5" s="159">
        <f t="shared" si="1"/>
        <v>50186604.362000003</v>
      </c>
    </row>
    <row r="6" spans="1:9">
      <c r="A6" s="180" t="s">
        <v>133</v>
      </c>
      <c r="B6" s="152"/>
      <c r="C6" s="158">
        <v>9369</v>
      </c>
      <c r="D6" s="194"/>
      <c r="E6" s="182">
        <v>6143985.8619999997</v>
      </c>
      <c r="F6" s="182">
        <v>-3411721</v>
      </c>
      <c r="G6" s="182">
        <v>3266140</v>
      </c>
      <c r="H6" s="189">
        <f t="shared" si="0"/>
        <v>-145581</v>
      </c>
      <c r="I6" s="159">
        <f t="shared" si="1"/>
        <v>5998404.8619999997</v>
      </c>
    </row>
    <row r="7" spans="1:9">
      <c r="A7" s="180" t="s">
        <v>134</v>
      </c>
      <c r="B7" s="152"/>
      <c r="C7" s="158">
        <v>1856</v>
      </c>
      <c r="D7" s="194"/>
      <c r="E7" s="182">
        <v>110329898.21799999</v>
      </c>
      <c r="F7" s="182">
        <v>-55178026</v>
      </c>
      <c r="G7" s="182">
        <v>58150096</v>
      </c>
      <c r="H7" s="189">
        <f t="shared" si="0"/>
        <v>2972070</v>
      </c>
      <c r="I7" s="159">
        <f t="shared" si="1"/>
        <v>113301968.21799999</v>
      </c>
    </row>
    <row r="8" spans="1:9">
      <c r="A8" s="180" t="s">
        <v>135</v>
      </c>
      <c r="B8" s="152"/>
      <c r="C8" s="158">
        <v>47</v>
      </c>
      <c r="D8" s="194"/>
      <c r="E8" s="182">
        <v>3069712</v>
      </c>
      <c r="F8" s="182">
        <v>-1673055</v>
      </c>
      <c r="G8" s="182">
        <v>1633070</v>
      </c>
      <c r="H8" s="189">
        <f t="shared" si="0"/>
        <v>-39985</v>
      </c>
      <c r="I8" s="159">
        <f t="shared" si="1"/>
        <v>3029727</v>
      </c>
    </row>
    <row r="9" spans="1:9">
      <c r="A9" s="180" t="s">
        <v>136</v>
      </c>
      <c r="B9" s="152"/>
      <c r="C9" s="158">
        <v>22</v>
      </c>
      <c r="D9" s="194"/>
      <c r="E9" s="182">
        <f>82389792.7-E10</f>
        <v>49663102.700000003</v>
      </c>
      <c r="F9" s="182">
        <v>-11830759</v>
      </c>
      <c r="G9" s="182">
        <v>16075679</v>
      </c>
      <c r="H9" s="189">
        <f t="shared" si="0"/>
        <v>4244920</v>
      </c>
      <c r="I9" s="159">
        <f t="shared" si="1"/>
        <v>53908022.700000003</v>
      </c>
    </row>
    <row r="10" spans="1:9">
      <c r="A10" s="180" t="s">
        <v>179</v>
      </c>
      <c r="B10" s="152"/>
      <c r="C10" s="158"/>
      <c r="D10" s="194"/>
      <c r="E10" s="182">
        <v>32726690</v>
      </c>
      <c r="F10" s="182">
        <v>0</v>
      </c>
      <c r="G10" s="182">
        <v>0</v>
      </c>
      <c r="H10" s="189">
        <f t="shared" si="0"/>
        <v>0</v>
      </c>
      <c r="I10" s="159">
        <f t="shared" si="1"/>
        <v>32726690</v>
      </c>
    </row>
    <row r="11" spans="1:9">
      <c r="A11" s="180" t="s">
        <v>180</v>
      </c>
      <c r="B11" s="152"/>
      <c r="C11" s="158">
        <v>49</v>
      </c>
      <c r="D11" s="194"/>
      <c r="E11" s="182">
        <v>8140</v>
      </c>
      <c r="F11" s="182">
        <v>0</v>
      </c>
      <c r="G11" s="182">
        <v>0</v>
      </c>
      <c r="H11" s="189">
        <f t="shared" si="0"/>
        <v>0</v>
      </c>
      <c r="I11" s="159">
        <f t="shared" si="1"/>
        <v>8140</v>
      </c>
    </row>
    <row r="12" spans="1:9">
      <c r="A12" s="180" t="s">
        <v>137</v>
      </c>
      <c r="B12" s="152"/>
      <c r="C12" s="158">
        <v>1200</v>
      </c>
      <c r="D12" s="194"/>
      <c r="E12" s="182">
        <v>4012886.1570000001</v>
      </c>
      <c r="F12" s="182">
        <v>-2033911</v>
      </c>
      <c r="G12" s="182">
        <v>1921259</v>
      </c>
      <c r="H12" s="189">
        <f t="shared" si="0"/>
        <v>-112652</v>
      </c>
      <c r="I12" s="159">
        <f t="shared" si="1"/>
        <v>3900234.1570000001</v>
      </c>
    </row>
    <row r="13" spans="1:9">
      <c r="A13" s="180" t="s">
        <v>138</v>
      </c>
      <c r="B13" s="152"/>
      <c r="C13" s="158">
        <v>1212</v>
      </c>
      <c r="D13" s="194"/>
      <c r="E13" s="182">
        <v>274299.12199999997</v>
      </c>
      <c r="F13" s="182">
        <v>-131220</v>
      </c>
      <c r="G13" s="182">
        <v>128084</v>
      </c>
      <c r="H13" s="189">
        <f t="shared" si="0"/>
        <v>-3136</v>
      </c>
      <c r="I13" s="159">
        <f t="shared" si="1"/>
        <v>271163.12199999997</v>
      </c>
    </row>
    <row r="14" spans="1:9">
      <c r="A14" s="180" t="s">
        <v>181</v>
      </c>
      <c r="B14" s="152"/>
      <c r="C14" s="158">
        <v>418</v>
      </c>
      <c r="D14" s="194"/>
      <c r="E14" s="182">
        <v>882378.83770000003</v>
      </c>
      <c r="F14" s="182"/>
      <c r="G14" s="182"/>
      <c r="H14" s="189"/>
      <c r="I14" s="159">
        <f t="shared" si="1"/>
        <v>882378.83770000003</v>
      </c>
    </row>
    <row r="15" spans="1:9">
      <c r="A15" s="180" t="s">
        <v>182</v>
      </c>
      <c r="B15" s="152"/>
      <c r="C15" s="158"/>
      <c r="D15" s="194"/>
      <c r="E15" s="182">
        <v>408057.92842000001</v>
      </c>
      <c r="F15" s="182"/>
      <c r="G15" s="182"/>
      <c r="H15" s="189">
        <f t="shared" si="0"/>
        <v>0</v>
      </c>
      <c r="I15" s="159">
        <f t="shared" si="1"/>
        <v>408057.92842000001</v>
      </c>
    </row>
    <row r="16" spans="1:9">
      <c r="A16" s="180" t="s">
        <v>183</v>
      </c>
      <c r="B16" s="152"/>
      <c r="C16" s="158"/>
      <c r="D16" s="195"/>
      <c r="E16" s="182">
        <v>214711.842</v>
      </c>
      <c r="F16" s="182"/>
      <c r="G16" s="182"/>
      <c r="H16" s="189">
        <f t="shared" si="0"/>
        <v>0</v>
      </c>
      <c r="I16" s="159">
        <f t="shared" si="1"/>
        <v>214711.842</v>
      </c>
    </row>
    <row r="17" spans="1:9">
      <c r="A17" s="152"/>
      <c r="B17" s="152"/>
      <c r="C17" s="160">
        <f>SUM(C3:C16)</f>
        <v>251082</v>
      </c>
      <c r="E17" s="160">
        <f>SUM(E3:E16)</f>
        <v>485123312.61411995</v>
      </c>
      <c r="F17" s="160">
        <f>SUM(F3:F16)</f>
        <v>-232280424</v>
      </c>
      <c r="G17" s="160">
        <f>SUM(G3:G16)</f>
        <v>228150617</v>
      </c>
      <c r="H17" s="160">
        <f>SUM(H3:H16)</f>
        <v>-4129807</v>
      </c>
      <c r="I17" s="160">
        <f>SUM(I3:I16)</f>
        <v>480993505.61411995</v>
      </c>
    </row>
    <row r="18" spans="1:9" ht="14.4" thickBot="1">
      <c r="A18" s="152"/>
      <c r="B18" s="152"/>
      <c r="C18" s="152"/>
      <c r="E18" s="152"/>
      <c r="F18" s="152"/>
      <c r="G18" s="152"/>
      <c r="I18" s="152"/>
    </row>
    <row r="19" spans="1:9">
      <c r="A19" s="152" t="s">
        <v>19</v>
      </c>
      <c r="B19" s="152"/>
      <c r="C19" s="161">
        <f>C3+C4</f>
        <v>214197</v>
      </c>
      <c r="E19" s="162">
        <f>E3+E4</f>
        <v>227575326.58499998</v>
      </c>
      <c r="F19" s="162">
        <f>F3+F4</f>
        <v>-132072969</v>
      </c>
      <c r="G19" s="162">
        <f>G3+G4</f>
        <v>120655045</v>
      </c>
      <c r="H19" s="162">
        <f>H3+H4</f>
        <v>-11417924</v>
      </c>
      <c r="I19" s="161">
        <f>I3+I4</f>
        <v>216157402.58499998</v>
      </c>
    </row>
    <row r="20" spans="1:9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9" ht="14.4" thickBot="1">
      <c r="A21" s="152" t="s">
        <v>184</v>
      </c>
      <c r="B21" s="152"/>
      <c r="C21" s="177">
        <f>SUM(C5:C8,C11:C13)</f>
        <v>36445</v>
      </c>
      <c r="E21" s="178">
        <f>SUM(E5:E8,E11:E13)</f>
        <v>173653044.72100002</v>
      </c>
      <c r="F21" s="178">
        <f>SUM(F5:F8,F11:F13)</f>
        <v>-88376696</v>
      </c>
      <c r="G21" s="178">
        <f>SUM(G5:G8,G11:G13)</f>
        <v>91419893</v>
      </c>
      <c r="H21" s="178">
        <f>SUM(H5:H8,H11:H13)</f>
        <v>3043197</v>
      </c>
      <c r="I21" s="177">
        <f>SUM(I5:I8,I11:I13)</f>
        <v>176696241.72100002</v>
      </c>
    </row>
    <row r="22" spans="1:9">
      <c r="A22" s="152"/>
      <c r="B22" s="152"/>
      <c r="C22" s="152"/>
      <c r="D22" s="152"/>
      <c r="E22" s="152"/>
    </row>
    <row r="23" spans="1:9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9">
      <c r="A24" s="180" t="s">
        <v>131</v>
      </c>
      <c r="B24" s="152"/>
      <c r="C24" s="181">
        <v>1849532</v>
      </c>
      <c r="D24" s="181">
        <v>20170613.800000001</v>
      </c>
      <c r="E24" s="183">
        <v>-13061982</v>
      </c>
      <c r="F24" s="183">
        <v>11801787</v>
      </c>
      <c r="G24" s="174">
        <f>SUM(D24:F24)</f>
        <v>18910418.800000001</v>
      </c>
      <c r="H24" s="174">
        <f>-J65</f>
        <v>86018.156279999996</v>
      </c>
      <c r="I24" s="174">
        <f>SUM(G24:H24)</f>
        <v>18996436.956280001</v>
      </c>
    </row>
    <row r="25" spans="1:9">
      <c r="A25" s="180" t="s">
        <v>178</v>
      </c>
      <c r="B25" s="152"/>
      <c r="C25" s="181">
        <v>3485</v>
      </c>
      <c r="D25" s="181">
        <v>47850.54</v>
      </c>
      <c r="E25" s="183">
        <v>-21672</v>
      </c>
      <c r="F25" s="183">
        <v>18728</v>
      </c>
      <c r="G25" s="174">
        <f t="shared" ref="G25:G33" si="2">SUM(D25:F25)</f>
        <v>44906.54</v>
      </c>
      <c r="H25" s="174">
        <f t="shared" ref="H25:H33" si="3">-J66</f>
        <v>-955.4681700000001</v>
      </c>
      <c r="I25" s="174">
        <f t="shared" ref="I25:I34" si="4">SUM(G25:H25)</f>
        <v>43951.071830000001</v>
      </c>
    </row>
    <row r="26" spans="1:9">
      <c r="A26" s="180" t="s">
        <v>132</v>
      </c>
      <c r="B26" s="152"/>
      <c r="C26" s="181">
        <v>416344.69</v>
      </c>
      <c r="D26" s="181">
        <v>5755107.5700000003</v>
      </c>
      <c r="E26" s="183">
        <v>-2984952</v>
      </c>
      <c r="F26" s="183">
        <v>3051861</v>
      </c>
      <c r="G26" s="174">
        <f t="shared" si="2"/>
        <v>5822016.5700000003</v>
      </c>
      <c r="H26" s="174">
        <f t="shared" si="3"/>
        <v>-2227.4363800000001</v>
      </c>
      <c r="I26" s="174">
        <f t="shared" si="4"/>
        <v>5819789.1336200004</v>
      </c>
    </row>
    <row r="27" spans="1:9">
      <c r="A27" s="180" t="s">
        <v>133</v>
      </c>
      <c r="B27" s="152"/>
      <c r="C27" s="181">
        <v>170435.28</v>
      </c>
      <c r="D27" s="181">
        <v>845192.84</v>
      </c>
      <c r="E27" s="183">
        <v>-471297</v>
      </c>
      <c r="F27" s="183">
        <v>453450</v>
      </c>
      <c r="G27" s="174">
        <f t="shared" si="2"/>
        <v>827345.84</v>
      </c>
      <c r="H27" s="174">
        <f t="shared" si="3"/>
        <v>752.65376999999989</v>
      </c>
      <c r="I27" s="174">
        <f t="shared" si="4"/>
        <v>828098.49376999994</v>
      </c>
    </row>
    <row r="28" spans="1:9">
      <c r="A28" s="180" t="s">
        <v>134</v>
      </c>
      <c r="B28" s="152"/>
      <c r="C28" s="181">
        <v>928302.67</v>
      </c>
      <c r="D28" s="181">
        <v>9892457.9299999997</v>
      </c>
      <c r="E28" s="183">
        <v>-4569940</v>
      </c>
      <c r="F28" s="183">
        <v>4802235</v>
      </c>
      <c r="G28" s="174">
        <f t="shared" si="2"/>
        <v>10124752.93</v>
      </c>
      <c r="H28" s="174">
        <f t="shared" si="3"/>
        <v>-13582.359899999999</v>
      </c>
      <c r="I28" s="174">
        <f t="shared" si="4"/>
        <v>10111170.5701</v>
      </c>
    </row>
    <row r="29" spans="1:9">
      <c r="A29" s="180" t="s">
        <v>135</v>
      </c>
      <c r="B29" s="152"/>
      <c r="C29" s="181">
        <v>23500</v>
      </c>
      <c r="D29" s="181">
        <v>270467.44</v>
      </c>
      <c r="E29" s="183">
        <v>-136786</v>
      </c>
      <c r="F29" s="183">
        <v>133641</v>
      </c>
      <c r="G29" s="174">
        <f t="shared" si="2"/>
        <v>267322.44</v>
      </c>
      <c r="H29" s="174">
        <f t="shared" si="3"/>
        <v>150.34360000000001</v>
      </c>
      <c r="I29" s="174">
        <f t="shared" si="4"/>
        <v>267472.78360000002</v>
      </c>
    </row>
    <row r="30" spans="1:9">
      <c r="A30" s="180" t="s">
        <v>136</v>
      </c>
      <c r="B30" s="152"/>
      <c r="C30" s="181">
        <v>462000</v>
      </c>
      <c r="D30" s="181">
        <f>4933545.65-84498.8</f>
        <v>4849046.8500000006</v>
      </c>
      <c r="E30" s="183">
        <v>-820909</v>
      </c>
      <c r="F30" s="183">
        <v>1009705</v>
      </c>
      <c r="G30" s="174">
        <f t="shared" si="2"/>
        <v>5037842.8500000006</v>
      </c>
      <c r="H30" s="174">
        <f t="shared" si="3"/>
        <v>-10357.604800000001</v>
      </c>
      <c r="I30" s="174">
        <f t="shared" si="4"/>
        <v>5027485.2452000007</v>
      </c>
    </row>
    <row r="31" spans="1:9">
      <c r="A31" s="180" t="s">
        <v>180</v>
      </c>
      <c r="B31" s="152"/>
      <c r="C31" s="181">
        <v>882</v>
      </c>
      <c r="D31" s="181">
        <v>1439.04</v>
      </c>
      <c r="E31" s="183">
        <v>0</v>
      </c>
      <c r="F31" s="183">
        <v>0</v>
      </c>
      <c r="G31" s="174">
        <f t="shared" si="2"/>
        <v>1439.04</v>
      </c>
      <c r="H31" s="174">
        <f t="shared" si="3"/>
        <v>0</v>
      </c>
      <c r="I31" s="174">
        <f t="shared" si="4"/>
        <v>1439.04</v>
      </c>
    </row>
    <row r="32" spans="1:9">
      <c r="A32" s="180" t="s">
        <v>137</v>
      </c>
      <c r="B32" s="152"/>
      <c r="C32" s="181">
        <v>21690</v>
      </c>
      <c r="D32" s="181">
        <v>352055.59</v>
      </c>
      <c r="E32" s="183">
        <v>-127197</v>
      </c>
      <c r="F32" s="183">
        <v>123720</v>
      </c>
      <c r="G32" s="174">
        <f t="shared" si="2"/>
        <v>348578.59</v>
      </c>
      <c r="H32" s="174">
        <f t="shared" si="3"/>
        <v>315.42559999999997</v>
      </c>
      <c r="I32" s="174">
        <f t="shared" si="4"/>
        <v>348894.01560000004</v>
      </c>
    </row>
    <row r="33" spans="1:11">
      <c r="A33" s="180" t="s">
        <v>138</v>
      </c>
      <c r="B33" s="152"/>
      <c r="C33" s="181">
        <v>21960</v>
      </c>
      <c r="D33" s="181">
        <v>45395.66</v>
      </c>
      <c r="E33" s="183">
        <v>-21018</v>
      </c>
      <c r="F33" s="183">
        <v>21063</v>
      </c>
      <c r="G33" s="174">
        <f t="shared" si="2"/>
        <v>45440.66</v>
      </c>
      <c r="H33" s="174">
        <f t="shared" si="3"/>
        <v>161.98752000000002</v>
      </c>
      <c r="I33" s="174">
        <f t="shared" si="4"/>
        <v>45602.647520000006</v>
      </c>
    </row>
    <row r="34" spans="1:11">
      <c r="A34" s="180" t="s">
        <v>192</v>
      </c>
      <c r="B34" s="152"/>
      <c r="C34" s="174"/>
      <c r="D34" s="181">
        <v>541798.31999999995</v>
      </c>
      <c r="E34" s="181"/>
      <c r="F34" s="181"/>
      <c r="G34" s="174">
        <f>SUM(D34:F34)</f>
        <v>541798.31999999995</v>
      </c>
      <c r="H34" s="174"/>
      <c r="I34" s="174">
        <f t="shared" si="4"/>
        <v>541798.31999999995</v>
      </c>
    </row>
    <row r="35" spans="1:11">
      <c r="A35" s="180" t="s">
        <v>193</v>
      </c>
      <c r="B35" s="152"/>
      <c r="C35" s="194"/>
      <c r="D35" s="181">
        <v>2769628.1</v>
      </c>
      <c r="E35" s="181"/>
      <c r="F35" s="181"/>
      <c r="G35" s="174"/>
      <c r="H35" s="174"/>
      <c r="I35" s="174"/>
    </row>
    <row r="36" spans="1:11">
      <c r="A36" s="180" t="s">
        <v>194</v>
      </c>
      <c r="B36" s="152"/>
      <c r="C36" s="194"/>
      <c r="D36" s="181">
        <v>1695880.71</v>
      </c>
      <c r="E36" s="181"/>
      <c r="F36" s="181"/>
      <c r="G36" s="174"/>
      <c r="H36" s="174"/>
      <c r="I36" s="174"/>
    </row>
    <row r="37" spans="1:11">
      <c r="A37" s="152"/>
      <c r="B37" s="152"/>
      <c r="C37" s="166">
        <f t="shared" ref="C37:I37" si="5">SUM(C24:C36)</f>
        <v>3898131.6399999997</v>
      </c>
      <c r="D37" s="166">
        <f t="shared" si="5"/>
        <v>47236934.390000001</v>
      </c>
      <c r="E37" s="166">
        <f t="shared" si="5"/>
        <v>-22215753</v>
      </c>
      <c r="F37" s="166">
        <f t="shared" si="5"/>
        <v>21416190</v>
      </c>
      <c r="G37" s="166">
        <f t="shared" si="5"/>
        <v>41971862.579999998</v>
      </c>
      <c r="H37" s="166">
        <f t="shared" si="5"/>
        <v>60275.697519999994</v>
      </c>
      <c r="I37" s="166">
        <f t="shared" si="5"/>
        <v>42032138.277520008</v>
      </c>
    </row>
    <row r="38" spans="1:11" ht="14.4" thickBot="1">
      <c r="A38" s="152"/>
      <c r="B38" s="152"/>
      <c r="D38" s="167"/>
      <c r="E38" s="152"/>
      <c r="F38" s="152"/>
    </row>
    <row r="39" spans="1:11">
      <c r="A39" s="152" t="s">
        <v>19</v>
      </c>
      <c r="B39" s="152"/>
      <c r="C39" s="169">
        <f t="shared" ref="C39:I39" si="6">C24+C25</f>
        <v>1853017</v>
      </c>
      <c r="D39" s="168">
        <f t="shared" si="6"/>
        <v>20218464.34</v>
      </c>
      <c r="E39" s="168">
        <f t="shared" si="6"/>
        <v>-13083654</v>
      </c>
      <c r="F39" s="168">
        <f t="shared" si="6"/>
        <v>11820515</v>
      </c>
      <c r="G39" s="168">
        <f t="shared" si="6"/>
        <v>18955325.34</v>
      </c>
      <c r="H39" s="168">
        <f t="shared" si="6"/>
        <v>85062.688109999988</v>
      </c>
      <c r="I39" s="169">
        <f t="shared" si="6"/>
        <v>19040388.028110001</v>
      </c>
    </row>
    <row r="40" spans="1:11" ht="6" customHeight="1">
      <c r="A40" s="152"/>
      <c r="B40" s="152"/>
      <c r="C40" s="173"/>
      <c r="D40" s="168"/>
      <c r="E40" s="152"/>
      <c r="F40" s="152"/>
      <c r="I40" s="190"/>
    </row>
    <row r="41" spans="1:11" ht="14.4" thickBot="1">
      <c r="A41" s="152" t="s">
        <v>184</v>
      </c>
      <c r="B41" s="152"/>
      <c r="C41" s="175">
        <f>SUM(C26:C29,C31:C33)</f>
        <v>1583114.6400000001</v>
      </c>
      <c r="D41" s="176">
        <f t="shared" ref="D41:I41" si="7">SUM(D26:D29,D31:D33)</f>
        <v>17162116.07</v>
      </c>
      <c r="E41" s="176">
        <f t="shared" si="7"/>
        <v>-8311190</v>
      </c>
      <c r="F41" s="176">
        <f t="shared" si="7"/>
        <v>8585970</v>
      </c>
      <c r="G41" s="176">
        <f t="shared" si="7"/>
        <v>17436896.07</v>
      </c>
      <c r="H41" s="176">
        <f t="shared" si="7"/>
        <v>-14429.385789999998</v>
      </c>
      <c r="I41" s="175">
        <f t="shared" si="7"/>
        <v>17422466.684209995</v>
      </c>
    </row>
    <row r="42" spans="1:1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1">
      <c r="A43" s="152"/>
      <c r="B43" s="152"/>
      <c r="C43" s="188"/>
      <c r="D43" s="176"/>
      <c r="E43" s="176"/>
      <c r="F43" s="176"/>
      <c r="G43" s="176"/>
      <c r="H43" s="176"/>
      <c r="I43" s="188"/>
    </row>
    <row r="44" spans="1:11">
      <c r="A44" s="152"/>
      <c r="B44" s="152"/>
      <c r="C44" s="188"/>
      <c r="D44" s="176"/>
      <c r="E44" s="176"/>
      <c r="F44" s="176"/>
      <c r="G44" s="176"/>
      <c r="H44" s="176"/>
      <c r="I44" s="188"/>
    </row>
    <row r="45" spans="1:11">
      <c r="A45" s="152"/>
      <c r="B45" s="152"/>
      <c r="C45" s="188"/>
      <c r="D45" s="176"/>
      <c r="E45" s="176"/>
      <c r="F45" s="176"/>
      <c r="G45" s="176"/>
      <c r="H45" s="176"/>
      <c r="I45" s="188"/>
    </row>
    <row r="46" spans="1:11">
      <c r="A46" s="152"/>
      <c r="B46" s="152"/>
      <c r="C46" s="188"/>
      <c r="D46" s="176"/>
      <c r="E46" s="176"/>
      <c r="F46" s="176"/>
      <c r="G46" s="176"/>
      <c r="H46" s="176"/>
      <c r="I46" s="188"/>
    </row>
    <row r="47" spans="1:11">
      <c r="A47" s="152"/>
      <c r="B47" s="152"/>
      <c r="C47" s="188"/>
      <c r="D47" s="176"/>
      <c r="E47" s="176"/>
      <c r="F47" s="176"/>
      <c r="G47" s="176"/>
      <c r="H47" s="176"/>
      <c r="I47" s="188"/>
    </row>
    <row r="48" spans="1:11">
      <c r="C48" s="191">
        <v>43040</v>
      </c>
      <c r="D48" s="196">
        <v>43040</v>
      </c>
      <c r="E48" s="192">
        <v>42278</v>
      </c>
      <c r="F48" s="191">
        <v>42583</v>
      </c>
      <c r="G48" s="191">
        <v>43009</v>
      </c>
      <c r="H48" s="191">
        <v>42380</v>
      </c>
      <c r="I48" s="191">
        <v>42917</v>
      </c>
      <c r="J48" s="191"/>
      <c r="K48" s="196"/>
    </row>
    <row r="49" spans="1:13" ht="42" customHeight="1">
      <c r="A49" s="179" t="s">
        <v>195</v>
      </c>
      <c r="B49" s="154"/>
      <c r="C49" s="165" t="s">
        <v>196</v>
      </c>
      <c r="D49" s="165" t="s">
        <v>213</v>
      </c>
      <c r="E49" s="165" t="s">
        <v>197</v>
      </c>
      <c r="F49" s="165" t="s">
        <v>198</v>
      </c>
      <c r="G49" s="165" t="s">
        <v>199</v>
      </c>
      <c r="H49" s="165" t="s">
        <v>200</v>
      </c>
      <c r="I49" s="165" t="s">
        <v>201</v>
      </c>
      <c r="J49" s="208"/>
      <c r="K49" s="208"/>
    </row>
    <row r="50" spans="1:13">
      <c r="A50" s="180" t="s">
        <v>131</v>
      </c>
      <c r="B50" s="152"/>
      <c r="C50" s="171">
        <v>-8.0999999999999996E-4</v>
      </c>
      <c r="D50" s="171">
        <v>4.45E-3</v>
      </c>
      <c r="E50" s="171"/>
      <c r="F50" s="171">
        <v>3.4399999999999999E-3</v>
      </c>
      <c r="G50" s="171">
        <v>1.0499999999999999E-3</v>
      </c>
      <c r="H50" s="171">
        <v>0</v>
      </c>
      <c r="I50" s="171">
        <v>-5.6999999999999998E-4</v>
      </c>
      <c r="J50" s="171"/>
      <c r="K50" s="171"/>
    </row>
    <row r="51" spans="1:13">
      <c r="A51" s="180" t="s">
        <v>178</v>
      </c>
      <c r="B51" s="152"/>
      <c r="C51" s="171">
        <v>-8.0999999999999996E-4</v>
      </c>
      <c r="D51" s="171">
        <v>4.45E-3</v>
      </c>
      <c r="E51" s="171">
        <v>-3.1530000000000002E-2</v>
      </c>
      <c r="F51" s="171">
        <v>3.4399999999999999E-3</v>
      </c>
      <c r="G51" s="171">
        <v>1.0499999999999999E-3</v>
      </c>
      <c r="H51" s="171">
        <v>0</v>
      </c>
      <c r="I51" s="171">
        <v>-5.6999999999999998E-4</v>
      </c>
      <c r="J51" s="171"/>
      <c r="K51" s="171"/>
    </row>
    <row r="52" spans="1:13">
      <c r="A52" s="180" t="s">
        <v>132</v>
      </c>
      <c r="B52" s="152"/>
      <c r="C52" s="171">
        <v>0</v>
      </c>
      <c r="D52" s="171">
        <v>4.0000000000000002E-4</v>
      </c>
      <c r="E52" s="171"/>
      <c r="F52" s="171">
        <v>4.6299999999999996E-3</v>
      </c>
      <c r="G52" s="171">
        <v>1.5200000000000001E-3</v>
      </c>
      <c r="H52" s="171">
        <v>0</v>
      </c>
      <c r="I52" s="171">
        <v>-5.6999999999999998E-4</v>
      </c>
      <c r="J52" s="171"/>
      <c r="K52" s="171"/>
    </row>
    <row r="53" spans="1:13">
      <c r="A53" s="180" t="s">
        <v>133</v>
      </c>
      <c r="B53" s="152"/>
      <c r="C53" s="171">
        <v>-8.0999999999999996E-4</v>
      </c>
      <c r="D53" s="171">
        <v>4.0000000000000002E-4</v>
      </c>
      <c r="E53" s="171"/>
      <c r="F53" s="171">
        <v>4.6299999999999996E-3</v>
      </c>
      <c r="G53" s="171">
        <v>1.5200000000000001E-3</v>
      </c>
      <c r="H53" s="171">
        <v>0</v>
      </c>
      <c r="I53" s="171">
        <v>-5.6999999999999998E-4</v>
      </c>
      <c r="J53" s="171"/>
      <c r="K53" s="171"/>
    </row>
    <row r="54" spans="1:13">
      <c r="A54" s="180" t="s">
        <v>134</v>
      </c>
      <c r="B54" s="152"/>
      <c r="C54" s="171">
        <v>0</v>
      </c>
      <c r="D54" s="171">
        <v>4.0000000000000002E-4</v>
      </c>
      <c r="E54" s="171"/>
      <c r="F54" s="171">
        <v>3.6600000000000001E-3</v>
      </c>
      <c r="G54" s="171">
        <v>1.1000000000000001E-3</v>
      </c>
      <c r="H54" s="171">
        <v>0</v>
      </c>
      <c r="I54" s="171">
        <v>-5.9000000000000003E-4</v>
      </c>
      <c r="J54" s="171"/>
      <c r="K54" s="171"/>
    </row>
    <row r="55" spans="1:13">
      <c r="A55" s="180" t="s">
        <v>135</v>
      </c>
      <c r="B55" s="152"/>
      <c r="C55" s="171">
        <v>-8.0999999999999996E-4</v>
      </c>
      <c r="D55" s="171">
        <v>4.0000000000000002E-4</v>
      </c>
      <c r="E55" s="171"/>
      <c r="F55" s="171">
        <v>3.6600000000000001E-3</v>
      </c>
      <c r="G55" s="171">
        <v>1.1000000000000001E-3</v>
      </c>
      <c r="H55" s="171">
        <v>0</v>
      </c>
      <c r="I55" s="171">
        <v>-5.9000000000000003E-4</v>
      </c>
      <c r="J55" s="171"/>
      <c r="K55" s="171"/>
    </row>
    <row r="56" spans="1:13">
      <c r="A56" s="180" t="s">
        <v>136</v>
      </c>
      <c r="B56" s="152"/>
      <c r="C56" s="171">
        <v>0</v>
      </c>
      <c r="D56" s="171">
        <v>0</v>
      </c>
      <c r="E56" s="171"/>
      <c r="F56" s="171">
        <v>2.32E-3</v>
      </c>
      <c r="G56" s="171">
        <v>6.8999999999999997E-4</v>
      </c>
      <c r="H56" s="171">
        <v>0</v>
      </c>
      <c r="I56" s="171">
        <v>-5.6999999999999998E-4</v>
      </c>
      <c r="J56" s="171"/>
      <c r="K56" s="171"/>
    </row>
    <row r="57" spans="1:13">
      <c r="A57" s="180" t="s">
        <v>179</v>
      </c>
      <c r="B57" s="152"/>
      <c r="C57" s="171">
        <v>0</v>
      </c>
      <c r="D57" s="171">
        <v>0</v>
      </c>
      <c r="E57" s="171"/>
      <c r="F57" s="171">
        <v>2.32E-3</v>
      </c>
      <c r="G57" s="171">
        <v>0</v>
      </c>
      <c r="H57" s="171">
        <v>0</v>
      </c>
      <c r="I57" s="171">
        <v>-5.6999999999999998E-4</v>
      </c>
      <c r="J57" s="171"/>
      <c r="K57" s="171"/>
    </row>
    <row r="58" spans="1:13">
      <c r="A58" s="180" t="s">
        <v>180</v>
      </c>
      <c r="B58" s="152"/>
      <c r="C58" s="171">
        <v>0</v>
      </c>
      <c r="D58" s="171">
        <v>4.0000000000000002E-4</v>
      </c>
      <c r="E58" s="171"/>
      <c r="F58" s="171">
        <v>3.4099999999999998E-3</v>
      </c>
      <c r="G58" s="171">
        <v>9.6000000000000002E-4</v>
      </c>
      <c r="H58" s="171">
        <v>0</v>
      </c>
      <c r="I58" s="171">
        <v>-6.0999999999999997E-4</v>
      </c>
      <c r="J58" s="171"/>
      <c r="K58" s="171"/>
    </row>
    <row r="59" spans="1:13">
      <c r="A59" s="180" t="s">
        <v>137</v>
      </c>
      <c r="B59" s="152"/>
      <c r="C59" s="171">
        <v>0</v>
      </c>
      <c r="D59" s="171">
        <v>4.0000000000000002E-4</v>
      </c>
      <c r="E59" s="171"/>
      <c r="F59" s="171">
        <v>3.4099999999999998E-3</v>
      </c>
      <c r="G59" s="171">
        <v>9.6000000000000002E-4</v>
      </c>
      <c r="H59" s="171">
        <v>0</v>
      </c>
      <c r="I59" s="171">
        <v>-6.0999999999999997E-4</v>
      </c>
      <c r="J59" s="171"/>
      <c r="K59" s="171"/>
    </row>
    <row r="60" spans="1:13">
      <c r="A60" s="180" t="s">
        <v>138</v>
      </c>
      <c r="B60" s="152"/>
      <c r="C60" s="171">
        <v>-8.0999999999999996E-4</v>
      </c>
      <c r="D60" s="171">
        <v>4.0000000000000002E-4</v>
      </c>
      <c r="E60" s="171"/>
      <c r="F60" s="171">
        <v>3.4099999999999998E-3</v>
      </c>
      <c r="G60" s="171">
        <v>9.6000000000000002E-4</v>
      </c>
      <c r="H60" s="171">
        <v>0</v>
      </c>
      <c r="I60" s="171">
        <v>-6.0999999999999997E-4</v>
      </c>
      <c r="J60" s="171"/>
      <c r="K60" s="171"/>
    </row>
    <row r="61" spans="1:13" ht="14.4" customHeight="1">
      <c r="A61" s="180" t="s">
        <v>192</v>
      </c>
      <c r="B61" s="152"/>
      <c r="C61" s="171">
        <v>0</v>
      </c>
      <c r="D61" s="171">
        <v>0</v>
      </c>
      <c r="E61" s="171"/>
      <c r="F61" s="186">
        <v>1.2149999999999999E-2</v>
      </c>
      <c r="G61" s="401" t="s">
        <v>214</v>
      </c>
      <c r="H61" s="171">
        <v>0</v>
      </c>
      <c r="I61" s="186">
        <v>-6.4999999999999997E-4</v>
      </c>
      <c r="J61" s="171"/>
      <c r="K61" s="171"/>
    </row>
    <row r="62" spans="1:13">
      <c r="A62" s="180" t="s">
        <v>183</v>
      </c>
      <c r="B62" s="152"/>
      <c r="C62" s="171">
        <v>-8.0999999999999996E-4</v>
      </c>
      <c r="D62" s="171">
        <v>0</v>
      </c>
      <c r="E62" s="171"/>
      <c r="F62" s="186">
        <v>1.2149999999999999E-2</v>
      </c>
      <c r="G62" s="401"/>
      <c r="H62" s="171">
        <v>0</v>
      </c>
      <c r="I62" s="186">
        <v>-6.4999999999999997E-4</v>
      </c>
      <c r="J62" s="171"/>
      <c r="K62" s="171"/>
    </row>
    <row r="63" spans="1:13">
      <c r="E63" s="152"/>
    </row>
    <row r="64" spans="1:13" ht="52.8">
      <c r="A64" s="179" t="s">
        <v>202</v>
      </c>
      <c r="B64" s="154"/>
      <c r="C64" s="172" t="s">
        <v>209</v>
      </c>
      <c r="D64" s="172" t="s">
        <v>213</v>
      </c>
      <c r="E64" s="172" t="s">
        <v>203</v>
      </c>
      <c r="F64" s="172" t="s">
        <v>204</v>
      </c>
      <c r="G64" s="172" t="s">
        <v>205</v>
      </c>
      <c r="H64" s="172" t="s">
        <v>206</v>
      </c>
      <c r="I64" s="172" t="s">
        <v>207</v>
      </c>
      <c r="J64" s="172" t="s">
        <v>208</v>
      </c>
      <c r="M64" s="208"/>
    </row>
    <row r="65" spans="1:13">
      <c r="A65" s="180" t="s">
        <v>131</v>
      </c>
      <c r="C65" s="168">
        <f>C50*H3</f>
        <v>9216.231029999999</v>
      </c>
      <c r="D65" s="168">
        <f>D50*H3</f>
        <v>-50632.380349999999</v>
      </c>
      <c r="E65" s="168">
        <f t="shared" ref="E65:E70" si="8">$H3*E50</f>
        <v>0</v>
      </c>
      <c r="F65" s="168">
        <f t="shared" ref="F65:G70" si="9">($H3*F50)</f>
        <v>-39140.536719999996</v>
      </c>
      <c r="G65" s="168">
        <f t="shared" si="9"/>
        <v>-11946.966149999998</v>
      </c>
      <c r="H65" s="168">
        <f t="shared" ref="H65:H70" si="10">$H3*H50</f>
        <v>0</v>
      </c>
      <c r="I65" s="168">
        <f t="shared" ref="I65:I70" si="11">(I50*H3)</f>
        <v>6485.4959099999996</v>
      </c>
      <c r="J65" s="168">
        <f>SUM(C65:I65)</f>
        <v>-86018.156279999996</v>
      </c>
      <c r="M65" s="168"/>
    </row>
    <row r="66" spans="1:13">
      <c r="A66" s="180" t="s">
        <v>178</v>
      </c>
      <c r="C66" s="168">
        <f t="shared" ref="C66:C75" si="12">C51*H4</f>
        <v>32.287410000000001</v>
      </c>
      <c r="D66" s="168">
        <f t="shared" ref="D66:D75" si="13">D51*H4</f>
        <v>-177.38145</v>
      </c>
      <c r="E66" s="168">
        <f t="shared" si="8"/>
        <v>1256.8173300000001</v>
      </c>
      <c r="F66" s="168">
        <f t="shared" si="9"/>
        <v>-137.12183999999999</v>
      </c>
      <c r="G66" s="168">
        <f t="shared" si="9"/>
        <v>-41.854050000000001</v>
      </c>
      <c r="H66" s="168">
        <f t="shared" si="10"/>
        <v>0</v>
      </c>
      <c r="I66" s="168">
        <f t="shared" si="11"/>
        <v>22.720769999999998</v>
      </c>
      <c r="J66" s="168">
        <f t="shared" ref="J66:J75" si="14">SUM(C66:I66)</f>
        <v>955.4681700000001</v>
      </c>
      <c r="M66" s="168"/>
    </row>
    <row r="67" spans="1:13">
      <c r="A67" s="180" t="s">
        <v>132</v>
      </c>
      <c r="C67" s="168">
        <f t="shared" si="12"/>
        <v>0</v>
      </c>
      <c r="D67" s="168">
        <f t="shared" si="13"/>
        <v>148.9924</v>
      </c>
      <c r="E67" s="168">
        <f t="shared" si="8"/>
        <v>0</v>
      </c>
      <c r="F67" s="168">
        <f t="shared" si="9"/>
        <v>1724.5870299999999</v>
      </c>
      <c r="G67" s="168">
        <f t="shared" si="9"/>
        <v>566.17112000000009</v>
      </c>
      <c r="H67" s="168">
        <f t="shared" si="10"/>
        <v>0</v>
      </c>
      <c r="I67" s="168">
        <f t="shared" si="11"/>
        <v>-212.31416999999999</v>
      </c>
      <c r="J67" s="168">
        <f t="shared" si="14"/>
        <v>2227.4363800000001</v>
      </c>
      <c r="M67" s="168"/>
    </row>
    <row r="68" spans="1:13">
      <c r="A68" s="180" t="s">
        <v>133</v>
      </c>
      <c r="C68" s="168">
        <f t="shared" si="12"/>
        <v>117.92061</v>
      </c>
      <c r="D68" s="168">
        <f t="shared" si="13"/>
        <v>-58.232400000000005</v>
      </c>
      <c r="E68" s="168">
        <f t="shared" si="8"/>
        <v>0</v>
      </c>
      <c r="F68" s="168">
        <f t="shared" si="9"/>
        <v>-674.04002999999989</v>
      </c>
      <c r="G68" s="168">
        <f t="shared" si="9"/>
        <v>-221.28312000000003</v>
      </c>
      <c r="H68" s="168">
        <f t="shared" si="10"/>
        <v>0</v>
      </c>
      <c r="I68" s="168">
        <f t="shared" si="11"/>
        <v>82.981169999999992</v>
      </c>
      <c r="J68" s="168">
        <f t="shared" si="14"/>
        <v>-752.65376999999989</v>
      </c>
      <c r="M68" s="168"/>
    </row>
    <row r="69" spans="1:13">
      <c r="A69" s="180" t="s">
        <v>134</v>
      </c>
      <c r="C69" s="168">
        <f t="shared" si="12"/>
        <v>0</v>
      </c>
      <c r="D69" s="168">
        <f t="shared" si="13"/>
        <v>1188.828</v>
      </c>
      <c r="E69" s="168">
        <f t="shared" si="8"/>
        <v>0</v>
      </c>
      <c r="F69" s="168">
        <f t="shared" si="9"/>
        <v>10877.7762</v>
      </c>
      <c r="G69" s="168">
        <f t="shared" si="9"/>
        <v>3269.277</v>
      </c>
      <c r="H69" s="168">
        <f t="shared" si="10"/>
        <v>0</v>
      </c>
      <c r="I69" s="168">
        <f t="shared" si="11"/>
        <v>-1753.5213000000001</v>
      </c>
      <c r="J69" s="168">
        <f t="shared" si="14"/>
        <v>13582.359899999999</v>
      </c>
      <c r="M69" s="168"/>
    </row>
    <row r="70" spans="1:13">
      <c r="A70" s="180" t="s">
        <v>135</v>
      </c>
      <c r="C70" s="168">
        <f t="shared" si="12"/>
        <v>32.38785</v>
      </c>
      <c r="D70" s="168">
        <f t="shared" si="13"/>
        <v>-15.994000000000002</v>
      </c>
      <c r="E70" s="168">
        <f t="shared" si="8"/>
        <v>0</v>
      </c>
      <c r="F70" s="168">
        <f t="shared" si="9"/>
        <v>-146.3451</v>
      </c>
      <c r="G70" s="168">
        <f t="shared" si="9"/>
        <v>-43.983499999999999</v>
      </c>
      <c r="H70" s="168">
        <f t="shared" si="10"/>
        <v>0</v>
      </c>
      <c r="I70" s="168">
        <f t="shared" si="11"/>
        <v>23.591150000000003</v>
      </c>
      <c r="J70" s="168">
        <f>SUM(C70:I70)</f>
        <v>-150.34360000000001</v>
      </c>
      <c r="M70" s="168"/>
    </row>
    <row r="71" spans="1:13">
      <c r="A71" s="180" t="s">
        <v>136</v>
      </c>
      <c r="C71" s="168">
        <f t="shared" si="12"/>
        <v>0</v>
      </c>
      <c r="D71" s="168">
        <f t="shared" si="13"/>
        <v>0</v>
      </c>
      <c r="E71" s="168">
        <f>$H9*E56+$H10*E57</f>
        <v>0</v>
      </c>
      <c r="F71" s="168">
        <f>$H9*F56+$H10*F57</f>
        <v>9848.2144000000008</v>
      </c>
      <c r="G71" s="168">
        <f>($H9*G56)</f>
        <v>2928.9947999999999</v>
      </c>
      <c r="H71" s="168">
        <f>$H9*H56+$H10*H57</f>
        <v>0</v>
      </c>
      <c r="I71" s="168">
        <f>$H9*I56+$H10*I57</f>
        <v>-2419.6043999999997</v>
      </c>
      <c r="J71" s="168">
        <f t="shared" si="14"/>
        <v>10357.604800000001</v>
      </c>
      <c r="M71" s="168"/>
    </row>
    <row r="72" spans="1:13">
      <c r="A72" s="180" t="s">
        <v>180</v>
      </c>
      <c r="C72" s="168">
        <f t="shared" si="12"/>
        <v>0</v>
      </c>
      <c r="D72" s="168">
        <f t="shared" si="13"/>
        <v>0</v>
      </c>
      <c r="E72" s="168">
        <f>$H11*E58</f>
        <v>0</v>
      </c>
      <c r="F72" s="168">
        <f>($H11*F57)</f>
        <v>0</v>
      </c>
      <c r="G72" s="168">
        <f>($H10*G57)</f>
        <v>0</v>
      </c>
      <c r="H72" s="168">
        <f t="shared" ref="H72:I74" si="15">$H11*H58</f>
        <v>0</v>
      </c>
      <c r="I72" s="168">
        <f t="shared" si="15"/>
        <v>0</v>
      </c>
      <c r="J72" s="168">
        <f t="shared" si="14"/>
        <v>0</v>
      </c>
      <c r="M72" s="168"/>
    </row>
    <row r="73" spans="1:13">
      <c r="A73" s="180" t="s">
        <v>137</v>
      </c>
      <c r="C73" s="168">
        <f t="shared" si="12"/>
        <v>0</v>
      </c>
      <c r="D73" s="168">
        <f t="shared" si="13"/>
        <v>0</v>
      </c>
      <c r="E73" s="168">
        <f>$H12*E59</f>
        <v>0</v>
      </c>
      <c r="F73" s="168">
        <f>($H12*F58)</f>
        <v>-384.14331999999996</v>
      </c>
      <c r="G73" s="168">
        <f>($H11*G58)</f>
        <v>0</v>
      </c>
      <c r="H73" s="168">
        <f t="shared" si="15"/>
        <v>0</v>
      </c>
      <c r="I73" s="168">
        <f t="shared" si="15"/>
        <v>68.71772</v>
      </c>
      <c r="J73" s="168">
        <f t="shared" si="14"/>
        <v>-315.42559999999997</v>
      </c>
      <c r="M73" s="168"/>
    </row>
    <row r="74" spans="1:13">
      <c r="A74" s="180" t="s">
        <v>138</v>
      </c>
      <c r="C74" s="168">
        <f t="shared" si="12"/>
        <v>0</v>
      </c>
      <c r="D74" s="168">
        <f t="shared" si="13"/>
        <v>-45.0608</v>
      </c>
      <c r="E74" s="168">
        <f>$H13*E60</f>
        <v>0</v>
      </c>
      <c r="F74" s="168">
        <f>($H13*F59)</f>
        <v>-10.693759999999999</v>
      </c>
      <c r="G74" s="168">
        <f>($H12*G59)</f>
        <v>-108.14592</v>
      </c>
      <c r="H74" s="168">
        <f t="shared" si="15"/>
        <v>0</v>
      </c>
      <c r="I74" s="168">
        <f t="shared" si="15"/>
        <v>1.91296</v>
      </c>
      <c r="J74" s="168">
        <f t="shared" si="14"/>
        <v>-161.98752000000002</v>
      </c>
      <c r="M74" s="168"/>
    </row>
    <row r="75" spans="1:13">
      <c r="A75" s="180" t="s">
        <v>192</v>
      </c>
      <c r="C75" s="168">
        <f t="shared" si="12"/>
        <v>2.5401599999999998</v>
      </c>
      <c r="D75" s="168">
        <f t="shared" si="13"/>
        <v>-1.2544</v>
      </c>
      <c r="E75" s="168">
        <f>($H14+$H15)*E61</f>
        <v>0</v>
      </c>
      <c r="F75" s="168">
        <f>($H14*F60)</f>
        <v>0</v>
      </c>
      <c r="G75" s="168">
        <f>($H13*G60)</f>
        <v>-3.0105599999999999</v>
      </c>
      <c r="H75" s="168">
        <f>($H14+$H15)*H61</f>
        <v>0</v>
      </c>
      <c r="I75" s="168">
        <f>($H14+$H15)*I61</f>
        <v>0</v>
      </c>
      <c r="J75" s="168">
        <f t="shared" si="14"/>
        <v>-1.7248000000000001</v>
      </c>
      <c r="M75" s="168"/>
    </row>
    <row r="76" spans="1:13">
      <c r="A76" s="157"/>
      <c r="C76" s="193">
        <f>SUM(C65:C75)</f>
        <v>9401.3670599999987</v>
      </c>
      <c r="D76" s="193">
        <f t="shared" ref="D76:I76" si="16">SUM(D65:D75)</f>
        <v>-49592.482999999993</v>
      </c>
      <c r="E76" s="193">
        <f t="shared" si="16"/>
        <v>1256.8173300000001</v>
      </c>
      <c r="F76" s="193">
        <f t="shared" si="16"/>
        <v>-18042.303139999985</v>
      </c>
      <c r="G76" s="193">
        <f t="shared" si="16"/>
        <v>-5600.8003799999969</v>
      </c>
      <c r="H76" s="193">
        <f t="shared" si="16"/>
        <v>0</v>
      </c>
      <c r="I76" s="193">
        <f t="shared" si="16"/>
        <v>2299.9798100000003</v>
      </c>
      <c r="J76" s="193">
        <f>SUM(J65:J75)</f>
        <v>-60277.422319999998</v>
      </c>
    </row>
    <row r="77" spans="1:13" ht="15.75" customHeight="1"/>
    <row r="78" spans="1:13">
      <c r="A78" s="152" t="s">
        <v>19</v>
      </c>
      <c r="B78" s="152"/>
      <c r="C78" s="168">
        <f>C65+C66</f>
        <v>9248.5184399999998</v>
      </c>
      <c r="D78" s="168">
        <f t="shared" ref="D78:I78" si="17">D65+D66</f>
        <v>-50809.7618</v>
      </c>
      <c r="E78" s="168">
        <f t="shared" si="17"/>
        <v>1256.8173300000001</v>
      </c>
      <c r="F78" s="168">
        <f t="shared" si="17"/>
        <v>-39277.658559999996</v>
      </c>
      <c r="G78" s="168">
        <f t="shared" si="17"/>
        <v>-11988.820199999998</v>
      </c>
      <c r="H78" s="168">
        <f t="shared" si="17"/>
        <v>0</v>
      </c>
      <c r="I78" s="168">
        <f t="shared" si="17"/>
        <v>6508.2166799999995</v>
      </c>
      <c r="J78" s="168">
        <f>J65+J66</f>
        <v>-85062.688109999988</v>
      </c>
    </row>
    <row r="79" spans="1:13">
      <c r="A79" s="152"/>
      <c r="B79" s="152"/>
      <c r="C79" s="168"/>
      <c r="D79" s="168"/>
      <c r="E79" s="168"/>
      <c r="F79" s="168"/>
      <c r="G79" s="168"/>
      <c r="H79" s="168"/>
      <c r="I79" s="168"/>
      <c r="J79" s="168"/>
    </row>
    <row r="80" spans="1:13">
      <c r="A80" s="152" t="s">
        <v>184</v>
      </c>
      <c r="B80" s="152"/>
      <c r="C80" s="176">
        <f>SUM(C67:C70,C72:C74)</f>
        <v>150.30846</v>
      </c>
      <c r="D80" s="176">
        <f t="shared" ref="D80:I80" si="18">SUM(D67:D70,D72:D74)</f>
        <v>1218.5332000000001</v>
      </c>
      <c r="E80" s="176">
        <f t="shared" si="18"/>
        <v>0</v>
      </c>
      <c r="F80" s="176">
        <f t="shared" si="18"/>
        <v>11387.141020000001</v>
      </c>
      <c r="G80" s="176">
        <f t="shared" si="18"/>
        <v>3462.0355800000002</v>
      </c>
      <c r="H80" s="176">
        <f t="shared" si="18"/>
        <v>0</v>
      </c>
      <c r="I80" s="176">
        <f t="shared" si="18"/>
        <v>-1788.63247</v>
      </c>
      <c r="J80" s="176">
        <f>SUM(J67:J70,J72:J74)</f>
        <v>14429.385789999998</v>
      </c>
    </row>
    <row r="81" spans="1:6" ht="15.75" customHeight="1"/>
    <row r="82" spans="1:6" ht="14.4">
      <c r="A82" s="151" t="s">
        <v>215</v>
      </c>
      <c r="B82" s="151"/>
      <c r="C82" s="151"/>
      <c r="D82" s="151"/>
      <c r="E82" s="151"/>
      <c r="F82" s="151"/>
    </row>
    <row r="83" spans="1:6" ht="14.4">
      <c r="A83" s="151" t="s">
        <v>223</v>
      </c>
      <c r="B83" s="151"/>
      <c r="C83" s="151"/>
      <c r="D83" s="151"/>
      <c r="E83" s="151"/>
      <c r="F83" s="151"/>
    </row>
    <row r="84" spans="1:6" ht="14.4">
      <c r="A84" s="170" t="s">
        <v>222</v>
      </c>
      <c r="B84" s="170"/>
      <c r="C84" s="170"/>
      <c r="D84" s="170"/>
      <c r="E84" s="170"/>
      <c r="F84" s="151"/>
    </row>
    <row r="85" spans="1:6" ht="28.8">
      <c r="A85" s="170"/>
      <c r="B85" s="197" t="s">
        <v>216</v>
      </c>
      <c r="C85" s="197" t="s">
        <v>217</v>
      </c>
      <c r="D85" s="197" t="s">
        <v>218</v>
      </c>
      <c r="E85" s="197" t="s">
        <v>221</v>
      </c>
      <c r="F85" s="151"/>
    </row>
    <row r="86" spans="1:6" ht="14.4">
      <c r="A86" s="170" t="s">
        <v>227</v>
      </c>
      <c r="B86" s="198">
        <v>1</v>
      </c>
      <c r="C86" s="199">
        <v>895377</v>
      </c>
      <c r="D86" s="200">
        <f>75308.6-C86*SUM($C$56:$K$56)</f>
        <v>73123.880120000002</v>
      </c>
      <c r="E86" s="200">
        <v>500</v>
      </c>
      <c r="F86" s="201" t="s">
        <v>219</v>
      </c>
    </row>
    <row r="87" spans="1:6" ht="28.8">
      <c r="A87" s="202" t="s">
        <v>220</v>
      </c>
      <c r="B87" s="203">
        <f>SUM(B86:B86)</f>
        <v>1</v>
      </c>
      <c r="C87" s="204">
        <f>SUM(C86:C86)</f>
        <v>895377</v>
      </c>
      <c r="D87" s="205">
        <f>SUM(D86:D86)</f>
        <v>73123.880120000002</v>
      </c>
      <c r="E87" s="205">
        <f>SUM(E86:E86)</f>
        <v>500</v>
      </c>
      <c r="F87" s="151"/>
    </row>
    <row r="88" spans="1:6" ht="9" customHeight="1">
      <c r="A88" s="170"/>
      <c r="B88" s="170"/>
      <c r="C88" s="170"/>
      <c r="D88" s="170"/>
      <c r="E88" s="170"/>
      <c r="F88" s="151"/>
    </row>
    <row r="89" spans="1:6" ht="14.4">
      <c r="A89" s="206" t="s">
        <v>228</v>
      </c>
      <c r="B89" s="206"/>
      <c r="C89" s="206"/>
      <c r="D89" s="206"/>
      <c r="E89" s="206"/>
      <c r="F89" s="151"/>
    </row>
  </sheetData>
  <mergeCells count="2">
    <mergeCell ref="A1:I1"/>
    <mergeCell ref="G61:G62"/>
  </mergeCells>
  <pageMargins left="0.7" right="0.7" top="0.66" bottom="0.64" header="0.3" footer="0.3"/>
  <pageSetup scale="10" fitToHeight="2" orientation="landscape" r:id="rId1"/>
  <headerFooter>
    <oddFooter>&amp;L&amp;F / &amp;A&amp;RPage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0.39997558519241921"/>
    <pageSetUpPr fitToPage="1"/>
  </sheetPr>
  <dimension ref="A1:M89"/>
  <sheetViews>
    <sheetView workbookViewId="0">
      <selection sqref="A1:I1"/>
    </sheetView>
  </sheetViews>
  <sheetFormatPr defaultColWidth="9.109375" defaultRowHeight="13.8"/>
  <cols>
    <col min="1" max="1" width="14.6640625" style="1" customWidth="1"/>
    <col min="2" max="2" width="10.109375" style="1" customWidth="1"/>
    <col min="3" max="3" width="16.33203125" style="1" customWidth="1"/>
    <col min="4" max="4" width="20.6640625" style="1" bestFit="1" customWidth="1"/>
    <col min="5" max="5" width="15.5546875" style="1" customWidth="1"/>
    <col min="6" max="6" width="14.6640625" style="1" bestFit="1" customWidth="1"/>
    <col min="7" max="7" width="18.88671875" style="1" bestFit="1" customWidth="1"/>
    <col min="8" max="8" width="13.5546875" style="1" bestFit="1" customWidth="1"/>
    <col min="9" max="9" width="14.5546875" style="1" bestFit="1" customWidth="1"/>
    <col min="10" max="10" width="13.33203125" style="1" bestFit="1" customWidth="1"/>
    <col min="11" max="11" width="13.109375" style="1" customWidth="1"/>
    <col min="12" max="12" width="13.44140625" style="1" bestFit="1" customWidth="1"/>
    <col min="13" max="13" width="27.5546875" style="1" bestFit="1" customWidth="1"/>
    <col min="14" max="16384" width="9.109375" style="1"/>
  </cols>
  <sheetData>
    <row r="1" spans="1:9">
      <c r="A1" s="399" t="s">
        <v>172</v>
      </c>
      <c r="B1" s="399"/>
      <c r="C1" s="399"/>
      <c r="D1" s="399"/>
      <c r="E1" s="399"/>
      <c r="F1" s="399"/>
      <c r="G1" s="399"/>
      <c r="H1" s="399"/>
      <c r="I1" s="399"/>
    </row>
    <row r="2" spans="1:9" ht="26.4" customHeight="1">
      <c r="A2" s="153"/>
      <c r="B2" s="154"/>
      <c r="C2" s="155" t="s">
        <v>173</v>
      </c>
      <c r="D2" s="154"/>
      <c r="E2" s="155" t="s">
        <v>174</v>
      </c>
      <c r="F2" s="156" t="s">
        <v>175</v>
      </c>
      <c r="G2" s="156" t="s">
        <v>176</v>
      </c>
      <c r="H2" s="156" t="s">
        <v>90</v>
      </c>
      <c r="I2" s="156" t="s">
        <v>177</v>
      </c>
    </row>
    <row r="3" spans="1:9">
      <c r="A3" s="180" t="s">
        <v>131</v>
      </c>
      <c r="B3" s="152"/>
      <c r="C3" s="158">
        <v>214784</v>
      </c>
      <c r="D3" s="194"/>
      <c r="E3" s="182">
        <v>290082617.78600001</v>
      </c>
      <c r="F3" s="182">
        <v>-148528721</v>
      </c>
      <c r="G3" s="182">
        <v>131744919</v>
      </c>
      <c r="H3" s="189">
        <f>SUM(F3:G3)</f>
        <v>-16783802</v>
      </c>
      <c r="I3" s="159">
        <f>E3+H3</f>
        <v>273298815.78600001</v>
      </c>
    </row>
    <row r="4" spans="1:9">
      <c r="A4" s="180" t="s">
        <v>178</v>
      </c>
      <c r="B4" s="152"/>
      <c r="C4" s="158">
        <v>414</v>
      </c>
      <c r="D4" s="194"/>
      <c r="E4" s="182">
        <v>698936.27599999995</v>
      </c>
      <c r="F4" s="182">
        <v>-351593</v>
      </c>
      <c r="G4" s="182">
        <v>328050</v>
      </c>
      <c r="H4" s="189">
        <f t="shared" ref="H4:H16" si="0">SUM(F4:G4)</f>
        <v>-23543</v>
      </c>
      <c r="I4" s="159">
        <f t="shared" ref="I4:I16" si="1">E4+H4</f>
        <v>675393.27599999995</v>
      </c>
    </row>
    <row r="5" spans="1:9">
      <c r="A5" s="180" t="s">
        <v>132</v>
      </c>
      <c r="B5" s="152"/>
      <c r="C5" s="158">
        <v>22901</v>
      </c>
      <c r="D5" s="194"/>
      <c r="E5" s="182">
        <v>57439818.197999999</v>
      </c>
      <c r="F5" s="182">
        <v>-30705832</v>
      </c>
      <c r="G5" s="182">
        <v>25948763</v>
      </c>
      <c r="H5" s="189">
        <f t="shared" si="0"/>
        <v>-4757069</v>
      </c>
      <c r="I5" s="159">
        <f t="shared" si="1"/>
        <v>52682749.197999999</v>
      </c>
    </row>
    <row r="6" spans="1:9">
      <c r="A6" s="180" t="s">
        <v>133</v>
      </c>
      <c r="B6" s="152"/>
      <c r="C6" s="158">
        <v>9566</v>
      </c>
      <c r="D6" s="194"/>
      <c r="E6" s="182">
        <v>7528199.0209999997</v>
      </c>
      <c r="F6" s="182">
        <v>-3711265</v>
      </c>
      <c r="G6" s="182">
        <v>3411721</v>
      </c>
      <c r="H6" s="189">
        <f t="shared" si="0"/>
        <v>-299544</v>
      </c>
      <c r="I6" s="159">
        <f t="shared" si="1"/>
        <v>7228655.0209999997</v>
      </c>
    </row>
    <row r="7" spans="1:9">
      <c r="A7" s="180" t="s">
        <v>134</v>
      </c>
      <c r="B7" s="152"/>
      <c r="C7" s="158">
        <v>1866</v>
      </c>
      <c r="D7" s="194"/>
      <c r="E7" s="182">
        <v>122241827.957</v>
      </c>
      <c r="F7" s="182">
        <v>-72193864</v>
      </c>
      <c r="G7" s="182">
        <v>55178026</v>
      </c>
      <c r="H7" s="189">
        <f t="shared" si="0"/>
        <v>-17015838</v>
      </c>
      <c r="I7" s="159">
        <f t="shared" si="1"/>
        <v>105225989.957</v>
      </c>
    </row>
    <row r="8" spans="1:9">
      <c r="A8" s="180" t="s">
        <v>135</v>
      </c>
      <c r="B8" s="152"/>
      <c r="C8" s="158">
        <v>48</v>
      </c>
      <c r="D8" s="194"/>
      <c r="E8" s="182">
        <v>3695224.88</v>
      </c>
      <c r="F8" s="182">
        <v>-1992363</v>
      </c>
      <c r="G8" s="182">
        <v>1673055</v>
      </c>
      <c r="H8" s="189">
        <f t="shared" si="0"/>
        <v>-319308</v>
      </c>
      <c r="I8" s="159">
        <f t="shared" si="1"/>
        <v>3375916.88</v>
      </c>
    </row>
    <row r="9" spans="1:9">
      <c r="A9" s="180" t="s">
        <v>136</v>
      </c>
      <c r="B9" s="152"/>
      <c r="C9" s="158">
        <v>21</v>
      </c>
      <c r="D9" s="194"/>
      <c r="E9" s="182">
        <f>85895739.5-E10</f>
        <v>49782169.5</v>
      </c>
      <c r="F9" s="182">
        <v>-2136242</v>
      </c>
      <c r="G9" s="182">
        <v>11830759</v>
      </c>
      <c r="H9" s="189">
        <f t="shared" si="0"/>
        <v>9694517</v>
      </c>
      <c r="I9" s="159">
        <f t="shared" si="1"/>
        <v>59476686.5</v>
      </c>
    </row>
    <row r="10" spans="1:9">
      <c r="A10" s="180" t="s">
        <v>179</v>
      </c>
      <c r="B10" s="152"/>
      <c r="C10" s="158"/>
      <c r="D10" s="194"/>
      <c r="E10" s="182">
        <v>36113570</v>
      </c>
      <c r="F10" s="182">
        <v>0</v>
      </c>
      <c r="G10" s="182">
        <v>0</v>
      </c>
      <c r="H10" s="189">
        <f t="shared" si="0"/>
        <v>0</v>
      </c>
      <c r="I10" s="159">
        <f t="shared" si="1"/>
        <v>36113570</v>
      </c>
    </row>
    <row r="11" spans="1:9">
      <c r="A11" s="180" t="s">
        <v>180</v>
      </c>
      <c r="B11" s="152"/>
      <c r="C11" s="158">
        <v>49</v>
      </c>
      <c r="D11" s="194"/>
      <c r="E11" s="182">
        <v>8400</v>
      </c>
      <c r="F11" s="182">
        <v>0</v>
      </c>
      <c r="G11" s="182">
        <v>0</v>
      </c>
      <c r="H11" s="189">
        <f t="shared" si="0"/>
        <v>0</v>
      </c>
      <c r="I11" s="159">
        <f t="shared" si="1"/>
        <v>8400</v>
      </c>
    </row>
    <row r="12" spans="1:9">
      <c r="A12" s="180" t="s">
        <v>137</v>
      </c>
      <c r="B12" s="152"/>
      <c r="C12" s="158">
        <v>1245</v>
      </c>
      <c r="D12" s="194"/>
      <c r="E12" s="182">
        <v>4871955.8380000005</v>
      </c>
      <c r="F12" s="182">
        <v>-1679835</v>
      </c>
      <c r="G12" s="182">
        <v>2033911</v>
      </c>
      <c r="H12" s="189">
        <f t="shared" si="0"/>
        <v>354076</v>
      </c>
      <c r="I12" s="159">
        <f t="shared" si="1"/>
        <v>5226031.8380000005</v>
      </c>
    </row>
    <row r="13" spans="1:9">
      <c r="A13" s="180" t="s">
        <v>138</v>
      </c>
      <c r="B13" s="152"/>
      <c r="C13" s="158">
        <v>1193</v>
      </c>
      <c r="D13" s="194"/>
      <c r="E13" s="182">
        <v>319449.84000000003</v>
      </c>
      <c r="F13" s="182">
        <v>-156264</v>
      </c>
      <c r="G13" s="182">
        <v>131220</v>
      </c>
      <c r="H13" s="189">
        <f t="shared" si="0"/>
        <v>-25044</v>
      </c>
      <c r="I13" s="159">
        <f t="shared" si="1"/>
        <v>294405.84000000003</v>
      </c>
    </row>
    <row r="14" spans="1:9">
      <c r="A14" s="180" t="s">
        <v>181</v>
      </c>
      <c r="B14" s="152"/>
      <c r="C14" s="158">
        <v>427</v>
      </c>
      <c r="D14" s="194"/>
      <c r="E14" s="182">
        <v>997006</v>
      </c>
      <c r="F14" s="182"/>
      <c r="G14" s="182"/>
      <c r="H14" s="189"/>
      <c r="I14" s="159">
        <f t="shared" si="1"/>
        <v>997006</v>
      </c>
    </row>
    <row r="15" spans="1:9">
      <c r="A15" s="180" t="s">
        <v>182</v>
      </c>
      <c r="B15" s="152"/>
      <c r="C15" s="158"/>
      <c r="D15" s="194"/>
      <c r="E15" s="182">
        <v>441811.02402999997</v>
      </c>
      <c r="F15" s="182"/>
      <c r="G15" s="182"/>
      <c r="H15" s="189">
        <f t="shared" si="0"/>
        <v>0</v>
      </c>
      <c r="I15" s="159">
        <f t="shared" si="1"/>
        <v>441811.02402999997</v>
      </c>
    </row>
    <row r="16" spans="1:9">
      <c r="A16" s="180" t="s">
        <v>183</v>
      </c>
      <c r="B16" s="152"/>
      <c r="C16" s="158"/>
      <c r="D16" s="195"/>
      <c r="E16" s="182">
        <v>238692.97</v>
      </c>
      <c r="F16" s="182"/>
      <c r="G16" s="182"/>
      <c r="H16" s="189">
        <f t="shared" si="0"/>
        <v>0</v>
      </c>
      <c r="I16" s="159">
        <f t="shared" si="1"/>
        <v>238692.97</v>
      </c>
    </row>
    <row r="17" spans="1:9">
      <c r="A17" s="152"/>
      <c r="B17" s="152"/>
      <c r="C17" s="160">
        <f>SUM(C3:C16)</f>
        <v>252514</v>
      </c>
      <c r="E17" s="160">
        <f>SUM(E3:E16)</f>
        <v>574459679.29003012</v>
      </c>
      <c r="F17" s="160">
        <f>SUM(F3:F16)</f>
        <v>-261455979</v>
      </c>
      <c r="G17" s="160">
        <f>SUM(G3:G16)</f>
        <v>232280424</v>
      </c>
      <c r="H17" s="160">
        <f>SUM(H3:H16)</f>
        <v>-29175555</v>
      </c>
      <c r="I17" s="160">
        <f>SUM(I3:I16)</f>
        <v>545284124.29003012</v>
      </c>
    </row>
    <row r="18" spans="1:9" ht="14.4" thickBot="1">
      <c r="A18" s="152"/>
      <c r="B18" s="152"/>
      <c r="C18" s="152"/>
      <c r="E18" s="152"/>
      <c r="F18" s="152"/>
      <c r="G18" s="152"/>
      <c r="I18" s="152"/>
    </row>
    <row r="19" spans="1:9">
      <c r="A19" s="152" t="s">
        <v>19</v>
      </c>
      <c r="B19" s="152"/>
      <c r="C19" s="161">
        <f>C3+C4</f>
        <v>215198</v>
      </c>
      <c r="E19" s="162">
        <f>E3+E4</f>
        <v>290781554.06200004</v>
      </c>
      <c r="F19" s="162">
        <f>F3+F4</f>
        <v>-148880314</v>
      </c>
      <c r="G19" s="162">
        <f>G3+G4</f>
        <v>132072969</v>
      </c>
      <c r="H19" s="162">
        <f>H3+H4</f>
        <v>-16807345</v>
      </c>
      <c r="I19" s="161">
        <f>I3+I4</f>
        <v>273974209.06200004</v>
      </c>
    </row>
    <row r="20" spans="1:9" ht="7.2" customHeight="1">
      <c r="A20" s="152"/>
      <c r="B20" s="152"/>
      <c r="C20" s="163"/>
      <c r="E20" s="152"/>
      <c r="F20" s="152"/>
      <c r="G20" s="152"/>
      <c r="H20" s="152"/>
      <c r="I20" s="163"/>
    </row>
    <row r="21" spans="1:9" ht="14.4" thickBot="1">
      <c r="A21" s="152" t="s">
        <v>184</v>
      </c>
      <c r="B21" s="152"/>
      <c r="C21" s="177">
        <f>SUM(C5:C8,C11:C13)</f>
        <v>36868</v>
      </c>
      <c r="E21" s="178">
        <f>SUM(E5:E8,E11:E13)</f>
        <v>196104875.734</v>
      </c>
      <c r="F21" s="178">
        <f>SUM(F5:F8,F11:F13)</f>
        <v>-110439423</v>
      </c>
      <c r="G21" s="178">
        <f>SUM(G5:G8,G11:G13)</f>
        <v>88376696</v>
      </c>
      <c r="H21" s="178">
        <f>SUM(H5:H8,H11:H13)</f>
        <v>-22062727</v>
      </c>
      <c r="I21" s="177">
        <f>SUM(I5:I8,I11:I13)</f>
        <v>174042148.734</v>
      </c>
    </row>
    <row r="22" spans="1:9">
      <c r="A22" s="152"/>
      <c r="B22" s="152"/>
      <c r="C22" s="152"/>
      <c r="D22" s="152"/>
      <c r="E22" s="152"/>
    </row>
    <row r="23" spans="1:9" ht="43.2" customHeight="1">
      <c r="A23" s="153"/>
      <c r="B23" s="164"/>
      <c r="C23" s="172" t="s">
        <v>185</v>
      </c>
      <c r="D23" s="172" t="s">
        <v>186</v>
      </c>
      <c r="E23" s="156" t="s">
        <v>187</v>
      </c>
      <c r="F23" s="156" t="s">
        <v>188</v>
      </c>
      <c r="G23" s="156" t="s">
        <v>189</v>
      </c>
      <c r="H23" s="156" t="s">
        <v>190</v>
      </c>
      <c r="I23" s="156" t="s">
        <v>191</v>
      </c>
    </row>
    <row r="24" spans="1:9">
      <c r="A24" s="180" t="s">
        <v>131</v>
      </c>
      <c r="B24" s="152"/>
      <c r="C24" s="181">
        <v>1860556.5</v>
      </c>
      <c r="D24" s="181">
        <v>25975343.259999998</v>
      </c>
      <c r="E24" s="183">
        <v>-14216193</v>
      </c>
      <c r="F24" s="183">
        <v>13061982</v>
      </c>
      <c r="G24" s="174">
        <f>SUM(D24:F24)</f>
        <v>24821132.259999998</v>
      </c>
      <c r="H24" s="174">
        <f>-J65</f>
        <v>126885.54312</v>
      </c>
      <c r="I24" s="174">
        <f>SUM(G24:H24)</f>
        <v>24948017.803119998</v>
      </c>
    </row>
    <row r="25" spans="1:9">
      <c r="A25" s="180" t="s">
        <v>178</v>
      </c>
      <c r="B25" s="152"/>
      <c r="C25" s="181">
        <v>3536</v>
      </c>
      <c r="D25" s="181">
        <v>62971.11</v>
      </c>
      <c r="E25" s="183">
        <v>-22157</v>
      </c>
      <c r="F25" s="183">
        <v>21672</v>
      </c>
      <c r="G25" s="174">
        <f t="shared" ref="G25:G33" si="2">SUM(D25:F25)</f>
        <v>62486.11</v>
      </c>
      <c r="H25" s="174">
        <f t="shared" ref="H25:H33" si="3">-J66</f>
        <v>-564.32571000000007</v>
      </c>
      <c r="I25" s="174">
        <f t="shared" ref="I25:I34" si="4">SUM(G25:H25)</f>
        <v>61921.784290000003</v>
      </c>
    </row>
    <row r="26" spans="1:9">
      <c r="A26" s="180" t="s">
        <v>132</v>
      </c>
      <c r="B26" s="152"/>
      <c r="C26" s="181">
        <v>420211.43</v>
      </c>
      <c r="D26" s="181">
        <v>6492525.4799999995</v>
      </c>
      <c r="E26" s="183">
        <v>-3556674</v>
      </c>
      <c r="F26" s="183">
        <v>2984952</v>
      </c>
      <c r="G26" s="174">
        <f t="shared" si="2"/>
        <v>5920803.4799999995</v>
      </c>
      <c r="H26" s="174">
        <f t="shared" si="3"/>
        <v>28447.27262</v>
      </c>
      <c r="I26" s="174">
        <f t="shared" si="4"/>
        <v>5949250.7526199995</v>
      </c>
    </row>
    <row r="27" spans="1:9">
      <c r="A27" s="180" t="s">
        <v>133</v>
      </c>
      <c r="B27" s="152"/>
      <c r="C27" s="181">
        <v>173685.17</v>
      </c>
      <c r="D27" s="181">
        <v>997016.43</v>
      </c>
      <c r="E27" s="183">
        <v>-511590</v>
      </c>
      <c r="F27" s="183">
        <v>471297</v>
      </c>
      <c r="G27" s="174">
        <f t="shared" si="2"/>
        <v>956723.43</v>
      </c>
      <c r="H27" s="174">
        <f t="shared" si="3"/>
        <v>1548.64248</v>
      </c>
      <c r="I27" s="174">
        <f t="shared" si="4"/>
        <v>958272.07248000009</v>
      </c>
    </row>
    <row r="28" spans="1:9">
      <c r="A28" s="180" t="s">
        <v>134</v>
      </c>
      <c r="B28" s="152"/>
      <c r="C28" s="181">
        <v>936002.69</v>
      </c>
      <c r="D28" s="181">
        <v>10736825.129999999</v>
      </c>
      <c r="E28" s="183">
        <v>-5870374</v>
      </c>
      <c r="F28" s="183">
        <v>4569940</v>
      </c>
      <c r="G28" s="174">
        <f t="shared" si="2"/>
        <v>9436391.129999999</v>
      </c>
      <c r="H28" s="174">
        <f t="shared" si="3"/>
        <v>77762.379660000006</v>
      </c>
      <c r="I28" s="174">
        <f t="shared" si="4"/>
        <v>9514153.5096599981</v>
      </c>
    </row>
    <row r="29" spans="1:9">
      <c r="A29" s="180" t="s">
        <v>135</v>
      </c>
      <c r="B29" s="152"/>
      <c r="C29" s="181">
        <v>23900</v>
      </c>
      <c r="D29" s="181">
        <v>317055.09000000003</v>
      </c>
      <c r="E29" s="183">
        <v>-161186</v>
      </c>
      <c r="F29" s="183">
        <v>136786</v>
      </c>
      <c r="G29" s="174">
        <f t="shared" si="2"/>
        <v>292655.09000000003</v>
      </c>
      <c r="H29" s="174">
        <f t="shared" si="3"/>
        <v>1200.5980800000002</v>
      </c>
      <c r="I29" s="174">
        <f t="shared" si="4"/>
        <v>293855.68808000005</v>
      </c>
    </row>
    <row r="30" spans="1:9">
      <c r="A30" s="180" t="s">
        <v>136</v>
      </c>
      <c r="B30" s="152"/>
      <c r="C30" s="181">
        <v>441000</v>
      </c>
      <c r="D30" s="181">
        <f>5030728.76-168856</f>
        <v>4861872.76</v>
      </c>
      <c r="E30" s="183">
        <v>-147054</v>
      </c>
      <c r="F30" s="183">
        <v>820909</v>
      </c>
      <c r="G30" s="174">
        <f t="shared" si="2"/>
        <v>5535727.7599999998</v>
      </c>
      <c r="H30" s="174">
        <f t="shared" si="3"/>
        <v>-23654.621479999998</v>
      </c>
      <c r="I30" s="174">
        <f t="shared" si="4"/>
        <v>5512073.1385199996</v>
      </c>
    </row>
    <row r="31" spans="1:9">
      <c r="A31" s="180" t="s">
        <v>180</v>
      </c>
      <c r="B31" s="152"/>
      <c r="C31" s="181">
        <v>882</v>
      </c>
      <c r="D31" s="181">
        <v>1455.1799999999998</v>
      </c>
      <c r="E31" s="183">
        <v>0</v>
      </c>
      <c r="F31" s="183">
        <v>0</v>
      </c>
      <c r="G31" s="174">
        <f t="shared" si="2"/>
        <v>1455.1799999999998</v>
      </c>
      <c r="H31" s="174">
        <f t="shared" si="3"/>
        <v>0</v>
      </c>
      <c r="I31" s="174">
        <f t="shared" si="4"/>
        <v>1455.1799999999998</v>
      </c>
    </row>
    <row r="32" spans="1:9">
      <c r="A32" s="180" t="s">
        <v>137</v>
      </c>
      <c r="B32" s="152"/>
      <c r="C32" s="181">
        <v>22500</v>
      </c>
      <c r="D32" s="181">
        <v>418285.85</v>
      </c>
      <c r="E32" s="183">
        <v>-151206</v>
      </c>
      <c r="F32" s="183">
        <v>127197</v>
      </c>
      <c r="G32" s="174">
        <f t="shared" si="2"/>
        <v>394276.85</v>
      </c>
      <c r="H32" s="174">
        <f t="shared" si="3"/>
        <v>-991.41279999999995</v>
      </c>
      <c r="I32" s="174">
        <f t="shared" si="4"/>
        <v>393285.43719999999</v>
      </c>
    </row>
    <row r="33" spans="1:11">
      <c r="A33" s="180" t="s">
        <v>138</v>
      </c>
      <c r="B33" s="152"/>
      <c r="C33" s="181">
        <v>21672</v>
      </c>
      <c r="D33" s="181">
        <v>48708.66</v>
      </c>
      <c r="E33" s="183">
        <v>-23653</v>
      </c>
      <c r="F33" s="183">
        <v>21018</v>
      </c>
      <c r="G33" s="174">
        <f t="shared" si="2"/>
        <v>46073.66</v>
      </c>
      <c r="H33" s="174">
        <f t="shared" si="3"/>
        <v>-411.42016000000001</v>
      </c>
      <c r="I33" s="174">
        <f t="shared" si="4"/>
        <v>45662.239840000002</v>
      </c>
    </row>
    <row r="34" spans="1:11">
      <c r="A34" s="180" t="s">
        <v>192</v>
      </c>
      <c r="B34" s="152"/>
      <c r="C34" s="174"/>
      <c r="D34" s="181">
        <v>549591.4</v>
      </c>
      <c r="E34" s="181"/>
      <c r="F34" s="181"/>
      <c r="G34" s="174">
        <f>SUM(D34:F34)</f>
        <v>549591.4</v>
      </c>
      <c r="H34" s="174"/>
      <c r="I34" s="174">
        <f t="shared" si="4"/>
        <v>549591.4</v>
      </c>
    </row>
    <row r="35" spans="1:11">
      <c r="A35" s="180" t="s">
        <v>193</v>
      </c>
      <c r="B35" s="152"/>
      <c r="C35" s="194"/>
      <c r="D35" s="181">
        <v>3362061.5600000005</v>
      </c>
      <c r="E35" s="181"/>
      <c r="F35" s="181"/>
      <c r="G35" s="174"/>
      <c r="H35" s="174"/>
      <c r="I35" s="174"/>
    </row>
    <row r="36" spans="1:11">
      <c r="A36" s="180" t="s">
        <v>194</v>
      </c>
      <c r="B36" s="152"/>
      <c r="C36" s="194"/>
      <c r="D36" s="181">
        <v>1982919.83</v>
      </c>
      <c r="E36" s="181"/>
      <c r="F36" s="181"/>
      <c r="G36" s="174"/>
      <c r="H36" s="174"/>
      <c r="I36" s="174"/>
    </row>
    <row r="37" spans="1:11">
      <c r="A37" s="152"/>
      <c r="B37" s="152"/>
      <c r="C37" s="166">
        <f t="shared" ref="C37:I37" si="5">SUM(C24:C36)</f>
        <v>3903945.79</v>
      </c>
      <c r="D37" s="166">
        <f t="shared" si="5"/>
        <v>55806631.739999995</v>
      </c>
      <c r="E37" s="166">
        <f t="shared" si="5"/>
        <v>-24660087</v>
      </c>
      <c r="F37" s="166">
        <f t="shared" si="5"/>
        <v>22215753</v>
      </c>
      <c r="G37" s="166">
        <f t="shared" si="5"/>
        <v>48017316.349999994</v>
      </c>
      <c r="H37" s="166">
        <f t="shared" si="5"/>
        <v>210222.65581</v>
      </c>
      <c r="I37" s="166">
        <f t="shared" si="5"/>
        <v>48227539.00581</v>
      </c>
    </row>
    <row r="38" spans="1:11" ht="14.4" thickBot="1">
      <c r="A38" s="152"/>
      <c r="B38" s="152"/>
      <c r="D38" s="167"/>
      <c r="E38" s="152"/>
      <c r="F38" s="152"/>
    </row>
    <row r="39" spans="1:11">
      <c r="A39" s="152" t="s">
        <v>19</v>
      </c>
      <c r="B39" s="152"/>
      <c r="C39" s="169">
        <f>C24+C25</f>
        <v>1864092.5</v>
      </c>
      <c r="D39" s="168">
        <f t="shared" ref="D39:I39" si="6">D24+D25</f>
        <v>26038314.369999997</v>
      </c>
      <c r="E39" s="168">
        <f t="shared" si="6"/>
        <v>-14238350</v>
      </c>
      <c r="F39" s="168">
        <f t="shared" si="6"/>
        <v>13083654</v>
      </c>
      <c r="G39" s="168">
        <f t="shared" si="6"/>
        <v>24883618.369999997</v>
      </c>
      <c r="H39" s="168">
        <f t="shared" si="6"/>
        <v>126321.21741</v>
      </c>
      <c r="I39" s="169">
        <f t="shared" si="6"/>
        <v>25009939.587409999</v>
      </c>
    </row>
    <row r="40" spans="1:11" ht="6" customHeight="1">
      <c r="A40" s="152"/>
      <c r="B40" s="152"/>
      <c r="C40" s="173"/>
      <c r="D40" s="168"/>
      <c r="E40" s="152"/>
      <c r="F40" s="152"/>
      <c r="I40" s="190"/>
    </row>
    <row r="41" spans="1:11" ht="14.4" thickBot="1">
      <c r="A41" s="152" t="s">
        <v>184</v>
      </c>
      <c r="B41" s="152"/>
      <c r="C41" s="175">
        <f>SUM(C26:C29,C31:C33)</f>
        <v>1598853.29</v>
      </c>
      <c r="D41" s="176">
        <f t="shared" ref="D41:I41" si="7">SUM(D26:D29,D31:D33)</f>
        <v>19011871.82</v>
      </c>
      <c r="E41" s="176">
        <f t="shared" si="7"/>
        <v>-10274683</v>
      </c>
      <c r="F41" s="176">
        <f t="shared" si="7"/>
        <v>8311190</v>
      </c>
      <c r="G41" s="176">
        <f t="shared" si="7"/>
        <v>17048378.82</v>
      </c>
      <c r="H41" s="176">
        <f t="shared" si="7"/>
        <v>107556.05988</v>
      </c>
      <c r="I41" s="175">
        <f t="shared" si="7"/>
        <v>17155934.879879996</v>
      </c>
    </row>
    <row r="42" spans="1:11">
      <c r="A42" s="152"/>
      <c r="B42" s="152"/>
      <c r="C42" s="188"/>
      <c r="D42" s="176"/>
      <c r="E42" s="176"/>
      <c r="F42" s="176"/>
      <c r="G42" s="176"/>
      <c r="H42" s="176"/>
      <c r="I42" s="188"/>
    </row>
    <row r="43" spans="1:11">
      <c r="A43" s="152"/>
      <c r="B43" s="152"/>
      <c r="C43" s="188"/>
      <c r="D43" s="176"/>
      <c r="E43" s="176"/>
      <c r="F43" s="176"/>
      <c r="G43" s="176"/>
      <c r="H43" s="176"/>
      <c r="I43" s="188"/>
    </row>
    <row r="44" spans="1:11">
      <c r="A44" s="152"/>
      <c r="B44" s="152"/>
      <c r="C44" s="188"/>
      <c r="D44" s="176"/>
      <c r="E44" s="176"/>
      <c r="F44" s="176"/>
      <c r="G44" s="176"/>
      <c r="H44" s="176"/>
      <c r="I44" s="188"/>
    </row>
    <row r="45" spans="1:11">
      <c r="A45" s="152"/>
      <c r="B45" s="152"/>
      <c r="C45" s="188"/>
      <c r="D45" s="176"/>
      <c r="E45" s="176"/>
      <c r="F45" s="176"/>
      <c r="G45" s="176"/>
      <c r="H45" s="176"/>
      <c r="I45" s="188"/>
    </row>
    <row r="46" spans="1:11">
      <c r="A46" s="152"/>
      <c r="B46" s="152"/>
      <c r="C46" s="188"/>
      <c r="D46" s="176"/>
      <c r="E46" s="176"/>
      <c r="F46" s="176"/>
      <c r="G46" s="176"/>
      <c r="H46" s="176"/>
      <c r="I46" s="188"/>
    </row>
    <row r="47" spans="1:11">
      <c r="A47" s="152"/>
      <c r="B47" s="152"/>
      <c r="C47" s="188"/>
      <c r="D47" s="176"/>
      <c r="E47" s="176"/>
      <c r="F47" s="176"/>
      <c r="G47" s="176"/>
      <c r="H47" s="176"/>
      <c r="I47" s="188"/>
    </row>
    <row r="48" spans="1:11">
      <c r="C48" s="191">
        <v>43040</v>
      </c>
      <c r="D48" s="196">
        <v>43040</v>
      </c>
      <c r="E48" s="192">
        <v>42278</v>
      </c>
      <c r="F48" s="191">
        <v>42583</v>
      </c>
      <c r="G48" s="191">
        <v>43009</v>
      </c>
      <c r="H48" s="191">
        <v>42380</v>
      </c>
      <c r="I48" s="191">
        <v>42917</v>
      </c>
      <c r="J48" s="191"/>
      <c r="K48" s="196"/>
    </row>
    <row r="49" spans="1:13" ht="42" customHeight="1">
      <c r="A49" s="179" t="s">
        <v>195</v>
      </c>
      <c r="B49" s="154"/>
      <c r="C49" s="165" t="s">
        <v>196</v>
      </c>
      <c r="D49" s="165" t="s">
        <v>213</v>
      </c>
      <c r="E49" s="165" t="s">
        <v>197</v>
      </c>
      <c r="F49" s="165" t="s">
        <v>198</v>
      </c>
      <c r="G49" s="165" t="s">
        <v>199</v>
      </c>
      <c r="H49" s="165" t="s">
        <v>200</v>
      </c>
      <c r="I49" s="165" t="s">
        <v>201</v>
      </c>
      <c r="J49" s="207"/>
      <c r="K49" s="207"/>
    </row>
    <row r="50" spans="1:13">
      <c r="A50" s="180" t="s">
        <v>131</v>
      </c>
      <c r="B50" s="152"/>
      <c r="C50" s="171">
        <v>-8.0999999999999996E-4</v>
      </c>
      <c r="D50" s="171">
        <v>4.45E-3</v>
      </c>
      <c r="E50" s="171"/>
      <c r="F50" s="171">
        <v>3.4399999999999999E-3</v>
      </c>
      <c r="G50" s="171">
        <v>1.0499999999999999E-3</v>
      </c>
      <c r="H50" s="171">
        <v>0</v>
      </c>
      <c r="I50" s="171">
        <v>-5.6999999999999998E-4</v>
      </c>
      <c r="J50" s="171"/>
      <c r="K50" s="171"/>
    </row>
    <row r="51" spans="1:13">
      <c r="A51" s="180" t="s">
        <v>178</v>
      </c>
      <c r="B51" s="152"/>
      <c r="C51" s="171">
        <v>-8.0999999999999996E-4</v>
      </c>
      <c r="D51" s="171">
        <v>4.45E-3</v>
      </c>
      <c r="E51" s="171">
        <v>-3.1530000000000002E-2</v>
      </c>
      <c r="F51" s="171">
        <v>3.4399999999999999E-3</v>
      </c>
      <c r="G51" s="171">
        <v>1.0499999999999999E-3</v>
      </c>
      <c r="H51" s="171">
        <v>0</v>
      </c>
      <c r="I51" s="171">
        <v>-5.6999999999999998E-4</v>
      </c>
      <c r="J51" s="171"/>
      <c r="K51" s="171"/>
    </row>
    <row r="52" spans="1:13">
      <c r="A52" s="180" t="s">
        <v>132</v>
      </c>
      <c r="B52" s="152"/>
      <c r="C52" s="171">
        <v>0</v>
      </c>
      <c r="D52" s="171">
        <v>4.0000000000000002E-4</v>
      </c>
      <c r="E52" s="171"/>
      <c r="F52" s="171">
        <v>4.6299999999999996E-3</v>
      </c>
      <c r="G52" s="171">
        <v>1.5200000000000001E-3</v>
      </c>
      <c r="H52" s="171">
        <v>0</v>
      </c>
      <c r="I52" s="171">
        <v>-5.6999999999999998E-4</v>
      </c>
      <c r="J52" s="171"/>
      <c r="K52" s="171"/>
    </row>
    <row r="53" spans="1:13">
      <c r="A53" s="180" t="s">
        <v>133</v>
      </c>
      <c r="B53" s="152"/>
      <c r="C53" s="171">
        <v>-8.0999999999999996E-4</v>
      </c>
      <c r="D53" s="171">
        <v>4.0000000000000002E-4</v>
      </c>
      <c r="E53" s="171"/>
      <c r="F53" s="171">
        <v>4.6299999999999996E-3</v>
      </c>
      <c r="G53" s="171">
        <v>1.5200000000000001E-3</v>
      </c>
      <c r="H53" s="171">
        <v>0</v>
      </c>
      <c r="I53" s="171">
        <v>-5.6999999999999998E-4</v>
      </c>
      <c r="J53" s="171"/>
      <c r="K53" s="171"/>
    </row>
    <row r="54" spans="1:13">
      <c r="A54" s="180" t="s">
        <v>134</v>
      </c>
      <c r="B54" s="152"/>
      <c r="C54" s="171">
        <v>0</v>
      </c>
      <c r="D54" s="171">
        <v>4.0000000000000002E-4</v>
      </c>
      <c r="E54" s="171"/>
      <c r="F54" s="171">
        <v>3.6600000000000001E-3</v>
      </c>
      <c r="G54" s="171">
        <v>1.1000000000000001E-3</v>
      </c>
      <c r="H54" s="171">
        <v>0</v>
      </c>
      <c r="I54" s="171">
        <v>-5.9000000000000003E-4</v>
      </c>
      <c r="J54" s="171"/>
      <c r="K54" s="171"/>
    </row>
    <row r="55" spans="1:13">
      <c r="A55" s="180" t="s">
        <v>135</v>
      </c>
      <c r="B55" s="152"/>
      <c r="C55" s="171">
        <v>-8.0999999999999996E-4</v>
      </c>
      <c r="D55" s="171">
        <v>4.0000000000000002E-4</v>
      </c>
      <c r="E55" s="171"/>
      <c r="F55" s="171">
        <v>3.6600000000000001E-3</v>
      </c>
      <c r="G55" s="171">
        <v>1.1000000000000001E-3</v>
      </c>
      <c r="H55" s="171">
        <v>0</v>
      </c>
      <c r="I55" s="171">
        <v>-5.9000000000000003E-4</v>
      </c>
      <c r="J55" s="171"/>
      <c r="K55" s="171"/>
    </row>
    <row r="56" spans="1:13">
      <c r="A56" s="180" t="s">
        <v>136</v>
      </c>
      <c r="B56" s="152"/>
      <c r="C56" s="171">
        <v>0</v>
      </c>
      <c r="D56" s="171">
        <v>0</v>
      </c>
      <c r="E56" s="171"/>
      <c r="F56" s="171">
        <v>2.32E-3</v>
      </c>
      <c r="G56" s="171">
        <v>6.8999999999999997E-4</v>
      </c>
      <c r="H56" s="171">
        <v>0</v>
      </c>
      <c r="I56" s="171">
        <v>-5.6999999999999998E-4</v>
      </c>
      <c r="J56" s="171"/>
      <c r="K56" s="171"/>
    </row>
    <row r="57" spans="1:13">
      <c r="A57" s="180" t="s">
        <v>179</v>
      </c>
      <c r="B57" s="152"/>
      <c r="C57" s="171">
        <v>0</v>
      </c>
      <c r="D57" s="171">
        <v>0</v>
      </c>
      <c r="E57" s="171"/>
      <c r="F57" s="171">
        <v>2.32E-3</v>
      </c>
      <c r="G57" s="171">
        <v>0</v>
      </c>
      <c r="H57" s="171">
        <v>0</v>
      </c>
      <c r="I57" s="171">
        <v>-5.6999999999999998E-4</v>
      </c>
      <c r="J57" s="171"/>
      <c r="K57" s="171"/>
    </row>
    <row r="58" spans="1:13">
      <c r="A58" s="180" t="s">
        <v>180</v>
      </c>
      <c r="B58" s="152"/>
      <c r="C58" s="171">
        <v>0</v>
      </c>
      <c r="D58" s="171">
        <v>4.0000000000000002E-4</v>
      </c>
      <c r="E58" s="171"/>
      <c r="F58" s="171">
        <v>3.4099999999999998E-3</v>
      </c>
      <c r="G58" s="171">
        <v>9.6000000000000002E-4</v>
      </c>
      <c r="H58" s="171">
        <v>0</v>
      </c>
      <c r="I58" s="171">
        <v>-6.0999999999999997E-4</v>
      </c>
      <c r="J58" s="171"/>
      <c r="K58" s="171"/>
    </row>
    <row r="59" spans="1:13">
      <c r="A59" s="180" t="s">
        <v>137</v>
      </c>
      <c r="B59" s="152"/>
      <c r="C59" s="171">
        <v>0</v>
      </c>
      <c r="D59" s="171">
        <v>4.0000000000000002E-4</v>
      </c>
      <c r="E59" s="171"/>
      <c r="F59" s="171">
        <v>3.4099999999999998E-3</v>
      </c>
      <c r="G59" s="171">
        <v>9.6000000000000002E-4</v>
      </c>
      <c r="H59" s="171">
        <v>0</v>
      </c>
      <c r="I59" s="171">
        <v>-6.0999999999999997E-4</v>
      </c>
      <c r="J59" s="171"/>
      <c r="K59" s="171"/>
    </row>
    <row r="60" spans="1:13">
      <c r="A60" s="180" t="s">
        <v>138</v>
      </c>
      <c r="B60" s="152"/>
      <c r="C60" s="171">
        <v>-8.0999999999999996E-4</v>
      </c>
      <c r="D60" s="171">
        <v>4.0000000000000002E-4</v>
      </c>
      <c r="E60" s="171"/>
      <c r="F60" s="171">
        <v>3.4099999999999998E-3</v>
      </c>
      <c r="G60" s="171">
        <v>9.6000000000000002E-4</v>
      </c>
      <c r="H60" s="171">
        <v>0</v>
      </c>
      <c r="I60" s="171">
        <v>-6.0999999999999997E-4</v>
      </c>
      <c r="J60" s="171"/>
      <c r="K60" s="171"/>
    </row>
    <row r="61" spans="1:13" ht="14.4" customHeight="1">
      <c r="A61" s="180" t="s">
        <v>192</v>
      </c>
      <c r="B61" s="152"/>
      <c r="C61" s="171">
        <v>0</v>
      </c>
      <c r="D61" s="171">
        <v>0</v>
      </c>
      <c r="E61" s="171"/>
      <c r="F61" s="186">
        <v>1.2149999999999999E-2</v>
      </c>
      <c r="G61" s="401" t="s">
        <v>214</v>
      </c>
      <c r="H61" s="171">
        <v>0</v>
      </c>
      <c r="I61" s="186">
        <v>-6.4999999999999997E-4</v>
      </c>
      <c r="J61" s="171"/>
      <c r="K61" s="171"/>
    </row>
    <row r="62" spans="1:13">
      <c r="A62" s="180" t="s">
        <v>183</v>
      </c>
      <c r="B62" s="152"/>
      <c r="C62" s="171">
        <v>-8.0999999999999996E-4</v>
      </c>
      <c r="D62" s="171">
        <v>0</v>
      </c>
      <c r="E62" s="171"/>
      <c r="F62" s="186">
        <v>1.2149999999999999E-2</v>
      </c>
      <c r="G62" s="401"/>
      <c r="H62" s="171">
        <v>0</v>
      </c>
      <c r="I62" s="186">
        <v>-6.4999999999999997E-4</v>
      </c>
      <c r="J62" s="171"/>
      <c r="K62" s="171"/>
    </row>
    <row r="63" spans="1:13">
      <c r="E63" s="152"/>
    </row>
    <row r="64" spans="1:13" ht="52.8">
      <c r="A64" s="179" t="s">
        <v>202</v>
      </c>
      <c r="B64" s="154"/>
      <c r="C64" s="172" t="s">
        <v>209</v>
      </c>
      <c r="D64" s="172" t="s">
        <v>213</v>
      </c>
      <c r="E64" s="172" t="s">
        <v>203</v>
      </c>
      <c r="F64" s="172" t="s">
        <v>204</v>
      </c>
      <c r="G64" s="172" t="s">
        <v>205</v>
      </c>
      <c r="H64" s="172" t="s">
        <v>206</v>
      </c>
      <c r="I64" s="172" t="s">
        <v>207</v>
      </c>
      <c r="J64" s="172" t="s">
        <v>208</v>
      </c>
      <c r="M64" s="207"/>
    </row>
    <row r="65" spans="1:13">
      <c r="A65" s="180" t="s">
        <v>131</v>
      </c>
      <c r="C65" s="168">
        <f>C50*H3</f>
        <v>13594.87962</v>
      </c>
      <c r="D65" s="168">
        <f>D50*H3</f>
        <v>-74687.918900000004</v>
      </c>
      <c r="E65" s="168">
        <f t="shared" ref="E65:E70" si="8">$H3*E50</f>
        <v>0</v>
      </c>
      <c r="F65" s="168">
        <f t="shared" ref="F65:G70" si="9">($H3*F50)</f>
        <v>-57736.278879999998</v>
      </c>
      <c r="G65" s="168">
        <f t="shared" si="9"/>
        <v>-17622.992099999999</v>
      </c>
      <c r="H65" s="168">
        <f t="shared" ref="H65:H70" si="10">$H3*H50</f>
        <v>0</v>
      </c>
      <c r="I65" s="168">
        <f t="shared" ref="I65:I70" si="11">(I50*H3)</f>
        <v>9566.7671399999999</v>
      </c>
      <c r="J65" s="168">
        <f>SUM(C65:I65)</f>
        <v>-126885.54312</v>
      </c>
      <c r="M65" s="168"/>
    </row>
    <row r="66" spans="1:13">
      <c r="A66" s="180" t="s">
        <v>178</v>
      </c>
      <c r="C66" s="168">
        <f t="shared" ref="C66:C75" si="12">C51*H4</f>
        <v>19.06983</v>
      </c>
      <c r="D66" s="168">
        <f t="shared" ref="D66:D75" si="13">D51*H4</f>
        <v>-104.76635</v>
      </c>
      <c r="E66" s="168">
        <f t="shared" si="8"/>
        <v>742.31079000000011</v>
      </c>
      <c r="F66" s="168">
        <f t="shared" si="9"/>
        <v>-80.987920000000003</v>
      </c>
      <c r="G66" s="168">
        <f t="shared" si="9"/>
        <v>-24.720149999999997</v>
      </c>
      <c r="H66" s="168">
        <f t="shared" si="10"/>
        <v>0</v>
      </c>
      <c r="I66" s="168">
        <f t="shared" si="11"/>
        <v>13.419509999999999</v>
      </c>
      <c r="J66" s="168">
        <f t="shared" ref="J66:J75" si="14">SUM(C66:I66)</f>
        <v>564.32571000000007</v>
      </c>
      <c r="M66" s="168"/>
    </row>
    <row r="67" spans="1:13">
      <c r="A67" s="180" t="s">
        <v>132</v>
      </c>
      <c r="C67" s="168">
        <f t="shared" si="12"/>
        <v>0</v>
      </c>
      <c r="D67" s="168">
        <f t="shared" si="13"/>
        <v>-1902.8276000000001</v>
      </c>
      <c r="E67" s="168">
        <f t="shared" si="8"/>
        <v>0</v>
      </c>
      <c r="F67" s="168">
        <f t="shared" si="9"/>
        <v>-22025.229469999998</v>
      </c>
      <c r="G67" s="168">
        <f t="shared" si="9"/>
        <v>-7230.7448800000002</v>
      </c>
      <c r="H67" s="168">
        <f t="shared" si="10"/>
        <v>0</v>
      </c>
      <c r="I67" s="168">
        <f t="shared" si="11"/>
        <v>2711.5293299999998</v>
      </c>
      <c r="J67" s="168">
        <f t="shared" si="14"/>
        <v>-28447.27262</v>
      </c>
      <c r="M67" s="168"/>
    </row>
    <row r="68" spans="1:13">
      <c r="A68" s="180" t="s">
        <v>133</v>
      </c>
      <c r="C68" s="168">
        <f t="shared" si="12"/>
        <v>242.63064</v>
      </c>
      <c r="D68" s="168">
        <f t="shared" si="13"/>
        <v>-119.8176</v>
      </c>
      <c r="E68" s="168">
        <f t="shared" si="8"/>
        <v>0</v>
      </c>
      <c r="F68" s="168">
        <f t="shared" si="9"/>
        <v>-1386.8887199999999</v>
      </c>
      <c r="G68" s="168">
        <f t="shared" si="9"/>
        <v>-455.30688000000004</v>
      </c>
      <c r="H68" s="168">
        <f t="shared" si="10"/>
        <v>0</v>
      </c>
      <c r="I68" s="168">
        <f t="shared" si="11"/>
        <v>170.74008000000001</v>
      </c>
      <c r="J68" s="168">
        <f t="shared" si="14"/>
        <v>-1548.64248</v>
      </c>
      <c r="M68" s="168"/>
    </row>
    <row r="69" spans="1:13">
      <c r="A69" s="180" t="s">
        <v>134</v>
      </c>
      <c r="C69" s="168">
        <f t="shared" si="12"/>
        <v>0</v>
      </c>
      <c r="D69" s="168">
        <f t="shared" si="13"/>
        <v>-6806.3352000000004</v>
      </c>
      <c r="E69" s="168">
        <f t="shared" si="8"/>
        <v>0</v>
      </c>
      <c r="F69" s="168">
        <f t="shared" si="9"/>
        <v>-62277.967080000002</v>
      </c>
      <c r="G69" s="168">
        <f t="shared" si="9"/>
        <v>-18717.4218</v>
      </c>
      <c r="H69" s="168">
        <f t="shared" si="10"/>
        <v>0</v>
      </c>
      <c r="I69" s="168">
        <f t="shared" si="11"/>
        <v>10039.344420000001</v>
      </c>
      <c r="J69" s="168">
        <f t="shared" si="14"/>
        <v>-77762.379660000006</v>
      </c>
      <c r="M69" s="168"/>
    </row>
    <row r="70" spans="1:13">
      <c r="A70" s="180" t="s">
        <v>135</v>
      </c>
      <c r="C70" s="168">
        <f t="shared" si="12"/>
        <v>258.63947999999999</v>
      </c>
      <c r="D70" s="168">
        <f t="shared" si="13"/>
        <v>-127.72320000000001</v>
      </c>
      <c r="E70" s="168">
        <f t="shared" si="8"/>
        <v>0</v>
      </c>
      <c r="F70" s="168">
        <f t="shared" si="9"/>
        <v>-1168.6672800000001</v>
      </c>
      <c r="G70" s="168">
        <f t="shared" si="9"/>
        <v>-351.23880000000003</v>
      </c>
      <c r="H70" s="168">
        <f t="shared" si="10"/>
        <v>0</v>
      </c>
      <c r="I70" s="168">
        <f t="shared" si="11"/>
        <v>188.39172000000002</v>
      </c>
      <c r="J70" s="168">
        <f>SUM(C70:I70)</f>
        <v>-1200.5980800000002</v>
      </c>
      <c r="M70" s="168"/>
    </row>
    <row r="71" spans="1:13">
      <c r="A71" s="180" t="s">
        <v>136</v>
      </c>
      <c r="C71" s="168">
        <f t="shared" si="12"/>
        <v>0</v>
      </c>
      <c r="D71" s="168">
        <f t="shared" si="13"/>
        <v>0</v>
      </c>
      <c r="E71" s="168">
        <f>$H9*E56+$H10*E57</f>
        <v>0</v>
      </c>
      <c r="F71" s="168">
        <f>$H9*F56+$H10*F57</f>
        <v>22491.279439999998</v>
      </c>
      <c r="G71" s="168">
        <f>($H9*G56)</f>
        <v>6689.2167300000001</v>
      </c>
      <c r="H71" s="168">
        <f>$H9*H56+$H10*H57</f>
        <v>0</v>
      </c>
      <c r="I71" s="168">
        <f>$H9*I56+$H10*I57</f>
        <v>-5525.8746899999996</v>
      </c>
      <c r="J71" s="168">
        <f t="shared" si="14"/>
        <v>23654.621479999998</v>
      </c>
      <c r="M71" s="168"/>
    </row>
    <row r="72" spans="1:13">
      <c r="A72" s="180" t="s">
        <v>180</v>
      </c>
      <c r="C72" s="168">
        <f t="shared" si="12"/>
        <v>0</v>
      </c>
      <c r="D72" s="168">
        <f t="shared" si="13"/>
        <v>0</v>
      </c>
      <c r="E72" s="168">
        <f>$H11*E58</f>
        <v>0</v>
      </c>
      <c r="F72" s="168">
        <f>($H11*F57)</f>
        <v>0</v>
      </c>
      <c r="G72" s="168">
        <f>($H10*G57)</f>
        <v>0</v>
      </c>
      <c r="H72" s="168">
        <f t="shared" ref="H72:I74" si="15">$H11*H58</f>
        <v>0</v>
      </c>
      <c r="I72" s="168">
        <f t="shared" si="15"/>
        <v>0</v>
      </c>
      <c r="J72" s="168">
        <f t="shared" si="14"/>
        <v>0</v>
      </c>
      <c r="M72" s="168"/>
    </row>
    <row r="73" spans="1:13">
      <c r="A73" s="180" t="s">
        <v>137</v>
      </c>
      <c r="C73" s="168">
        <f t="shared" si="12"/>
        <v>0</v>
      </c>
      <c r="D73" s="168">
        <f t="shared" si="13"/>
        <v>0</v>
      </c>
      <c r="E73" s="168">
        <f>$H12*E59</f>
        <v>0</v>
      </c>
      <c r="F73" s="168">
        <f>($H12*F58)</f>
        <v>1207.3991599999999</v>
      </c>
      <c r="G73" s="168">
        <f>($H11*G58)</f>
        <v>0</v>
      </c>
      <c r="H73" s="168">
        <f t="shared" si="15"/>
        <v>0</v>
      </c>
      <c r="I73" s="168">
        <f t="shared" si="15"/>
        <v>-215.98635999999999</v>
      </c>
      <c r="J73" s="168">
        <f t="shared" si="14"/>
        <v>991.41279999999995</v>
      </c>
      <c r="M73" s="168"/>
    </row>
    <row r="74" spans="1:13">
      <c r="A74" s="180" t="s">
        <v>138</v>
      </c>
      <c r="C74" s="168">
        <f t="shared" si="12"/>
        <v>0</v>
      </c>
      <c r="D74" s="168">
        <f t="shared" si="13"/>
        <v>141.63040000000001</v>
      </c>
      <c r="E74" s="168">
        <f>$H13*E60</f>
        <v>0</v>
      </c>
      <c r="F74" s="168">
        <f>($H13*F59)</f>
        <v>-85.40003999999999</v>
      </c>
      <c r="G74" s="168">
        <f>($H12*G59)</f>
        <v>339.91296</v>
      </c>
      <c r="H74" s="168">
        <f t="shared" si="15"/>
        <v>0</v>
      </c>
      <c r="I74" s="168">
        <f t="shared" si="15"/>
        <v>15.27684</v>
      </c>
      <c r="J74" s="168">
        <f t="shared" si="14"/>
        <v>411.42016000000001</v>
      </c>
      <c r="M74" s="168"/>
    </row>
    <row r="75" spans="1:13">
      <c r="A75" s="180" t="s">
        <v>192</v>
      </c>
      <c r="C75" s="168">
        <f t="shared" si="12"/>
        <v>20.285639999999997</v>
      </c>
      <c r="D75" s="168">
        <f t="shared" si="13"/>
        <v>-10.0176</v>
      </c>
      <c r="E75" s="168">
        <f>($H14+$H15)*E61</f>
        <v>0</v>
      </c>
      <c r="F75" s="168">
        <f>($H14*F60)</f>
        <v>0</v>
      </c>
      <c r="G75" s="168">
        <f>($H13*G60)</f>
        <v>-24.04224</v>
      </c>
      <c r="H75" s="168">
        <f>($H14+$H15)*H61</f>
        <v>0</v>
      </c>
      <c r="I75" s="168">
        <f>($H14+$H15)*I61</f>
        <v>0</v>
      </c>
      <c r="J75" s="168">
        <f t="shared" si="14"/>
        <v>-13.774200000000002</v>
      </c>
      <c r="M75" s="168"/>
    </row>
    <row r="76" spans="1:13">
      <c r="A76" s="157"/>
      <c r="C76" s="193">
        <f>SUM(C65:C75)</f>
        <v>14135.505209999999</v>
      </c>
      <c r="D76" s="193">
        <f t="shared" ref="D76:I76" si="16">SUM(D65:D75)</f>
        <v>-83617.776050000015</v>
      </c>
      <c r="E76" s="193">
        <f t="shared" si="16"/>
        <v>742.31079000000011</v>
      </c>
      <c r="F76" s="193">
        <f t="shared" si="16"/>
        <v>-121062.74079000001</v>
      </c>
      <c r="G76" s="193">
        <f t="shared" si="16"/>
        <v>-37397.337160000003</v>
      </c>
      <c r="H76" s="193">
        <f t="shared" si="16"/>
        <v>0</v>
      </c>
      <c r="I76" s="193">
        <f t="shared" si="16"/>
        <v>16963.607989999997</v>
      </c>
      <c r="J76" s="193">
        <f>SUM(J65:J75)</f>
        <v>-210236.43001000001</v>
      </c>
    </row>
    <row r="77" spans="1:13" ht="15.75" customHeight="1"/>
    <row r="78" spans="1:13">
      <c r="A78" s="152" t="s">
        <v>19</v>
      </c>
      <c r="B78" s="152"/>
      <c r="C78" s="168">
        <f>C65+C66</f>
        <v>13613.94945</v>
      </c>
      <c r="D78" s="168">
        <f t="shared" ref="D78:I78" si="17">D65+D66</f>
        <v>-74792.68525000001</v>
      </c>
      <c r="E78" s="168">
        <f t="shared" si="17"/>
        <v>742.31079000000011</v>
      </c>
      <c r="F78" s="168">
        <f t="shared" si="17"/>
        <v>-57817.266799999998</v>
      </c>
      <c r="G78" s="168">
        <f t="shared" si="17"/>
        <v>-17647.71225</v>
      </c>
      <c r="H78" s="168">
        <f t="shared" si="17"/>
        <v>0</v>
      </c>
      <c r="I78" s="168">
        <f t="shared" si="17"/>
        <v>9580.1866499999996</v>
      </c>
      <c r="J78" s="168">
        <f>J65+J66</f>
        <v>-126321.21741</v>
      </c>
    </row>
    <row r="79" spans="1:13">
      <c r="A79" s="152"/>
      <c r="B79" s="152"/>
      <c r="C79" s="168"/>
      <c r="D79" s="168"/>
      <c r="E79" s="168"/>
      <c r="F79" s="168"/>
      <c r="G79" s="168"/>
      <c r="H79" s="168"/>
      <c r="I79" s="168"/>
      <c r="J79" s="168"/>
    </row>
    <row r="80" spans="1:13">
      <c r="A80" s="152" t="s">
        <v>184</v>
      </c>
      <c r="B80" s="152"/>
      <c r="C80" s="176">
        <f>SUM(C67:C70,C72:C74)</f>
        <v>501.27012000000002</v>
      </c>
      <c r="D80" s="176">
        <f t="shared" ref="D80:I80" si="18">SUM(D67:D70,D72:D74)</f>
        <v>-8815.0732000000007</v>
      </c>
      <c r="E80" s="176">
        <f t="shared" si="18"/>
        <v>0</v>
      </c>
      <c r="F80" s="176">
        <f t="shared" si="18"/>
        <v>-85736.753429999982</v>
      </c>
      <c r="G80" s="176">
        <f t="shared" si="18"/>
        <v>-26414.799399999996</v>
      </c>
      <c r="H80" s="176">
        <f t="shared" si="18"/>
        <v>0</v>
      </c>
      <c r="I80" s="176">
        <f t="shared" si="18"/>
        <v>12909.296030000001</v>
      </c>
      <c r="J80" s="176">
        <f>SUM(J67:J70,J72:J74)</f>
        <v>-107556.05988</v>
      </c>
    </row>
    <row r="81" spans="1:6" ht="15.75" customHeight="1"/>
    <row r="82" spans="1:6" ht="14.4">
      <c r="A82" s="151" t="s">
        <v>215</v>
      </c>
      <c r="B82" s="151"/>
      <c r="C82" s="151"/>
      <c r="D82" s="151"/>
      <c r="E82" s="151"/>
      <c r="F82" s="151"/>
    </row>
    <row r="83" spans="1:6" ht="14.4">
      <c r="A83" s="151" t="s">
        <v>223</v>
      </c>
      <c r="B83" s="151"/>
      <c r="C83" s="151"/>
      <c r="D83" s="151"/>
      <c r="E83" s="151"/>
      <c r="F83" s="151"/>
    </row>
    <row r="84" spans="1:6" ht="14.4">
      <c r="A84" s="170" t="s">
        <v>222</v>
      </c>
      <c r="B84" s="170"/>
      <c r="C84" s="170"/>
      <c r="D84" s="170"/>
      <c r="E84" s="170"/>
      <c r="F84" s="151"/>
    </row>
    <row r="85" spans="1:6" ht="28.8">
      <c r="A85" s="170"/>
      <c r="B85" s="197" t="s">
        <v>216</v>
      </c>
      <c r="C85" s="197" t="s">
        <v>217</v>
      </c>
      <c r="D85" s="197" t="s">
        <v>218</v>
      </c>
      <c r="E85" s="197" t="s">
        <v>221</v>
      </c>
      <c r="F85" s="151"/>
    </row>
    <row r="86" spans="1:6" ht="14.4">
      <c r="A86" s="170" t="s">
        <v>226</v>
      </c>
      <c r="B86" s="198">
        <v>1</v>
      </c>
      <c r="C86" s="199">
        <v>979473.6</v>
      </c>
      <c r="D86" s="200">
        <f>79873.45-C86*SUM($C$54:$K$54)</f>
        <v>75397.255647999991</v>
      </c>
      <c r="E86" s="200">
        <v>500</v>
      </c>
      <c r="F86" s="201" t="s">
        <v>219</v>
      </c>
    </row>
    <row r="87" spans="1:6" ht="28.8">
      <c r="A87" s="202" t="s">
        <v>220</v>
      </c>
      <c r="B87" s="203">
        <f>SUM(B86:B86)</f>
        <v>1</v>
      </c>
      <c r="C87" s="204">
        <f>SUM(C86:C86)</f>
        <v>979473.6</v>
      </c>
      <c r="D87" s="205">
        <f>SUM(D86:D86)</f>
        <v>75397.255647999991</v>
      </c>
      <c r="E87" s="205">
        <f>SUM(E86:E86)</f>
        <v>500</v>
      </c>
      <c r="F87" s="151"/>
    </row>
    <row r="88" spans="1:6" ht="9" customHeight="1">
      <c r="A88" s="170"/>
      <c r="B88" s="170"/>
      <c r="C88" s="170"/>
      <c r="D88" s="170"/>
      <c r="E88" s="170"/>
      <c r="F88" s="151"/>
    </row>
    <row r="89" spans="1:6" ht="14.4">
      <c r="A89" s="206" t="s">
        <v>224</v>
      </c>
      <c r="B89" s="206"/>
      <c r="C89" s="206"/>
      <c r="D89" s="206"/>
      <c r="E89" s="206"/>
      <c r="F89" s="151"/>
    </row>
  </sheetData>
  <mergeCells count="2">
    <mergeCell ref="A1:I1"/>
    <mergeCell ref="G61:G62"/>
  </mergeCells>
  <pageMargins left="0.7" right="0.7" top="0.66" bottom="0.64" header="0.3" footer="0.3"/>
  <pageSetup scale="75" fitToHeight="2" orientation="landscape" r:id="rId1"/>
  <headerFooter>
    <oddFooter>&amp;L&amp;F / &amp;A&amp;RPage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K40"/>
  <sheetViews>
    <sheetView tabSelected="1" workbookViewId="0">
      <selection activeCell="E9" sqref="E9"/>
    </sheetView>
  </sheetViews>
  <sheetFormatPr defaultColWidth="9.109375" defaultRowHeight="15.6"/>
  <cols>
    <col min="1" max="1" width="5.33203125" style="3" customWidth="1"/>
    <col min="2" max="2" width="9.109375" style="2"/>
    <col min="3" max="3" width="22.5546875" style="2" customWidth="1"/>
    <col min="4" max="4" width="17.33203125" style="2" customWidth="1"/>
    <col min="5" max="5" width="17.6640625" style="2" customWidth="1"/>
    <col min="6" max="6" width="16.88671875" style="2" customWidth="1"/>
    <col min="7" max="7" width="17.6640625" style="2" customWidth="1"/>
    <col min="8" max="8" width="16.33203125" style="2" customWidth="1"/>
    <col min="9" max="10" width="17.33203125" style="2" customWidth="1"/>
    <col min="11" max="11" width="16.5546875" style="2" customWidth="1"/>
    <col min="12" max="16384" width="9.109375" style="2"/>
  </cols>
  <sheetData>
    <row r="1" spans="1:11">
      <c r="A1" s="385" t="s">
        <v>20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>
      <c r="A2" s="385" t="s">
        <v>52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>
      <c r="A3" s="386" t="s">
        <v>76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</row>
    <row r="4" spans="1:11">
      <c r="A4" s="393" t="s">
        <v>270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</row>
    <row r="5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>
      <c r="A6" s="7"/>
      <c r="B6" s="8"/>
      <c r="C6" s="8"/>
      <c r="D6" s="8"/>
      <c r="E6" s="9" t="s">
        <v>21</v>
      </c>
      <c r="F6" s="9" t="s">
        <v>22</v>
      </c>
      <c r="G6" s="9" t="s">
        <v>23</v>
      </c>
      <c r="H6" s="9" t="s">
        <v>24</v>
      </c>
      <c r="I6" s="9" t="s">
        <v>26</v>
      </c>
      <c r="J6" s="102" t="s">
        <v>25</v>
      </c>
      <c r="K6" s="9" t="s">
        <v>27</v>
      </c>
    </row>
    <row r="7" spans="1:11">
      <c r="A7" s="7"/>
      <c r="B7" s="8"/>
      <c r="C7" s="8"/>
      <c r="D7" s="8"/>
      <c r="E7" s="238" t="s">
        <v>28</v>
      </c>
      <c r="F7" s="238" t="s">
        <v>271</v>
      </c>
      <c r="G7" s="238" t="s">
        <v>29</v>
      </c>
      <c r="H7" s="238" t="s">
        <v>30</v>
      </c>
      <c r="I7" s="238" t="s">
        <v>32</v>
      </c>
      <c r="J7" s="103" t="s">
        <v>31</v>
      </c>
      <c r="K7" s="238" t="s">
        <v>33</v>
      </c>
    </row>
    <row r="8" spans="1:11">
      <c r="A8" s="7"/>
      <c r="B8" s="8"/>
      <c r="C8" s="8"/>
      <c r="D8" s="8"/>
      <c r="E8" s="8"/>
      <c r="F8" s="8"/>
      <c r="G8" s="8"/>
      <c r="H8" s="8"/>
      <c r="I8" s="8"/>
      <c r="J8" s="104"/>
      <c r="K8" s="105"/>
    </row>
    <row r="9" spans="1:11">
      <c r="A9" s="7">
        <v>1</v>
      </c>
      <c r="B9" s="8" t="s">
        <v>272</v>
      </c>
      <c r="C9" s="8"/>
      <c r="D9" s="8"/>
      <c r="E9" s="10">
        <f>SUM(F9:K9)</f>
        <v>492134000</v>
      </c>
      <c r="F9" s="55">
        <v>209489000</v>
      </c>
      <c r="G9" s="55">
        <v>73766000</v>
      </c>
      <c r="H9" s="55">
        <v>126766000</v>
      </c>
      <c r="I9" s="55">
        <v>10894000</v>
      </c>
      <c r="J9" s="106">
        <v>64348000</v>
      </c>
      <c r="K9" s="107">
        <v>6871000</v>
      </c>
    </row>
    <row r="10" spans="1:11">
      <c r="A10" s="7">
        <v>2</v>
      </c>
      <c r="B10" s="239" t="s">
        <v>143</v>
      </c>
      <c r="C10" s="8"/>
      <c r="D10" s="8"/>
      <c r="E10" s="10">
        <f>SUM(F10:K10)</f>
        <v>10763000</v>
      </c>
      <c r="F10" s="55">
        <v>4904000</v>
      </c>
      <c r="G10" s="55">
        <v>1291000</v>
      </c>
      <c r="H10" s="55">
        <v>2775000</v>
      </c>
      <c r="I10" s="55">
        <v>238000</v>
      </c>
      <c r="J10" s="106">
        <v>1405000</v>
      </c>
      <c r="K10" s="107">
        <v>150000</v>
      </c>
    </row>
    <row r="11" spans="1:11">
      <c r="A11" s="7">
        <v>3</v>
      </c>
      <c r="B11" s="8" t="s">
        <v>273</v>
      </c>
      <c r="C11" s="8"/>
      <c r="D11" s="8"/>
      <c r="E11" s="10">
        <f>SUM(F11:K11)</f>
        <v>502897000</v>
      </c>
      <c r="F11" s="10">
        <f t="shared" ref="F11:K11" si="0">F9+F10</f>
        <v>214393000</v>
      </c>
      <c r="G11" s="10">
        <f t="shared" si="0"/>
        <v>75057000</v>
      </c>
      <c r="H11" s="10">
        <f t="shared" si="0"/>
        <v>129541000</v>
      </c>
      <c r="I11" s="10">
        <f t="shared" si="0"/>
        <v>11132000</v>
      </c>
      <c r="J11" s="108">
        <f>J9+J10</f>
        <v>65753000</v>
      </c>
      <c r="K11" s="109">
        <f t="shared" si="0"/>
        <v>7021000</v>
      </c>
    </row>
    <row r="12" spans="1:11">
      <c r="A12" s="7"/>
      <c r="B12" s="8"/>
      <c r="C12" s="8"/>
      <c r="D12" s="8"/>
      <c r="E12" s="10"/>
      <c r="F12" s="10"/>
      <c r="G12" s="10"/>
      <c r="H12" s="10"/>
      <c r="I12" s="10"/>
      <c r="J12" s="108"/>
      <c r="K12" s="109"/>
    </row>
    <row r="13" spans="1:11">
      <c r="A13" s="7">
        <v>4</v>
      </c>
      <c r="B13" s="8" t="s">
        <v>274</v>
      </c>
      <c r="C13" s="8"/>
      <c r="D13" s="8"/>
      <c r="E13" s="11">
        <f>SUM(F13:K13)</f>
        <v>5658613712</v>
      </c>
      <c r="F13" s="12">
        <v>2361885989</v>
      </c>
      <c r="G13" s="12">
        <v>623243883</v>
      </c>
      <c r="H13" s="12">
        <v>1409459201</v>
      </c>
      <c r="I13" s="12">
        <v>133495310</v>
      </c>
      <c r="J13" s="110">
        <v>1107408158</v>
      </c>
      <c r="K13" s="111">
        <v>23121171</v>
      </c>
    </row>
    <row r="14" spans="1:11">
      <c r="A14" s="7">
        <v>5</v>
      </c>
      <c r="B14" s="8" t="s">
        <v>144</v>
      </c>
      <c r="C14" s="8"/>
      <c r="D14" s="13"/>
      <c r="E14" s="13">
        <f t="shared" ref="E14:K14" si="1">$E$27</f>
        <v>1.9E-2</v>
      </c>
      <c r="F14" s="13">
        <f t="shared" si="1"/>
        <v>1.9E-2</v>
      </c>
      <c r="G14" s="13">
        <f t="shared" si="1"/>
        <v>1.9E-2</v>
      </c>
      <c r="H14" s="13">
        <f t="shared" si="1"/>
        <v>1.9E-2</v>
      </c>
      <c r="I14" s="13">
        <f t="shared" si="1"/>
        <v>1.9E-2</v>
      </c>
      <c r="J14" s="112">
        <f t="shared" si="1"/>
        <v>1.9E-2</v>
      </c>
      <c r="K14" s="113">
        <f t="shared" si="1"/>
        <v>1.9E-2</v>
      </c>
    </row>
    <row r="15" spans="1:11">
      <c r="A15" s="7">
        <v>6</v>
      </c>
      <c r="B15" s="8" t="s">
        <v>58</v>
      </c>
      <c r="C15" s="8"/>
      <c r="D15" s="13"/>
      <c r="E15" s="10">
        <f>SUM(F15:K15)</f>
        <v>107513660.528</v>
      </c>
      <c r="F15" s="10">
        <f t="shared" ref="F15:K15" si="2">F14*F13</f>
        <v>44875833.791000001</v>
      </c>
      <c r="G15" s="10">
        <f t="shared" si="2"/>
        <v>11841633.776999999</v>
      </c>
      <c r="H15" s="10">
        <f t="shared" si="2"/>
        <v>26779724.818999998</v>
      </c>
      <c r="I15" s="10">
        <f t="shared" si="2"/>
        <v>2536410.89</v>
      </c>
      <c r="J15" s="108">
        <f t="shared" si="2"/>
        <v>21040755.002</v>
      </c>
      <c r="K15" s="109">
        <f t="shared" si="2"/>
        <v>439302.24900000001</v>
      </c>
    </row>
    <row r="16" spans="1:11">
      <c r="A16" s="7"/>
      <c r="B16" s="8"/>
      <c r="C16" s="8"/>
      <c r="D16" s="8"/>
      <c r="E16" s="10"/>
      <c r="F16" s="10"/>
      <c r="G16" s="10"/>
      <c r="H16" s="10"/>
      <c r="I16" s="10"/>
      <c r="J16" s="108"/>
      <c r="K16" s="109"/>
    </row>
    <row r="17" spans="1:11">
      <c r="A17" s="7">
        <v>7</v>
      </c>
      <c r="B17" s="8" t="s">
        <v>61</v>
      </c>
      <c r="C17" s="8"/>
      <c r="D17" s="8"/>
      <c r="E17" s="10">
        <f>SUM(F17:K17)</f>
        <v>344089396.72299999</v>
      </c>
      <c r="F17" s="14">
        <f>F11-F15</f>
        <v>169517166.20899999</v>
      </c>
      <c r="G17" s="14">
        <f>G11-G15</f>
        <v>63215366.223000005</v>
      </c>
      <c r="H17" s="14">
        <f>H11-H15</f>
        <v>102761275.18099999</v>
      </c>
      <c r="I17" s="14">
        <f>I11-I15</f>
        <v>8595589.1099999994</v>
      </c>
      <c r="J17" s="104"/>
      <c r="K17" s="105"/>
    </row>
    <row r="18" spans="1:11">
      <c r="A18" s="7"/>
      <c r="B18" s="8"/>
      <c r="C18" s="8"/>
      <c r="D18" s="8"/>
      <c r="E18" s="8"/>
      <c r="F18" s="8"/>
      <c r="G18" s="8"/>
      <c r="H18" s="8"/>
      <c r="I18" s="8"/>
      <c r="J18" s="104"/>
      <c r="K18" s="105"/>
    </row>
    <row r="19" spans="1:11">
      <c r="A19" s="7">
        <v>8</v>
      </c>
      <c r="B19" s="8" t="s">
        <v>275</v>
      </c>
      <c r="C19" s="8"/>
      <c r="D19" s="8"/>
      <c r="E19" s="11">
        <f>SUM(F19:K19)</f>
        <v>2945836</v>
      </c>
      <c r="F19" s="15">
        <v>2518371</v>
      </c>
      <c r="G19" s="15">
        <v>375436</v>
      </c>
      <c r="H19" s="15">
        <v>22836</v>
      </c>
      <c r="I19" s="15">
        <v>29193</v>
      </c>
      <c r="J19" s="104"/>
      <c r="K19" s="105"/>
    </row>
    <row r="20" spans="1:11">
      <c r="A20" s="7">
        <v>9</v>
      </c>
      <c r="B20" s="8" t="s">
        <v>145</v>
      </c>
      <c r="C20" s="8"/>
      <c r="D20" s="8"/>
      <c r="E20" s="10"/>
      <c r="F20" s="54">
        <v>9</v>
      </c>
      <c r="G20" s="54">
        <v>20</v>
      </c>
      <c r="H20" s="54">
        <v>500</v>
      </c>
      <c r="I20" s="54">
        <v>20</v>
      </c>
      <c r="J20" s="104"/>
      <c r="K20" s="105"/>
    </row>
    <row r="21" spans="1:11">
      <c r="A21" s="7">
        <v>10</v>
      </c>
      <c r="B21" s="8" t="s">
        <v>59</v>
      </c>
      <c r="C21" s="8"/>
      <c r="D21" s="8"/>
      <c r="E21" s="10">
        <f>SUM(F21:K21)</f>
        <v>42175919</v>
      </c>
      <c r="F21" s="16">
        <f>F20*F19</f>
        <v>22665339</v>
      </c>
      <c r="G21" s="16">
        <f>G20*G19</f>
        <v>7508720</v>
      </c>
      <c r="H21" s="16">
        <f>H20*H19</f>
        <v>11418000</v>
      </c>
      <c r="I21" s="16">
        <f>I20*I19</f>
        <v>583860</v>
      </c>
      <c r="J21" s="104"/>
      <c r="K21" s="105"/>
    </row>
    <row r="22" spans="1:11">
      <c r="A22" s="7"/>
      <c r="B22" s="8"/>
      <c r="C22" s="8"/>
      <c r="D22" s="8"/>
      <c r="E22" s="10"/>
      <c r="F22" s="16"/>
      <c r="G22" s="16"/>
      <c r="H22" s="16"/>
      <c r="I22" s="16"/>
      <c r="J22" s="383" t="s">
        <v>78</v>
      </c>
      <c r="K22" s="384"/>
    </row>
    <row r="23" spans="1:11">
      <c r="A23" s="7">
        <v>11</v>
      </c>
      <c r="B23" s="8" t="s">
        <v>60</v>
      </c>
      <c r="C23" s="8"/>
      <c r="D23" s="8"/>
      <c r="E23" s="10">
        <f>SUM(F23:K23)</f>
        <v>301913477.72299999</v>
      </c>
      <c r="F23" s="14">
        <f>F17-F21</f>
        <v>146851827.20899999</v>
      </c>
      <c r="G23" s="14">
        <f>G17-G21</f>
        <v>55706646.223000005</v>
      </c>
      <c r="H23" s="14">
        <f>H17-H21</f>
        <v>91343275.180999994</v>
      </c>
      <c r="I23" s="14">
        <f>I17-I21</f>
        <v>8011729.1099999994</v>
      </c>
      <c r="J23" s="383"/>
      <c r="K23" s="384"/>
    </row>
    <row r="24" spans="1:11">
      <c r="A24" s="7"/>
      <c r="B24" s="8"/>
      <c r="C24" s="8"/>
      <c r="D24" s="8"/>
      <c r="E24" s="8"/>
      <c r="F24" s="11"/>
      <c r="G24" s="8"/>
      <c r="H24" s="8"/>
      <c r="I24" s="8"/>
      <c r="J24" s="8"/>
      <c r="K24" s="8"/>
    </row>
    <row r="25" spans="1:11">
      <c r="A25" s="7">
        <v>12</v>
      </c>
      <c r="B25" s="8" t="s">
        <v>146</v>
      </c>
      <c r="C25" s="8"/>
      <c r="D25" s="8"/>
      <c r="E25" s="114">
        <v>1.8110000000000001E-2</v>
      </c>
      <c r="F25" s="8"/>
      <c r="G25" s="8"/>
      <c r="H25" s="8"/>
      <c r="I25" s="8"/>
      <c r="J25" s="8"/>
      <c r="K25" s="8"/>
    </row>
    <row r="26" spans="1:11">
      <c r="A26" s="7">
        <v>13</v>
      </c>
      <c r="B26" s="8" t="s">
        <v>55</v>
      </c>
      <c r="C26" s="8"/>
      <c r="D26" s="8"/>
      <c r="E26" s="18">
        <f>1/'Attachment 4, Page 4'!E22</f>
        <v>1.0489624188234208</v>
      </c>
      <c r="F26" s="19"/>
      <c r="G26" s="8"/>
      <c r="H26" s="19"/>
      <c r="I26" s="8"/>
      <c r="J26" s="8"/>
      <c r="K26" s="8"/>
    </row>
    <row r="27" spans="1:11">
      <c r="A27" s="7">
        <v>14</v>
      </c>
      <c r="B27" s="8" t="s">
        <v>147</v>
      </c>
      <c r="C27" s="8"/>
      <c r="D27" s="8"/>
      <c r="E27" s="17">
        <f>ROUND(E25*E26,5)</f>
        <v>1.9E-2</v>
      </c>
      <c r="F27" s="19"/>
      <c r="G27" s="8"/>
      <c r="H27" s="19"/>
      <c r="I27" s="8"/>
      <c r="J27" s="8"/>
      <c r="K27" s="8"/>
    </row>
    <row r="28" spans="1:11">
      <c r="F28" s="4"/>
    </row>
    <row r="29" spans="1:11">
      <c r="F29" s="6" t="s">
        <v>19</v>
      </c>
      <c r="G29" s="2" t="s">
        <v>57</v>
      </c>
      <c r="H29" s="6"/>
    </row>
    <row r="30" spans="1:11">
      <c r="A30" s="3">
        <v>15</v>
      </c>
      <c r="B30" s="2" t="s">
        <v>65</v>
      </c>
      <c r="F30" s="47">
        <f>ROUND(F19/12,0)</f>
        <v>209864</v>
      </c>
      <c r="G30" s="47">
        <f>ROUND((G19+H19+I19)/12,0)</f>
        <v>35622</v>
      </c>
    </row>
    <row r="31" spans="1:11">
      <c r="A31" s="3">
        <v>16</v>
      </c>
      <c r="B31" s="2" t="s">
        <v>64</v>
      </c>
      <c r="F31" s="48">
        <f>F13</f>
        <v>2361885989</v>
      </c>
      <c r="G31" s="48">
        <f>G13+H13+I13</f>
        <v>2166198394</v>
      </c>
    </row>
    <row r="32" spans="1:11">
      <c r="A32" s="3">
        <v>17</v>
      </c>
      <c r="B32" s="2" t="s">
        <v>62</v>
      </c>
      <c r="F32" s="48">
        <f>F21</f>
        <v>22665339</v>
      </c>
      <c r="G32" s="48">
        <f>G21+H21+I21</f>
        <v>19510580</v>
      </c>
    </row>
    <row r="33" spans="1:9">
      <c r="A33" s="3">
        <v>18</v>
      </c>
      <c r="B33" s="2" t="s">
        <v>34</v>
      </c>
      <c r="F33" s="5">
        <f>F19</f>
        <v>2518371</v>
      </c>
      <c r="G33" s="5">
        <f>G19+H19+I19</f>
        <v>427465</v>
      </c>
    </row>
    <row r="34" spans="1:9">
      <c r="A34" s="3">
        <v>19</v>
      </c>
      <c r="B34" s="2" t="s">
        <v>63</v>
      </c>
      <c r="F34" s="49">
        <f>F32/F33</f>
        <v>9</v>
      </c>
      <c r="G34" s="49">
        <f>G32/G33</f>
        <v>45.642520440269962</v>
      </c>
    </row>
    <row r="35" spans="1:9">
      <c r="F35" s="49"/>
      <c r="G35" s="49"/>
    </row>
    <row r="36" spans="1:9">
      <c r="A36" s="245" t="s">
        <v>151</v>
      </c>
      <c r="F36" s="49"/>
      <c r="G36" s="49"/>
    </row>
    <row r="37" spans="1:9">
      <c r="F37" s="49"/>
      <c r="G37" s="49"/>
    </row>
    <row r="38" spans="1:9">
      <c r="D38" s="2" t="s">
        <v>148</v>
      </c>
    </row>
    <row r="39" spans="1:9">
      <c r="D39" s="2" t="s">
        <v>149</v>
      </c>
      <c r="F39" s="115">
        <f>F23/F13</f>
        <v>6.2175662962959385E-2</v>
      </c>
      <c r="G39" s="115">
        <f>G23/G13</f>
        <v>8.9381777731784018E-2</v>
      </c>
      <c r="H39" s="115">
        <f>H23/H13</f>
        <v>6.4807321216671376E-2</v>
      </c>
      <c r="I39" s="115">
        <f>I23/I13</f>
        <v>6.0015060529092744E-2</v>
      </c>
    </row>
    <row r="40" spans="1:9">
      <c r="D40" s="2" t="s">
        <v>150</v>
      </c>
      <c r="F40" s="116">
        <f>F39+F14</f>
        <v>8.1175662962959388E-2</v>
      </c>
      <c r="G40" s="116">
        <f>G39+G14</f>
        <v>0.10838177773178402</v>
      </c>
      <c r="H40" s="116">
        <f>H39+H14</f>
        <v>8.3807321216671379E-2</v>
      </c>
      <c r="I40" s="116">
        <f>I39+I14</f>
        <v>7.901506052909274E-2</v>
      </c>
    </row>
  </sheetData>
  <mergeCells count="5">
    <mergeCell ref="A1:K1"/>
    <mergeCell ref="A2:K2"/>
    <mergeCell ref="A3:K3"/>
    <mergeCell ref="J22:K23"/>
    <mergeCell ref="A4:K4"/>
  </mergeCells>
  <printOptions horizontalCentered="1"/>
  <pageMargins left="0.6" right="0.6" top="0.75" bottom="0.75" header="0.3" footer="0.61"/>
  <pageSetup scale="71" orientation="landscape" r:id="rId1"/>
  <headerFooter scaleWithDoc="0">
    <oddHeader>&amp;CUE-150204 Final Decoupling Base</oddHeader>
    <oddFooter>&amp;C&amp;12
&amp;R&amp;12 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F24"/>
  <sheetViews>
    <sheetView workbookViewId="0"/>
  </sheetViews>
  <sheetFormatPr defaultColWidth="9.109375" defaultRowHeight="15.6"/>
  <cols>
    <col min="1" max="1" width="6" style="2" customWidth="1"/>
    <col min="2" max="2" width="38" style="2" customWidth="1"/>
    <col min="3" max="3" width="19.33203125" style="2" customWidth="1"/>
    <col min="4" max="4" width="16.88671875" style="2" bestFit="1" customWidth="1"/>
    <col min="5" max="5" width="16.33203125" style="2" customWidth="1"/>
    <col min="6" max="6" width="13.6640625" style="2" bestFit="1" customWidth="1"/>
    <col min="7" max="16384" width="9.109375" style="2"/>
  </cols>
  <sheetData>
    <row r="2" spans="1:6">
      <c r="A2" s="385" t="s">
        <v>20</v>
      </c>
      <c r="B2" s="385"/>
      <c r="C2" s="385"/>
      <c r="D2" s="385"/>
      <c r="E2" s="385"/>
    </row>
    <row r="3" spans="1:6">
      <c r="A3" s="385" t="s">
        <v>52</v>
      </c>
      <c r="B3" s="385"/>
      <c r="C3" s="385"/>
      <c r="D3" s="385"/>
      <c r="E3" s="385"/>
    </row>
    <row r="4" spans="1:6">
      <c r="A4" s="386" t="s">
        <v>73</v>
      </c>
      <c r="B4" s="386"/>
      <c r="C4" s="386"/>
      <c r="D4" s="386"/>
      <c r="E4" s="386"/>
    </row>
    <row r="5" spans="1:6">
      <c r="A5" s="394" t="str">
        <f>'Attachment 4, Page 1'!A4:K4</f>
        <v>Washington Docket No. UE-170485 Compliance Filing</v>
      </c>
      <c r="B5" s="394"/>
      <c r="C5" s="394"/>
      <c r="D5" s="394"/>
      <c r="E5" s="394"/>
    </row>
    <row r="6" spans="1:6">
      <c r="A6" s="24"/>
      <c r="B6" s="24"/>
      <c r="C6" s="24"/>
      <c r="D6" s="24"/>
      <c r="E6" s="24"/>
    </row>
    <row r="7" spans="1:6" ht="46.8">
      <c r="A7" s="117" t="s">
        <v>17</v>
      </c>
      <c r="B7" s="118"/>
      <c r="C7" s="117" t="s">
        <v>16</v>
      </c>
      <c r="D7" s="117" t="s">
        <v>19</v>
      </c>
      <c r="E7" s="117" t="s">
        <v>18</v>
      </c>
    </row>
    <row r="8" spans="1:6">
      <c r="A8" s="24"/>
      <c r="B8" s="25" t="s">
        <v>14</v>
      </c>
      <c r="C8" s="25" t="s">
        <v>13</v>
      </c>
      <c r="D8" s="25" t="s">
        <v>12</v>
      </c>
      <c r="E8" s="25" t="s">
        <v>11</v>
      </c>
    </row>
    <row r="9" spans="1:6" ht="16.2">
      <c r="A9" s="25"/>
      <c r="B9" s="26"/>
      <c r="C9" s="25"/>
      <c r="D9" s="25"/>
      <c r="E9" s="25"/>
    </row>
    <row r="10" spans="1:6" ht="17.25" customHeight="1">
      <c r="A10" s="25">
        <v>1</v>
      </c>
      <c r="B10" s="24" t="s">
        <v>67</v>
      </c>
      <c r="C10" s="25" t="s">
        <v>151</v>
      </c>
      <c r="D10" s="27">
        <f>'Attachment 4, Page 1'!F23</f>
        <v>146851827.20899999</v>
      </c>
      <c r="E10" s="27">
        <f>SUM('Attachment 4, Page 1'!G23:I23)</f>
        <v>155061650.514</v>
      </c>
      <c r="F10" s="4"/>
    </row>
    <row r="11" spans="1:6" ht="17.25" customHeight="1">
      <c r="A11" s="25"/>
      <c r="B11" s="24"/>
      <c r="C11" s="24"/>
      <c r="D11" s="24"/>
      <c r="E11" s="24"/>
    </row>
    <row r="12" spans="1:6" ht="17.25" customHeight="1">
      <c r="A12" s="25">
        <v>2</v>
      </c>
      <c r="B12" s="24" t="s">
        <v>284</v>
      </c>
      <c r="C12" s="25" t="s">
        <v>56</v>
      </c>
      <c r="D12" s="28">
        <f>'Attachment 4, Page 1'!F19/12</f>
        <v>209864.25</v>
      </c>
      <c r="E12" s="28">
        <f>SUM('Attachment 4, Page 1'!G19:I19)/12</f>
        <v>35622.083333333336</v>
      </c>
    </row>
    <row r="13" spans="1:6" ht="17.25" customHeight="1">
      <c r="A13" s="25"/>
      <c r="B13" s="24"/>
      <c r="C13" s="24"/>
      <c r="D13" s="28"/>
      <c r="E13" s="28"/>
    </row>
    <row r="14" spans="1:6" ht="17.25" customHeight="1">
      <c r="A14" s="25">
        <v>3</v>
      </c>
      <c r="B14" s="24" t="s">
        <v>68</v>
      </c>
      <c r="C14" s="25" t="str">
        <f>"("&amp;A10&amp;") / ("&amp;A12&amp;")"</f>
        <v>(1) / (2)</v>
      </c>
      <c r="D14" s="29">
        <f>ROUND(D10/D12,2)</f>
        <v>699.75</v>
      </c>
      <c r="E14" s="29">
        <f>ROUND(E10/E12,2)</f>
        <v>4352.96</v>
      </c>
    </row>
    <row r="15" spans="1:6" ht="17.25" customHeight="1">
      <c r="A15" s="25"/>
      <c r="B15" s="24"/>
      <c r="C15" s="24"/>
      <c r="D15" s="30"/>
      <c r="E15" s="30"/>
    </row>
    <row r="16" spans="1:6" ht="17.25" customHeight="1">
      <c r="A16" s="25"/>
      <c r="B16" s="31" t="s">
        <v>51</v>
      </c>
      <c r="C16" s="24"/>
      <c r="D16" s="24"/>
      <c r="E16" s="24"/>
    </row>
    <row r="19" spans="1:5">
      <c r="A19" s="245" t="s">
        <v>285</v>
      </c>
    </row>
    <row r="20" spans="1:5">
      <c r="B20" s="52" t="s">
        <v>69</v>
      </c>
    </row>
    <row r="21" spans="1:5">
      <c r="B21" s="52" t="s">
        <v>70</v>
      </c>
      <c r="D21" s="27">
        <f>D12*D14</f>
        <v>146852508.9375</v>
      </c>
      <c r="E21" s="27">
        <f>E12*E14</f>
        <v>155061503.86666667</v>
      </c>
    </row>
    <row r="22" spans="1:5">
      <c r="B22" s="52" t="s">
        <v>72</v>
      </c>
      <c r="D22" s="27">
        <f>'Attachment 4, Page 1'!F32</f>
        <v>22665339</v>
      </c>
      <c r="E22" s="27">
        <f>'Attachment 4, Page 1'!G32</f>
        <v>19510580</v>
      </c>
    </row>
    <row r="23" spans="1:5">
      <c r="B23" s="52" t="s">
        <v>71</v>
      </c>
      <c r="D23" s="27">
        <f>'Attachment 4, Page 1'!F15</f>
        <v>44875833.791000001</v>
      </c>
      <c r="E23" s="27">
        <f>'Attachment 4, Page 1'!G15+'Attachment 4, Page 1'!H15+'Attachment 4, Page 1'!I15</f>
        <v>41157769.486000001</v>
      </c>
    </row>
    <row r="24" spans="1:5">
      <c r="B24" s="52" t="s">
        <v>15</v>
      </c>
      <c r="D24" s="53">
        <f>SUM(D21:D23)</f>
        <v>214393681.72850001</v>
      </c>
      <c r="E24" s="53">
        <f>SUM(E21:E23)</f>
        <v>215729853.35266668</v>
      </c>
    </row>
  </sheetData>
  <mergeCells count="4">
    <mergeCell ref="A2:E2"/>
    <mergeCell ref="A3:E3"/>
    <mergeCell ref="A4:E4"/>
    <mergeCell ref="A5:E5"/>
  </mergeCells>
  <printOptions horizontalCentered="1"/>
  <pageMargins left="0.6" right="0.6" top="0.75" bottom="0.75" header="0.3" footer="0.6"/>
  <pageSetup orientation="landscape" r:id="rId1"/>
  <headerFooter scaleWithDoc="0">
    <oddHeader>&amp;CUE-150204 Final Decoupling Base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7"/>
  <sheetViews>
    <sheetView topLeftCell="D3" workbookViewId="0">
      <selection activeCell="J14" sqref="J14"/>
    </sheetView>
  </sheetViews>
  <sheetFormatPr defaultColWidth="9.109375" defaultRowHeight="13.8"/>
  <cols>
    <col min="1" max="1" width="5.6640625" style="1" customWidth="1"/>
    <col min="2" max="2" width="26.33203125" style="1" customWidth="1"/>
    <col min="3" max="3" width="16.88671875" style="1" customWidth="1"/>
    <col min="4" max="4" width="12.5546875" style="1" customWidth="1"/>
    <col min="5" max="5" width="12.6640625" style="1" customWidth="1"/>
    <col min="6" max="6" width="12.5546875" style="1" customWidth="1"/>
    <col min="7" max="7" width="12.33203125" style="1" customWidth="1"/>
    <col min="8" max="9" width="12.5546875" style="1" customWidth="1"/>
    <col min="10" max="10" width="12.33203125" style="1" customWidth="1"/>
    <col min="11" max="11" width="12.6640625" style="1" customWidth="1"/>
    <col min="12" max="12" width="12.5546875" style="1" customWidth="1"/>
    <col min="13" max="13" width="12.33203125" style="1" customWidth="1"/>
    <col min="14" max="14" width="12.109375" style="1" customWidth="1"/>
    <col min="15" max="15" width="12.33203125" style="1" customWidth="1"/>
    <col min="16" max="16" width="13.88671875" style="1" customWidth="1"/>
    <col min="17" max="16384" width="9.109375" style="1"/>
  </cols>
  <sheetData>
    <row r="1" spans="1:16" ht="17.399999999999999">
      <c r="A1" s="391" t="s">
        <v>20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</row>
    <row r="2" spans="1:16" ht="17.399999999999999">
      <c r="A2" s="391" t="str">
        <f>'Attachment 4, Page 2'!A3:E3</f>
        <v xml:space="preserve"> Electric Decoupling Mechanism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</row>
    <row r="3" spans="1:16" ht="17.399999999999999">
      <c r="A3" s="392" t="s">
        <v>75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</row>
    <row r="4" spans="1:16" ht="17.399999999999999">
      <c r="A4" s="392" t="str">
        <f>'Attachment 4, Page 1'!A4:K4</f>
        <v>Washington Docket No. UE-170485 Compliance Filing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</row>
    <row r="5" spans="1:16" ht="15.6">
      <c r="A5" s="385"/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</row>
    <row r="6" spans="1:16" ht="30.6" customHeight="1">
      <c r="A6" s="119" t="s">
        <v>17</v>
      </c>
      <c r="B6" s="120"/>
      <c r="C6" s="121" t="s">
        <v>16</v>
      </c>
      <c r="D6" s="122" t="s">
        <v>35</v>
      </c>
      <c r="E6" s="122" t="s">
        <v>36</v>
      </c>
      <c r="F6" s="122" t="s">
        <v>37</v>
      </c>
      <c r="G6" s="122" t="s">
        <v>38</v>
      </c>
      <c r="H6" s="122" t="s">
        <v>39</v>
      </c>
      <c r="I6" s="122" t="s">
        <v>40</v>
      </c>
      <c r="J6" s="122" t="s">
        <v>41</v>
      </c>
      <c r="K6" s="122" t="s">
        <v>42</v>
      </c>
      <c r="L6" s="122" t="s">
        <v>43</v>
      </c>
      <c r="M6" s="122" t="s">
        <v>44</v>
      </c>
      <c r="N6" s="122" t="s">
        <v>45</v>
      </c>
      <c r="O6" s="122" t="s">
        <v>46</v>
      </c>
      <c r="P6" s="119" t="s">
        <v>28</v>
      </c>
    </row>
    <row r="7" spans="1:16">
      <c r="A7" s="20"/>
      <c r="B7" s="21" t="s">
        <v>14</v>
      </c>
      <c r="C7" s="21" t="s">
        <v>13</v>
      </c>
      <c r="D7" s="21" t="s">
        <v>12</v>
      </c>
      <c r="E7" s="21" t="s">
        <v>11</v>
      </c>
      <c r="F7" s="21" t="s">
        <v>10</v>
      </c>
      <c r="G7" s="21" t="s">
        <v>9</v>
      </c>
      <c r="H7" s="21" t="s">
        <v>8</v>
      </c>
      <c r="I7" s="21" t="s">
        <v>7</v>
      </c>
      <c r="J7" s="21" t="s">
        <v>6</v>
      </c>
      <c r="K7" s="21" t="s">
        <v>5</v>
      </c>
      <c r="L7" s="21" t="s">
        <v>4</v>
      </c>
      <c r="M7" s="21" t="s">
        <v>3</v>
      </c>
      <c r="N7" s="21" t="s">
        <v>2</v>
      </c>
      <c r="O7" s="21" t="s">
        <v>1</v>
      </c>
      <c r="P7" s="21" t="s">
        <v>0</v>
      </c>
    </row>
    <row r="8" spans="1:16">
      <c r="A8" s="21">
        <v>1</v>
      </c>
      <c r="B8" s="32" t="s">
        <v>47</v>
      </c>
      <c r="C8" s="21"/>
      <c r="D8" s="20"/>
      <c r="E8" s="20"/>
      <c r="F8" s="20"/>
      <c r="G8" s="20"/>
      <c r="H8" s="22"/>
      <c r="I8" s="22"/>
      <c r="J8" s="20"/>
      <c r="K8" s="20"/>
      <c r="L8" s="20"/>
      <c r="M8" s="20"/>
      <c r="N8" s="20"/>
      <c r="O8" s="20"/>
      <c r="P8" s="33"/>
    </row>
    <row r="9" spans="1:16">
      <c r="A9" s="21">
        <f>A8+1</f>
        <v>2</v>
      </c>
      <c r="B9" s="34" t="s">
        <v>19</v>
      </c>
      <c r="C9" s="21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33"/>
    </row>
    <row r="10" spans="1:16">
      <c r="A10" s="21">
        <f>A9+1</f>
        <v>3</v>
      </c>
      <c r="B10" s="23" t="s">
        <v>48</v>
      </c>
      <c r="C10" s="21" t="s">
        <v>77</v>
      </c>
      <c r="D10" s="45">
        <f>'TY Normalized Usage by Month'!D50</f>
        <v>282718944</v>
      </c>
      <c r="E10" s="45">
        <f>'TY Normalized Usage by Month'!E50</f>
        <v>229028914</v>
      </c>
      <c r="F10" s="45">
        <f>'TY Normalized Usage by Month'!F50</f>
        <v>209765396</v>
      </c>
      <c r="G10" s="45">
        <f>'TY Normalized Usage by Month'!G50</f>
        <v>176926076</v>
      </c>
      <c r="H10" s="45">
        <f>'TY Normalized Usage by Month'!H50</f>
        <v>154900987</v>
      </c>
      <c r="I10" s="45">
        <f>'TY Normalized Usage by Month'!I50</f>
        <v>143616705.59999999</v>
      </c>
      <c r="J10" s="45">
        <f>'TY Normalized Usage by Month'!J50</f>
        <v>190502271</v>
      </c>
      <c r="K10" s="45">
        <f>'TY Normalized Usage by Month'!K50</f>
        <v>171958392</v>
      </c>
      <c r="L10" s="45">
        <f>'TY Normalized Usage by Month'!L50</f>
        <v>162813881</v>
      </c>
      <c r="M10" s="45">
        <f>'TY Normalized Usage by Month'!M50</f>
        <v>159069574</v>
      </c>
      <c r="N10" s="45">
        <f>'TY Normalized Usage by Month'!N50</f>
        <v>215944062</v>
      </c>
      <c r="O10" s="45">
        <f>'TY Normalized Usage by Month'!O50</f>
        <v>264640786</v>
      </c>
      <c r="P10" s="35">
        <f>SUM(D10:O10)</f>
        <v>2361885988.5999999</v>
      </c>
    </row>
    <row r="11" spans="1:16">
      <c r="A11" s="21">
        <f>A10+1</f>
        <v>4</v>
      </c>
      <c r="B11" s="20" t="s">
        <v>49</v>
      </c>
      <c r="C11" s="36" t="s">
        <v>53</v>
      </c>
      <c r="D11" s="37">
        <f t="shared" ref="D11:O11" si="0">D10/$P10</f>
        <v>0.11970050432772189</v>
      </c>
      <c r="E11" s="37">
        <f t="shared" si="0"/>
        <v>9.6968657719061255E-2</v>
      </c>
      <c r="F11" s="37">
        <f t="shared" si="0"/>
        <v>8.8812667932518519E-2</v>
      </c>
      <c r="G11" s="37">
        <f t="shared" si="0"/>
        <v>7.4908813064627364E-2</v>
      </c>
      <c r="H11" s="37">
        <f t="shared" si="0"/>
        <v>6.558360045643738E-2</v>
      </c>
      <c r="I11" s="37">
        <f t="shared" si="0"/>
        <v>6.0805943340697964E-2</v>
      </c>
      <c r="J11" s="37">
        <f t="shared" si="0"/>
        <v>8.065684453842735E-2</v>
      </c>
      <c r="K11" s="37">
        <f t="shared" si="0"/>
        <v>7.2805543040596873E-2</v>
      </c>
      <c r="L11" s="37">
        <f t="shared" si="0"/>
        <v>6.8933844303173744E-2</v>
      </c>
      <c r="M11" s="37">
        <f t="shared" si="0"/>
        <v>6.7348540432422804E-2</v>
      </c>
      <c r="N11" s="37">
        <f t="shared" si="0"/>
        <v>9.1428656185051554E-2</v>
      </c>
      <c r="O11" s="37">
        <f t="shared" si="0"/>
        <v>0.11204638465926331</v>
      </c>
      <c r="P11" s="37">
        <f>SUM(D11:O11)</f>
        <v>1</v>
      </c>
    </row>
    <row r="12" spans="1:16">
      <c r="A12" s="21"/>
      <c r="B12" s="20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3" spans="1:16">
      <c r="A13" s="21">
        <v>5</v>
      </c>
      <c r="B13" s="34" t="s">
        <v>50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</row>
    <row r="14" spans="1:16">
      <c r="A14" s="21">
        <v>6</v>
      </c>
      <c r="B14" s="23" t="s">
        <v>48</v>
      </c>
      <c r="C14" s="21" t="s">
        <v>77</v>
      </c>
      <c r="D14" s="45">
        <f>'TY Normalized Usage by Month'!D53</f>
        <v>179053128.5</v>
      </c>
      <c r="E14" s="45">
        <f>'TY Normalized Usage by Month'!E53</f>
        <v>167633774</v>
      </c>
      <c r="F14" s="45">
        <f>'TY Normalized Usage by Month'!F53</f>
        <v>172512516</v>
      </c>
      <c r="G14" s="45">
        <f>'TY Normalized Usage by Month'!G53</f>
        <v>163846532</v>
      </c>
      <c r="H14" s="45">
        <f>'TY Normalized Usage by Month'!H53</f>
        <v>181092306</v>
      </c>
      <c r="I14" s="45">
        <f>'TY Normalized Usage by Month'!I53</f>
        <v>185499648.66666999</v>
      </c>
      <c r="J14" s="45">
        <f>'TY Normalized Usage by Month'!J53</f>
        <v>204307747</v>
      </c>
      <c r="K14" s="45">
        <f>'TY Normalized Usage by Month'!K53</f>
        <v>192388070</v>
      </c>
      <c r="L14" s="45">
        <f>'TY Normalized Usage by Month'!L53</f>
        <v>180766696</v>
      </c>
      <c r="M14" s="45">
        <f>'TY Normalized Usage by Month'!M53</f>
        <v>182872741</v>
      </c>
      <c r="N14" s="45">
        <f>'TY Normalized Usage by Month'!N53</f>
        <v>162705681</v>
      </c>
      <c r="O14" s="45">
        <f>'TY Normalized Usage by Month'!O53</f>
        <v>193519554</v>
      </c>
      <c r="P14" s="35">
        <f>SUM(D14:O14)</f>
        <v>2166198394.1666698</v>
      </c>
    </row>
    <row r="15" spans="1:16">
      <c r="A15" s="21">
        <v>7</v>
      </c>
      <c r="B15" s="20" t="s">
        <v>49</v>
      </c>
      <c r="C15" s="36" t="s">
        <v>53</v>
      </c>
      <c r="D15" s="40">
        <f t="shared" ref="D15:O15" si="1">D14/$P14</f>
        <v>8.2657769935648578E-2</v>
      </c>
      <c r="E15" s="40">
        <f t="shared" si="1"/>
        <v>7.7386159297051935E-2</v>
      </c>
      <c r="F15" s="40">
        <f t="shared" si="1"/>
        <v>7.9638373135423296E-2</v>
      </c>
      <c r="G15" s="40">
        <f t="shared" si="1"/>
        <v>7.5637823590498629E-2</v>
      </c>
      <c r="H15" s="40">
        <f t="shared" si="1"/>
        <v>8.359913223445338E-2</v>
      </c>
      <c r="I15" s="40">
        <f t="shared" si="1"/>
        <v>8.5633730117333579E-2</v>
      </c>
      <c r="J15" s="40">
        <f t="shared" si="1"/>
        <v>9.4316267406613322E-2</v>
      </c>
      <c r="K15" s="40">
        <f t="shared" si="1"/>
        <v>8.8813688772957991E-2</v>
      </c>
      <c r="L15" s="40">
        <f t="shared" si="1"/>
        <v>8.3448818209257522E-2</v>
      </c>
      <c r="M15" s="40">
        <f t="shared" si="1"/>
        <v>8.4421049102637993E-2</v>
      </c>
      <c r="N15" s="40">
        <f t="shared" si="1"/>
        <v>7.5111163150221247E-2</v>
      </c>
      <c r="O15" s="40">
        <f t="shared" si="1"/>
        <v>8.9336025047902598E-2</v>
      </c>
      <c r="P15" s="40">
        <f>SUM(D15:O15)</f>
        <v>1.0000000000000002</v>
      </c>
    </row>
    <row r="16" spans="1:16">
      <c r="A16" s="21"/>
      <c r="B16" s="20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>
      <c r="A17" s="21"/>
      <c r="B17" s="34"/>
      <c r="C17" s="21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33"/>
    </row>
    <row r="18" spans="1:16">
      <c r="A18" s="21"/>
      <c r="B18" s="23"/>
      <c r="C18" s="21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35"/>
    </row>
    <row r="19" spans="1:16">
      <c r="A19" s="21"/>
      <c r="B19" s="20"/>
      <c r="C19" s="36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>
      <c r="A20" s="21"/>
      <c r="B20" s="20"/>
      <c r="C20" s="21"/>
      <c r="D20" s="40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1:16">
      <c r="A21" s="21">
        <v>8</v>
      </c>
      <c r="B21" s="32" t="s">
        <v>74</v>
      </c>
      <c r="C21" s="21"/>
      <c r="D21" s="40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</row>
    <row r="22" spans="1:16">
      <c r="A22" s="21">
        <f>A21+1</f>
        <v>9</v>
      </c>
      <c r="B22" s="34" t="s">
        <v>19</v>
      </c>
      <c r="C22" s="21"/>
      <c r="D22" s="4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>
      <c r="A23" s="21">
        <f>A22+1</f>
        <v>10</v>
      </c>
      <c r="B23" s="20" t="s">
        <v>286</v>
      </c>
      <c r="C23" s="21" t="s">
        <v>153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42">
        <f>'Attachment 4, Page 2'!D14</f>
        <v>699.75</v>
      </c>
    </row>
    <row r="24" spans="1:16">
      <c r="A24" s="21">
        <f>A23+1</f>
        <v>11</v>
      </c>
      <c r="B24" s="20" t="s">
        <v>154</v>
      </c>
      <c r="C24" s="21" t="str">
        <f>"("&amp;A$11&amp;") x ("&amp;A23&amp;")"</f>
        <v>(4) x (10)</v>
      </c>
      <c r="D24" s="43">
        <f t="shared" ref="D24:O24" si="2">$P23*D$11</f>
        <v>83.760427903323389</v>
      </c>
      <c r="E24" s="43">
        <f>$P23*E$11</f>
        <v>67.853818238913107</v>
      </c>
      <c r="F24" s="43">
        <f t="shared" si="2"/>
        <v>62.146664385779836</v>
      </c>
      <c r="G24" s="43">
        <f t="shared" si="2"/>
        <v>52.417441941972996</v>
      </c>
      <c r="H24" s="43">
        <f t="shared" si="2"/>
        <v>45.892124419392054</v>
      </c>
      <c r="I24" s="43">
        <f t="shared" si="2"/>
        <v>42.548958852653399</v>
      </c>
      <c r="J24" s="43">
        <f t="shared" si="2"/>
        <v>56.439626965764539</v>
      </c>
      <c r="K24" s="43">
        <f t="shared" si="2"/>
        <v>50.945678742657662</v>
      </c>
      <c r="L24" s="43">
        <f t="shared" si="2"/>
        <v>48.236457551145826</v>
      </c>
      <c r="M24" s="43">
        <f t="shared" si="2"/>
        <v>47.127141167587858</v>
      </c>
      <c r="N24" s="43">
        <f t="shared" si="2"/>
        <v>63.977202165489828</v>
      </c>
      <c r="O24" s="43">
        <f t="shared" si="2"/>
        <v>78.404457665319498</v>
      </c>
      <c r="P24" s="42">
        <f>SUM(D24:O24)</f>
        <v>699.75</v>
      </c>
    </row>
    <row r="25" spans="1:16">
      <c r="A25" s="21"/>
      <c r="B25" s="20"/>
      <c r="C25" s="21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2"/>
    </row>
    <row r="26" spans="1:16">
      <c r="A26" s="21">
        <f>A24+1</f>
        <v>12</v>
      </c>
      <c r="B26" s="34" t="s">
        <v>50</v>
      </c>
      <c r="C26" s="4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42"/>
    </row>
    <row r="27" spans="1:16">
      <c r="A27" s="21">
        <f>A26+1</f>
        <v>13</v>
      </c>
      <c r="B27" s="20" t="s">
        <v>286</v>
      </c>
      <c r="C27" s="21" t="s">
        <v>153</v>
      </c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42">
        <f>'Attachment 4, Page 2'!E14</f>
        <v>4352.96</v>
      </c>
    </row>
    <row r="28" spans="1:16">
      <c r="A28" s="21">
        <f>A27+1</f>
        <v>14</v>
      </c>
      <c r="B28" s="20" t="s">
        <v>154</v>
      </c>
      <c r="C28" s="21" t="str">
        <f>"("&amp;A$15&amp;") x ("&amp;A27&amp;")"</f>
        <v>(7) x (13)</v>
      </c>
      <c r="D28" s="43">
        <f t="shared" ref="D28:O28" si="3">$P27*D$15</f>
        <v>359.80596621908086</v>
      </c>
      <c r="E28" s="43">
        <f t="shared" si="3"/>
        <v>336.8588559736952</v>
      </c>
      <c r="F28" s="43">
        <f t="shared" si="3"/>
        <v>346.66265272357219</v>
      </c>
      <c r="G28" s="43">
        <f t="shared" si="3"/>
        <v>329.24842057649693</v>
      </c>
      <c r="H28" s="43">
        <f t="shared" si="3"/>
        <v>363.90367865128621</v>
      </c>
      <c r="I28" s="43">
        <f t="shared" si="3"/>
        <v>372.7602018515484</v>
      </c>
      <c r="J28" s="43">
        <f t="shared" si="3"/>
        <v>410.55493937029155</v>
      </c>
      <c r="K28" s="43">
        <f t="shared" si="3"/>
        <v>386.60243468113521</v>
      </c>
      <c r="L28" s="43">
        <f t="shared" si="3"/>
        <v>363.2493677121696</v>
      </c>
      <c r="M28" s="43">
        <f t="shared" si="3"/>
        <v>367.48144990181908</v>
      </c>
      <c r="N28" s="43">
        <f t="shared" si="3"/>
        <v>326.95588874638707</v>
      </c>
      <c r="O28" s="43">
        <f t="shared" si="3"/>
        <v>388.87614359251808</v>
      </c>
      <c r="P28" s="42">
        <f>SUM(D28:O28)</f>
        <v>4352.9600000000009</v>
      </c>
    </row>
    <row r="29" spans="1:16">
      <c r="A29" s="21"/>
      <c r="B29" s="20"/>
      <c r="C29" s="21"/>
      <c r="D29" s="43"/>
      <c r="E29" s="43"/>
      <c r="F29" s="43"/>
      <c r="G29" s="43"/>
      <c r="I29" s="43"/>
      <c r="J29" s="43"/>
      <c r="K29" s="43"/>
      <c r="L29" s="43"/>
      <c r="M29" s="43"/>
      <c r="N29" s="43"/>
      <c r="O29" s="43"/>
      <c r="P29" s="42"/>
    </row>
    <row r="30" spans="1:16">
      <c r="A30" s="21"/>
      <c r="B30" s="34"/>
      <c r="C30" s="44"/>
      <c r="D30" s="20"/>
      <c r="E30" s="20"/>
      <c r="F30" s="20"/>
      <c r="G30" s="20"/>
      <c r="H30" s="20"/>
      <c r="I30" s="43"/>
      <c r="J30" s="20"/>
      <c r="K30" s="43"/>
      <c r="L30" s="20"/>
      <c r="M30" s="20"/>
      <c r="N30" s="20"/>
      <c r="O30" s="20"/>
      <c r="P30" s="42"/>
    </row>
    <row r="31" spans="1:16">
      <c r="A31" s="21"/>
      <c r="B31" s="20"/>
      <c r="C31" s="21"/>
      <c r="D31" s="20"/>
      <c r="E31" s="20"/>
      <c r="F31" s="20"/>
      <c r="G31" s="20"/>
      <c r="H31" s="20"/>
      <c r="I31" s="43"/>
      <c r="J31" s="20"/>
      <c r="K31" s="43"/>
      <c r="L31" s="20"/>
      <c r="M31" s="20"/>
      <c r="N31" s="20"/>
      <c r="O31" s="20"/>
      <c r="P31" s="42"/>
    </row>
    <row r="32" spans="1:16">
      <c r="A32" s="21"/>
      <c r="B32" s="20"/>
      <c r="C32" s="21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2"/>
    </row>
    <row r="33" spans="1:16">
      <c r="A33" s="21"/>
      <c r="B33" s="20"/>
      <c r="C33" s="44"/>
      <c r="D33" s="21"/>
      <c r="E33" s="21"/>
      <c r="F33" s="21"/>
      <c r="G33" s="21"/>
      <c r="H33" s="20"/>
      <c r="I33" s="43"/>
      <c r="J33" s="20"/>
      <c r="K33" s="43"/>
      <c r="L33" s="20"/>
      <c r="M33" s="20"/>
      <c r="N33" s="20"/>
      <c r="O33" s="20"/>
      <c r="P33" s="42"/>
    </row>
    <row r="34" spans="1:16">
      <c r="A34" s="21"/>
      <c r="B34" s="23" t="s">
        <v>54</v>
      </c>
      <c r="C34" s="21"/>
      <c r="D34" s="21"/>
      <c r="E34" s="21"/>
      <c r="F34" s="21"/>
      <c r="G34" s="21"/>
      <c r="H34" s="20"/>
      <c r="I34" s="43"/>
      <c r="J34" s="20"/>
      <c r="K34" s="43"/>
      <c r="L34" s="20"/>
      <c r="M34" s="20"/>
      <c r="N34" s="20"/>
      <c r="O34" s="20"/>
      <c r="P34" s="20"/>
    </row>
    <row r="35" spans="1:16">
      <c r="I35" s="43"/>
    </row>
    <row r="36" spans="1:16">
      <c r="H36" s="43"/>
    </row>
    <row r="37" spans="1:16" ht="15.6">
      <c r="A37" s="245" t="s">
        <v>170</v>
      </c>
    </row>
  </sheetData>
  <mergeCells count="5">
    <mergeCell ref="A1:P1"/>
    <mergeCell ref="A2:P2"/>
    <mergeCell ref="A3:P3"/>
    <mergeCell ref="A5:P5"/>
    <mergeCell ref="A4:P4"/>
  </mergeCells>
  <pageMargins left="0.6" right="0.6" top="1.07" bottom="0.84099999999999997" header="0.3" footer="0.6"/>
  <pageSetup scale="58" orientation="landscape" r:id="rId1"/>
  <headerFooter scaleWithDoc="0">
    <oddHeader>&amp;CUE-150204 Final Decoupling Base</oddHead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.109375" defaultRowHeight="14.4"/>
  <cols>
    <col min="1" max="16384" width="9.109375" style="187"/>
  </cols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E33"/>
  <sheetViews>
    <sheetView workbookViewId="0"/>
  </sheetViews>
  <sheetFormatPr defaultRowHeight="14.4"/>
  <cols>
    <col min="2" max="2" width="7.33203125" customWidth="1"/>
    <col min="3" max="3" width="33.6640625" customWidth="1"/>
    <col min="4" max="4" width="7.88671875" customWidth="1"/>
  </cols>
  <sheetData>
    <row r="1" spans="1:5">
      <c r="A1" s="124" t="s">
        <v>276</v>
      </c>
      <c r="B1" s="124"/>
      <c r="C1" s="124"/>
      <c r="D1" s="124"/>
      <c r="E1" s="125"/>
    </row>
    <row r="2" spans="1:5">
      <c r="A2" s="396" t="s">
        <v>169</v>
      </c>
      <c r="B2" s="396"/>
      <c r="C2" s="396"/>
      <c r="D2" s="396"/>
      <c r="E2" s="396"/>
    </row>
    <row r="3" spans="1:5">
      <c r="A3" s="389" t="s">
        <v>277</v>
      </c>
      <c r="B3" s="389"/>
      <c r="C3" s="389"/>
      <c r="D3" s="389"/>
      <c r="E3" s="389"/>
    </row>
    <row r="4" spans="1:5">
      <c r="A4" s="124" t="s">
        <v>278</v>
      </c>
      <c r="B4" s="124"/>
      <c r="C4" s="124"/>
      <c r="D4" s="124"/>
      <c r="E4" s="125"/>
    </row>
    <row r="5" spans="1:5" s="151" customFormat="1">
      <c r="A5" s="389" t="s">
        <v>279</v>
      </c>
      <c r="B5" s="389"/>
      <c r="C5" s="389"/>
      <c r="D5" s="389"/>
      <c r="E5" s="389"/>
    </row>
    <row r="6" spans="1:5" s="151" customFormat="1">
      <c r="A6" s="389" t="str">
        <f>'Attachment 4, Page 1'!A4:K4</f>
        <v>Washington Docket No. UE-170485 Compliance Filing</v>
      </c>
      <c r="B6" s="389"/>
      <c r="C6" s="389"/>
      <c r="D6" s="389"/>
      <c r="E6" s="389"/>
    </row>
    <row r="7" spans="1:5" s="151" customFormat="1" ht="30.6" customHeight="1">
      <c r="A7" s="241"/>
      <c r="B7" s="242"/>
      <c r="C7" s="241"/>
      <c r="D7" s="241"/>
      <c r="E7" s="241"/>
    </row>
    <row r="8" spans="1:5">
      <c r="A8" s="128" t="s">
        <v>158</v>
      </c>
      <c r="B8" s="128"/>
      <c r="C8" s="128"/>
      <c r="D8" s="128"/>
      <c r="E8" s="129"/>
    </row>
    <row r="9" spans="1:5">
      <c r="A9" s="130" t="s">
        <v>159</v>
      </c>
      <c r="B9" s="128"/>
      <c r="C9" s="130" t="s">
        <v>160</v>
      </c>
      <c r="D9" s="131"/>
      <c r="E9" s="132" t="s">
        <v>161</v>
      </c>
    </row>
    <row r="10" spans="1:5">
      <c r="A10" s="126"/>
      <c r="B10" s="126"/>
      <c r="C10" s="126"/>
      <c r="D10" s="126"/>
      <c r="E10" s="127"/>
    </row>
    <row r="11" spans="1:5">
      <c r="A11" s="133">
        <v>1</v>
      </c>
      <c r="B11" s="126"/>
      <c r="C11" s="134" t="s">
        <v>69</v>
      </c>
      <c r="D11" s="126"/>
      <c r="E11" s="135">
        <v>1</v>
      </c>
    </row>
    <row r="12" spans="1:5">
      <c r="A12" s="133"/>
      <c r="B12" s="126"/>
      <c r="C12" s="126"/>
      <c r="D12" s="126"/>
      <c r="E12" s="135"/>
    </row>
    <row r="13" spans="1:5">
      <c r="A13" s="133"/>
      <c r="B13" s="126"/>
      <c r="C13" s="136" t="s">
        <v>162</v>
      </c>
      <c r="D13" s="137"/>
      <c r="E13" s="135"/>
    </row>
    <row r="14" spans="1:5">
      <c r="A14" s="133">
        <v>2</v>
      </c>
      <c r="B14" s="126"/>
      <c r="C14" s="137" t="s">
        <v>163</v>
      </c>
      <c r="D14" s="137"/>
      <c r="E14" s="137">
        <v>6.1824999999999996E-3</v>
      </c>
    </row>
    <row r="15" spans="1:5">
      <c r="A15" s="133"/>
      <c r="B15" s="126"/>
      <c r="C15" s="137"/>
      <c r="D15" s="137"/>
      <c r="E15" s="137"/>
    </row>
    <row r="16" spans="1:5">
      <c r="A16" s="133">
        <v>3</v>
      </c>
      <c r="B16" s="126"/>
      <c r="C16" s="137" t="s">
        <v>164</v>
      </c>
      <c r="D16" s="137"/>
      <c r="E16" s="137">
        <v>2E-3</v>
      </c>
    </row>
    <row r="17" spans="1:5">
      <c r="A17" s="133"/>
      <c r="B17" s="126"/>
      <c r="C17" s="137"/>
      <c r="D17" s="137"/>
      <c r="E17" s="137"/>
    </row>
    <row r="18" spans="1:5">
      <c r="A18" s="133">
        <v>4</v>
      </c>
      <c r="B18" s="126"/>
      <c r="C18" s="137" t="s">
        <v>165</v>
      </c>
      <c r="D18" s="137"/>
      <c r="E18" s="137">
        <v>3.8494500000000001E-2</v>
      </c>
    </row>
    <row r="19" spans="1:5">
      <c r="A19" s="133"/>
      <c r="B19" s="126"/>
      <c r="C19" s="137"/>
      <c r="D19" s="137"/>
      <c r="E19" s="137"/>
    </row>
    <row r="20" spans="1:5">
      <c r="A20" s="133">
        <v>5</v>
      </c>
      <c r="B20" s="126"/>
      <c r="C20" s="137" t="s">
        <v>166</v>
      </c>
      <c r="D20" s="137"/>
      <c r="E20" s="138">
        <v>4.6676999999999996E-2</v>
      </c>
    </row>
    <row r="21" spans="1:5">
      <c r="A21" s="133"/>
      <c r="B21" s="126"/>
      <c r="C21" s="137"/>
      <c r="D21" s="137"/>
      <c r="E21" s="139"/>
    </row>
    <row r="22" spans="1:5">
      <c r="A22" s="133">
        <v>6</v>
      </c>
      <c r="B22" s="126"/>
      <c r="C22" s="137" t="s">
        <v>167</v>
      </c>
      <c r="D22" s="137"/>
      <c r="E22" s="139">
        <v>0.95332300000000003</v>
      </c>
    </row>
    <row r="23" spans="1:5">
      <c r="A23" s="126"/>
      <c r="B23" s="126"/>
      <c r="C23" s="137"/>
      <c r="D23" s="137"/>
      <c r="E23" s="139"/>
    </row>
    <row r="24" spans="1:5">
      <c r="A24" s="133">
        <v>7</v>
      </c>
      <c r="B24" s="126"/>
      <c r="C24" s="137" t="s">
        <v>280</v>
      </c>
      <c r="D24" s="140"/>
      <c r="E24" s="141">
        <v>0.20019799999999999</v>
      </c>
    </row>
    <row r="25" spans="1:5">
      <c r="A25" s="126"/>
      <c r="B25" s="126"/>
      <c r="C25" s="137"/>
      <c r="D25" s="137"/>
      <c r="E25" s="139"/>
    </row>
    <row r="26" spans="1:5" ht="15" thickBot="1">
      <c r="A26" s="133">
        <v>8</v>
      </c>
      <c r="B26" s="126"/>
      <c r="C26" s="136" t="s">
        <v>169</v>
      </c>
      <c r="D26" s="137"/>
      <c r="E26" s="142">
        <v>0.75312500000000004</v>
      </c>
    </row>
    <row r="27" spans="1:5" ht="15" thickTop="1"/>
    <row r="29" spans="1:5" ht="14.4" customHeight="1">
      <c r="A29" s="395" t="s">
        <v>281</v>
      </c>
      <c r="B29" s="395"/>
      <c r="C29" s="395"/>
      <c r="D29" s="395"/>
      <c r="E29" s="395"/>
    </row>
    <row r="30" spans="1:5">
      <c r="A30" s="126"/>
      <c r="B30" s="126"/>
      <c r="C30" s="243"/>
      <c r="D30" s="243"/>
      <c r="E30" s="243"/>
    </row>
    <row r="31" spans="1:5">
      <c r="A31" s="126" t="s">
        <v>282</v>
      </c>
      <c r="B31" s="126"/>
      <c r="C31" s="244"/>
      <c r="D31" s="244"/>
      <c r="E31" s="244"/>
    </row>
    <row r="32" spans="1:5">
      <c r="A32" s="151"/>
      <c r="B32" s="151"/>
      <c r="C32" s="151"/>
      <c r="D32" s="151"/>
      <c r="E32" s="151"/>
    </row>
    <row r="33" spans="1:5" ht="15.6">
      <c r="A33" s="245" t="s">
        <v>283</v>
      </c>
      <c r="B33" s="151"/>
      <c r="C33" s="151"/>
      <c r="D33" s="151"/>
      <c r="E33" s="151"/>
    </row>
  </sheetData>
  <mergeCells count="5">
    <mergeCell ref="A29:E29"/>
    <mergeCell ref="A2:E2"/>
    <mergeCell ref="A3:E3"/>
    <mergeCell ref="A5:E5"/>
    <mergeCell ref="A6:E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X67"/>
  <sheetViews>
    <sheetView zoomScaleNormal="100" workbookViewId="0">
      <pane xSplit="3" ySplit="12" topLeftCell="J13" activePane="bottomRight" state="frozen"/>
      <selection pane="topRight" activeCell="D1" sqref="D1"/>
      <selection pane="bottomLeft" activeCell="A13" sqref="A13"/>
      <selection pane="bottomRight" activeCell="P33" sqref="P33"/>
    </sheetView>
  </sheetViews>
  <sheetFormatPr defaultColWidth="8.88671875" defaultRowHeight="14.4"/>
  <cols>
    <col min="1" max="1" width="13.88671875" style="151" customWidth="1"/>
    <col min="2" max="2" width="17.6640625" style="151" customWidth="1"/>
    <col min="3" max="3" width="15" style="151" customWidth="1"/>
    <col min="4" max="8" width="14.33203125" style="151" customWidth="1"/>
    <col min="9" max="9" width="12.5546875" style="151" customWidth="1"/>
    <col min="10" max="10" width="12.33203125" style="151" customWidth="1"/>
    <col min="11" max="11" width="12.44140625" style="151" customWidth="1"/>
    <col min="12" max="12" width="12.109375" style="151" customWidth="1"/>
    <col min="13" max="13" width="12.44140625" style="151" customWidth="1"/>
    <col min="14" max="14" width="14.6640625" style="151" customWidth="1"/>
    <col min="15" max="15" width="12.6640625" style="151" customWidth="1"/>
    <col min="16" max="16" width="12.44140625" style="151" customWidth="1"/>
    <col min="17" max="17" width="13.109375" style="151" customWidth="1"/>
    <col min="18" max="18" width="13" style="151" customWidth="1"/>
    <col min="19" max="19" width="13.33203125" style="151" customWidth="1"/>
    <col min="20" max="20" width="12.44140625" style="151" customWidth="1"/>
    <col min="21" max="21" width="12.33203125" style="151" customWidth="1"/>
    <col min="22" max="22" width="12.88671875" style="151" customWidth="1"/>
    <col min="23" max="23" width="13.33203125" style="151" customWidth="1"/>
    <col min="24" max="24" width="12.44140625" style="151" customWidth="1"/>
    <col min="25" max="25" width="12.6640625" style="151" customWidth="1"/>
    <col min="26" max="26" width="13.109375" style="151" customWidth="1"/>
    <col min="27" max="27" width="13.33203125" style="151" customWidth="1"/>
    <col min="28" max="28" width="13" style="151" customWidth="1"/>
    <col min="29" max="29" width="14.44140625" style="151" customWidth="1"/>
    <col min="30" max="30" width="13.5546875" style="151" customWidth="1"/>
    <col min="31" max="33" width="12.6640625" style="151" customWidth="1"/>
    <col min="34" max="36" width="12.109375" style="151" customWidth="1"/>
    <col min="37" max="37" width="11.5546875" style="151" customWidth="1"/>
    <col min="38" max="38" width="13.33203125" style="151" customWidth="1"/>
    <col min="39" max="39" width="13.109375" style="151" customWidth="1"/>
    <col min="40" max="49" width="11.5546875" style="151" bestFit="1" customWidth="1"/>
    <col min="50" max="16384" width="8.88671875" style="151"/>
  </cols>
  <sheetData>
    <row r="1" spans="1:49">
      <c r="C1" s="151" t="s">
        <v>347</v>
      </c>
      <c r="D1" s="291">
        <v>43101</v>
      </c>
      <c r="E1" s="291">
        <v>43132</v>
      </c>
      <c r="F1" s="291">
        <v>43160</v>
      </c>
      <c r="G1" s="291">
        <v>43191</v>
      </c>
      <c r="H1" s="291">
        <v>43221</v>
      </c>
      <c r="I1" s="291">
        <v>43252</v>
      </c>
      <c r="J1" s="291">
        <v>43282</v>
      </c>
      <c r="K1" s="291">
        <v>43313</v>
      </c>
      <c r="L1" s="291">
        <v>43344</v>
      </c>
      <c r="M1" s="291">
        <v>43374</v>
      </c>
      <c r="N1" s="291">
        <v>43405</v>
      </c>
      <c r="O1" s="291">
        <v>43435</v>
      </c>
      <c r="P1" s="291">
        <v>43466</v>
      </c>
      <c r="Q1" s="291">
        <v>43497</v>
      </c>
      <c r="R1" s="291">
        <v>43525</v>
      </c>
      <c r="S1" s="291">
        <v>43556</v>
      </c>
      <c r="T1" s="291">
        <v>43586</v>
      </c>
      <c r="U1" s="291">
        <v>43617</v>
      </c>
      <c r="V1" s="291">
        <v>43647</v>
      </c>
      <c r="W1" s="291">
        <v>43678</v>
      </c>
      <c r="X1" s="291">
        <v>43709</v>
      </c>
      <c r="Y1" s="291">
        <v>43739</v>
      </c>
      <c r="Z1" s="291">
        <v>43770</v>
      </c>
      <c r="AA1" s="291">
        <v>43800</v>
      </c>
      <c r="AB1" s="291">
        <v>43831</v>
      </c>
      <c r="AC1" s="291">
        <v>43862</v>
      </c>
      <c r="AD1" s="291">
        <v>43891</v>
      </c>
      <c r="AE1" s="291">
        <v>43922</v>
      </c>
      <c r="AF1" s="291">
        <v>43952</v>
      </c>
      <c r="AG1" s="291">
        <v>43983</v>
      </c>
      <c r="AH1" s="291">
        <v>44013</v>
      </c>
      <c r="AI1" s="291">
        <v>44044</v>
      </c>
      <c r="AJ1" s="291">
        <v>44075</v>
      </c>
      <c r="AK1" s="291">
        <v>44105</v>
      </c>
      <c r="AL1" s="291">
        <v>44136</v>
      </c>
      <c r="AM1" s="291">
        <v>44166</v>
      </c>
      <c r="AN1" s="291">
        <v>44197</v>
      </c>
      <c r="AO1" s="291">
        <v>44228</v>
      </c>
      <c r="AP1" s="291">
        <v>44256</v>
      </c>
      <c r="AQ1" s="291">
        <v>44287</v>
      </c>
      <c r="AR1" s="291">
        <v>44317</v>
      </c>
      <c r="AS1" s="291">
        <v>44348</v>
      </c>
      <c r="AT1" s="291">
        <v>44378</v>
      </c>
      <c r="AU1" s="291">
        <v>44409</v>
      </c>
      <c r="AV1" s="291">
        <v>44440</v>
      </c>
      <c r="AW1" s="291">
        <v>44470</v>
      </c>
    </row>
    <row r="2" spans="1:49">
      <c r="A2" s="397" t="s">
        <v>19</v>
      </c>
      <c r="B2" s="397"/>
      <c r="C2" s="292"/>
      <c r="D2" s="292"/>
      <c r="E2" s="292"/>
      <c r="F2" s="292"/>
      <c r="G2" s="292"/>
      <c r="H2" s="292"/>
    </row>
    <row r="3" spans="1:49">
      <c r="A3" s="293" t="s">
        <v>314</v>
      </c>
      <c r="B3" s="312" t="s">
        <v>344</v>
      </c>
      <c r="C3" s="292"/>
      <c r="D3" s="292" t="s">
        <v>346</v>
      </c>
      <c r="E3" s="292" t="s">
        <v>346</v>
      </c>
      <c r="F3" s="292" t="s">
        <v>346</v>
      </c>
      <c r="G3" s="292" t="s">
        <v>346</v>
      </c>
      <c r="H3" s="292" t="s">
        <v>346</v>
      </c>
      <c r="I3" s="314" t="s">
        <v>346</v>
      </c>
      <c r="J3" s="330" t="s">
        <v>346</v>
      </c>
      <c r="K3" s="334" t="s">
        <v>346</v>
      </c>
      <c r="L3" s="340" t="s">
        <v>346</v>
      </c>
      <c r="M3" s="367" t="s">
        <v>346</v>
      </c>
      <c r="N3" s="377" t="s">
        <v>346</v>
      </c>
      <c r="O3" s="382" t="s">
        <v>346</v>
      </c>
      <c r="P3" s="294">
        <v>269096124.85328448</v>
      </c>
      <c r="Q3" s="294">
        <v>220969040.82341322</v>
      </c>
      <c r="R3" s="294">
        <v>212731215.51071823</v>
      </c>
      <c r="S3" s="294">
        <v>170754523.24900281</v>
      </c>
      <c r="T3" s="294">
        <v>156360975.7966482</v>
      </c>
      <c r="U3" s="294">
        <v>148668087.39059395</v>
      </c>
      <c r="V3" s="294">
        <v>188439202.77841285</v>
      </c>
      <c r="W3" s="294">
        <v>180392735.78821561</v>
      </c>
      <c r="X3" s="294">
        <v>156834680.2126509</v>
      </c>
      <c r="Y3" s="294">
        <v>176283611.7278176</v>
      </c>
      <c r="Z3" s="294">
        <v>225173549.70547396</v>
      </c>
      <c r="AA3" s="294">
        <v>283209300.06458104</v>
      </c>
      <c r="AB3" s="294">
        <v>274772848.13945717</v>
      </c>
      <c r="AC3" s="294">
        <v>224389766.51455256</v>
      </c>
      <c r="AD3" s="294">
        <v>216629232.09181711</v>
      </c>
      <c r="AE3" s="294">
        <v>173277441.89511448</v>
      </c>
      <c r="AF3" s="294">
        <v>156610475.83180889</v>
      </c>
      <c r="AG3" s="294">
        <v>148547483.97841835</v>
      </c>
      <c r="AH3" s="294">
        <v>185529977.72392735</v>
      </c>
      <c r="AI3" s="294">
        <v>181124193.11311957</v>
      </c>
      <c r="AJ3" s="294">
        <v>155498592.58416045</v>
      </c>
      <c r="AK3" s="294">
        <v>174913594.78830299</v>
      </c>
      <c r="AL3" s="294">
        <v>223474602.89389163</v>
      </c>
      <c r="AM3" s="294">
        <v>284390385.49230736</v>
      </c>
      <c r="AN3" s="294">
        <v>278939315.33524585</v>
      </c>
      <c r="AO3" s="294">
        <v>227297463.52739656</v>
      </c>
      <c r="AP3" s="294">
        <v>220281413.2544322</v>
      </c>
      <c r="AQ3" s="294">
        <v>175693454.33211213</v>
      </c>
      <c r="AR3" s="294">
        <v>158308518.71301138</v>
      </c>
      <c r="AS3" s="294">
        <v>149582437.49889219</v>
      </c>
      <c r="AT3" s="294">
        <v>184855392.70456728</v>
      </c>
      <c r="AU3" s="294">
        <v>181603627.19813922</v>
      </c>
      <c r="AV3" s="294">
        <v>154419090.12636662</v>
      </c>
      <c r="AW3" s="294">
        <v>173723818.20166939</v>
      </c>
    </row>
    <row r="4" spans="1:49" s="297" customFormat="1">
      <c r="A4" s="295" t="s">
        <v>254</v>
      </c>
      <c r="B4" s="296"/>
      <c r="C4" s="296"/>
      <c r="D4" s="297">
        <v>4.2399999999999998E-3</v>
      </c>
      <c r="E4" s="297">
        <f t="shared" ref="E4:J4" si="0">D4</f>
        <v>4.2399999999999998E-3</v>
      </c>
      <c r="F4" s="297">
        <f t="shared" si="0"/>
        <v>4.2399999999999998E-3</v>
      </c>
      <c r="G4" s="297">
        <f t="shared" si="0"/>
        <v>4.2399999999999998E-3</v>
      </c>
      <c r="H4" s="297">
        <f t="shared" si="0"/>
        <v>4.2399999999999998E-3</v>
      </c>
      <c r="I4" s="297">
        <f t="shared" si="0"/>
        <v>4.2399999999999998E-3</v>
      </c>
      <c r="J4" s="297">
        <f t="shared" si="0"/>
        <v>4.2399999999999998E-3</v>
      </c>
      <c r="K4" s="297">
        <f t="shared" ref="K4:AW4" si="1">J4</f>
        <v>4.2399999999999998E-3</v>
      </c>
      <c r="L4" s="297">
        <f t="shared" si="1"/>
        <v>4.2399999999999998E-3</v>
      </c>
      <c r="M4" s="297">
        <f t="shared" si="1"/>
        <v>4.2399999999999998E-3</v>
      </c>
      <c r="N4" s="338">
        <v>-1.1100000000000001E-3</v>
      </c>
      <c r="O4" s="297">
        <f t="shared" si="1"/>
        <v>-1.1100000000000001E-3</v>
      </c>
      <c r="P4" s="297">
        <f t="shared" si="1"/>
        <v>-1.1100000000000001E-3</v>
      </c>
      <c r="Q4" s="297">
        <f t="shared" si="1"/>
        <v>-1.1100000000000001E-3</v>
      </c>
      <c r="R4" s="297">
        <f t="shared" si="1"/>
        <v>-1.1100000000000001E-3</v>
      </c>
      <c r="S4" s="297">
        <f t="shared" si="1"/>
        <v>-1.1100000000000001E-3</v>
      </c>
      <c r="T4" s="297">
        <f t="shared" si="1"/>
        <v>-1.1100000000000001E-3</v>
      </c>
      <c r="U4" s="297">
        <f t="shared" si="1"/>
        <v>-1.1100000000000001E-3</v>
      </c>
      <c r="V4" s="297">
        <f t="shared" si="1"/>
        <v>-1.1100000000000001E-3</v>
      </c>
      <c r="W4" s="297">
        <f t="shared" si="1"/>
        <v>-1.1100000000000001E-3</v>
      </c>
      <c r="X4" s="297">
        <f t="shared" si="1"/>
        <v>-1.1100000000000001E-3</v>
      </c>
      <c r="Y4" s="297">
        <f t="shared" si="1"/>
        <v>-1.1100000000000001E-3</v>
      </c>
      <c r="Z4" s="297">
        <f>ROUND(Z5-Z8,5)</f>
        <v>2.7899999999999999E-3</v>
      </c>
      <c r="AA4" s="297">
        <f t="shared" si="1"/>
        <v>2.7899999999999999E-3</v>
      </c>
      <c r="AB4" s="297">
        <f t="shared" si="1"/>
        <v>2.7899999999999999E-3</v>
      </c>
      <c r="AC4" s="297">
        <f t="shared" si="1"/>
        <v>2.7899999999999999E-3</v>
      </c>
      <c r="AD4" s="297">
        <f t="shared" si="1"/>
        <v>2.7899999999999999E-3</v>
      </c>
      <c r="AE4" s="297">
        <f t="shared" si="1"/>
        <v>2.7899999999999999E-3</v>
      </c>
      <c r="AF4" s="297">
        <f t="shared" si="1"/>
        <v>2.7899999999999999E-3</v>
      </c>
      <c r="AG4" s="297">
        <f t="shared" si="1"/>
        <v>2.7899999999999999E-3</v>
      </c>
      <c r="AH4" s="297">
        <f t="shared" si="1"/>
        <v>2.7899999999999999E-3</v>
      </c>
      <c r="AI4" s="297">
        <f t="shared" si="1"/>
        <v>2.7899999999999999E-3</v>
      </c>
      <c r="AJ4" s="297">
        <f t="shared" si="1"/>
        <v>2.7899999999999999E-3</v>
      </c>
      <c r="AK4" s="297">
        <f t="shared" si="1"/>
        <v>2.7899999999999999E-3</v>
      </c>
      <c r="AL4" s="297">
        <f>ROUND(AL5-AL8,5)</f>
        <v>1.09E-3</v>
      </c>
      <c r="AM4" s="297">
        <f t="shared" si="1"/>
        <v>1.09E-3</v>
      </c>
      <c r="AN4" s="297">
        <f t="shared" si="1"/>
        <v>1.09E-3</v>
      </c>
      <c r="AO4" s="297">
        <f t="shared" si="1"/>
        <v>1.09E-3</v>
      </c>
      <c r="AP4" s="297">
        <f t="shared" si="1"/>
        <v>1.09E-3</v>
      </c>
      <c r="AQ4" s="297">
        <f t="shared" si="1"/>
        <v>1.09E-3</v>
      </c>
      <c r="AR4" s="297">
        <f t="shared" si="1"/>
        <v>1.09E-3</v>
      </c>
      <c r="AS4" s="297">
        <f t="shared" si="1"/>
        <v>1.09E-3</v>
      </c>
      <c r="AT4" s="297">
        <f t="shared" si="1"/>
        <v>1.09E-3</v>
      </c>
      <c r="AU4" s="297">
        <f t="shared" si="1"/>
        <v>1.09E-3</v>
      </c>
      <c r="AV4" s="297">
        <f t="shared" si="1"/>
        <v>1.09E-3</v>
      </c>
      <c r="AW4" s="297">
        <f t="shared" si="1"/>
        <v>1.09E-3</v>
      </c>
    </row>
    <row r="5" spans="1:49">
      <c r="A5" s="293" t="s">
        <v>315</v>
      </c>
      <c r="B5" s="292"/>
      <c r="C5" s="292"/>
      <c r="D5" s="292"/>
      <c r="E5" s="292"/>
      <c r="F5" s="292"/>
      <c r="G5" s="292"/>
      <c r="H5" s="292"/>
      <c r="L5" s="222"/>
      <c r="N5" s="298">
        <f>ROUND((M16+M17+M22)*1.02/(SUM(N3:Y3)),5)</f>
        <v>-1.3699999999999999E-3</v>
      </c>
      <c r="O5" s="299">
        <v>0.95444899999999999</v>
      </c>
      <c r="P5" s="201" t="s">
        <v>252</v>
      </c>
      <c r="Z5" s="298">
        <f>ROUND((Y16+Y17+Y22)*1.02/(SUM(Z3:AK3)),5)</f>
        <v>3.82E-3</v>
      </c>
      <c r="AA5" s="300">
        <f>O5</f>
        <v>0.95444899999999999</v>
      </c>
      <c r="AB5" s="201" t="s">
        <v>252</v>
      </c>
      <c r="AL5" s="298">
        <f>ROUND((AK16+AK17+AK22)*1.025/(SUM(AL3:AW3)),5)</f>
        <v>1.09E-3</v>
      </c>
      <c r="AM5" s="300">
        <f>AA5</f>
        <v>0.95444899999999999</v>
      </c>
      <c r="AN5" s="201" t="s">
        <v>252</v>
      </c>
      <c r="AV5" s="222"/>
      <c r="AW5" s="300"/>
    </row>
    <row r="6" spans="1:49">
      <c r="A6" s="293" t="s">
        <v>316</v>
      </c>
      <c r="B6" s="292"/>
      <c r="C6" s="292"/>
      <c r="D6" s="292"/>
      <c r="E6" s="292"/>
      <c r="F6" s="292"/>
      <c r="G6" s="292"/>
      <c r="H6" s="292"/>
      <c r="L6" s="222"/>
      <c r="N6" s="301">
        <f>IF(M4&gt;0,N5*SUM(N3:Y3)-M4*SUM(N3:Y3),N5*SUM(N3:Y3))</f>
        <v>-10549774.41151355</v>
      </c>
      <c r="O6" s="338">
        <f>ROUND(N4/O5,5)</f>
        <v>-1.16E-3</v>
      </c>
      <c r="P6" s="339" t="s">
        <v>373</v>
      </c>
      <c r="Z6" s="301">
        <f>IF(Y4&gt;0,Z5*SUM(Z3:AK3)-Y4*SUM(Z3:AK3),Z5*SUM(Z3:AK3))</f>
        <v>9166764.0635654032</v>
      </c>
      <c r="AA6" s="297">
        <f>ROUND(Z4/AA5,5)</f>
        <v>2.9199999999999999E-3</v>
      </c>
      <c r="AB6" s="201" t="s">
        <v>317</v>
      </c>
      <c r="AL6" s="301">
        <f>IF(AK4&gt;0,AL5*SUM(AL3:AW3)-AK4*SUM(AL3:AW3),AL5*SUM(AL3:AW3))</f>
        <v>-4101368.1827726541</v>
      </c>
      <c r="AM6" s="297">
        <f>ROUND(AL4/AM5,5)</f>
        <v>1.14E-3</v>
      </c>
      <c r="AN6" s="201" t="s">
        <v>317</v>
      </c>
      <c r="AV6" s="222"/>
      <c r="AW6" s="297"/>
    </row>
    <row r="7" spans="1:49">
      <c r="A7" s="293" t="s">
        <v>318</v>
      </c>
      <c r="B7" s="292"/>
      <c r="C7" s="292"/>
      <c r="D7" s="292"/>
      <c r="E7" s="292"/>
      <c r="F7" s="292"/>
      <c r="G7" s="292"/>
      <c r="H7" s="292"/>
      <c r="L7" s="222" t="s">
        <v>319</v>
      </c>
      <c r="M7" s="302">
        <f>234050</f>
        <v>234050</v>
      </c>
      <c r="N7" s="301">
        <f>M7*1000*0.03</f>
        <v>7021500</v>
      </c>
      <c r="O7" s="303">
        <f>IF(M4&gt;0,M4*SUM(N3:Y3)+N7,N7)</f>
        <v>14994948.040074412</v>
      </c>
      <c r="P7" s="151" t="s">
        <v>320</v>
      </c>
      <c r="X7" s="222" t="s">
        <v>319</v>
      </c>
      <c r="Y7" s="301">
        <f>M7</f>
        <v>234050</v>
      </c>
      <c r="Z7" s="301">
        <f>Y7*1000*0.03</f>
        <v>7021500</v>
      </c>
      <c r="AA7" s="303">
        <f>IF(Y4&gt;0,Y4/AA5*SUM(Z3:AK3)+Z7,Z7)</f>
        <v>7021500</v>
      </c>
      <c r="AB7" s="151" t="s">
        <v>320</v>
      </c>
      <c r="AJ7" s="222" t="s">
        <v>319</v>
      </c>
      <c r="AK7" s="301">
        <f>Y7</f>
        <v>234050</v>
      </c>
      <c r="AL7" s="301">
        <f>AK7*1000*0.03</f>
        <v>7021500</v>
      </c>
      <c r="AM7" s="303">
        <f>IF(AK4&gt;0,AK4*SUM(AL3:AW3)+AL7,AL7)</f>
        <v>13752568.958785709</v>
      </c>
      <c r="AN7" s="151" t="s">
        <v>320</v>
      </c>
      <c r="AV7" s="222"/>
      <c r="AW7" s="304"/>
    </row>
    <row r="8" spans="1:49">
      <c r="A8" s="293" t="s">
        <v>360</v>
      </c>
      <c r="B8" s="292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277">
        <f>IF(N6&gt;N7,N5-N10,0)</f>
        <v>0</v>
      </c>
      <c r="Z8" s="277">
        <f>IF(Z6&gt;Z7,Z5-Z10,0)</f>
        <v>1.0272636560896965E-3</v>
      </c>
      <c r="AL8" s="277">
        <f>IF(AL6&gt;AL7,AL5-AL10,0)</f>
        <v>0</v>
      </c>
    </row>
    <row r="9" spans="1:49">
      <c r="A9" s="293" t="s">
        <v>322</v>
      </c>
      <c r="B9" s="292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277"/>
      <c r="Z9" s="301">
        <f>N8*Z3</f>
        <v>0</v>
      </c>
      <c r="AA9" s="301">
        <f>N8*AA3</f>
        <v>0</v>
      </c>
      <c r="AB9" s="301">
        <f>N8*AB3</f>
        <v>0</v>
      </c>
      <c r="AC9" s="301">
        <f>N8*AC3</f>
        <v>0</v>
      </c>
      <c r="AD9" s="301">
        <f>N8*AD3</f>
        <v>0</v>
      </c>
      <c r="AE9" s="301">
        <f>N8*AE3</f>
        <v>0</v>
      </c>
      <c r="AF9" s="301">
        <f>N8*AF3</f>
        <v>0</v>
      </c>
      <c r="AG9" s="301">
        <f>N8*AG3</f>
        <v>0</v>
      </c>
      <c r="AH9" s="301">
        <f>N8*AH3</f>
        <v>0</v>
      </c>
      <c r="AI9" s="301">
        <f>N8*AI3</f>
        <v>0</v>
      </c>
      <c r="AJ9" s="301">
        <f>N8*AJ3</f>
        <v>0</v>
      </c>
      <c r="AK9" s="301">
        <f>N8*AK3</f>
        <v>0</v>
      </c>
      <c r="AL9" s="301">
        <f>Z8*AL3</f>
        <v>229567.33761197218</v>
      </c>
      <c r="AM9" s="301">
        <f>Z8*AM3</f>
        <v>292143.90715758584</v>
      </c>
      <c r="AN9" s="301">
        <f>Z8*AN3</f>
        <v>286544.22089844139</v>
      </c>
      <c r="AO9" s="301">
        <f>Z8*AO3</f>
        <v>233494.42340306783</v>
      </c>
      <c r="AP9" s="301">
        <f>Z8*AP3</f>
        <v>226287.08994835336</v>
      </c>
      <c r="AQ9" s="301">
        <f>Z8*AQ3</f>
        <v>180483.50024823364</v>
      </c>
      <c r="AR9" s="301">
        <f>Z8*AR3</f>
        <v>162624.58772327221</v>
      </c>
      <c r="AS9" s="301">
        <f>Z8*AS3</f>
        <v>153660.60163192049</v>
      </c>
      <c r="AT9" s="301">
        <f>Z8*AT3</f>
        <v>189895.22655759039</v>
      </c>
      <c r="AU9" s="301">
        <f>Z8*AU3</f>
        <v>186554.80603471075</v>
      </c>
      <c r="AV9" s="301">
        <f>Z8*AV3</f>
        <v>158629.11909325572</v>
      </c>
      <c r="AW9" s="301">
        <f>Z8*AW3</f>
        <v>178460.16463570867</v>
      </c>
    </row>
    <row r="10" spans="1:49">
      <c r="A10" s="293" t="s">
        <v>358</v>
      </c>
      <c r="B10" s="315"/>
      <c r="C10" s="315"/>
      <c r="D10" s="315"/>
      <c r="E10" s="315"/>
      <c r="F10" s="315"/>
      <c r="G10" s="315"/>
      <c r="H10" s="315"/>
      <c r="L10" s="222"/>
      <c r="M10" s="302"/>
      <c r="N10" s="277">
        <f>O7/SUM(N3:Y3)*O5</f>
        <v>7.6105734309010239E-3</v>
      </c>
      <c r="O10" s="303"/>
      <c r="X10" s="222"/>
      <c r="Y10" s="301"/>
      <c r="Z10" s="277">
        <f>AA7/SUM(Z3:AK3)*AA5</f>
        <v>2.7927363439103035E-3</v>
      </c>
      <c r="AA10" s="277">
        <f>Z10</f>
        <v>2.7927363439103035E-3</v>
      </c>
      <c r="AB10" s="277">
        <f t="shared" ref="AB10:AK10" si="2">AA10</f>
        <v>2.7927363439103035E-3</v>
      </c>
      <c r="AC10" s="277">
        <f t="shared" si="2"/>
        <v>2.7927363439103035E-3</v>
      </c>
      <c r="AD10" s="277">
        <f t="shared" si="2"/>
        <v>2.7927363439103035E-3</v>
      </c>
      <c r="AE10" s="277">
        <f t="shared" si="2"/>
        <v>2.7927363439103035E-3</v>
      </c>
      <c r="AF10" s="277">
        <f t="shared" si="2"/>
        <v>2.7927363439103035E-3</v>
      </c>
      <c r="AG10" s="277">
        <f t="shared" si="2"/>
        <v>2.7927363439103035E-3</v>
      </c>
      <c r="AH10" s="277">
        <f t="shared" si="2"/>
        <v>2.7927363439103035E-3</v>
      </c>
      <c r="AI10" s="277">
        <f t="shared" si="2"/>
        <v>2.7927363439103035E-3</v>
      </c>
      <c r="AJ10" s="277">
        <f t="shared" si="2"/>
        <v>2.7927363439103035E-3</v>
      </c>
      <c r="AK10" s="277">
        <f t="shared" si="2"/>
        <v>2.7927363439103035E-3</v>
      </c>
      <c r="AL10" s="277">
        <f>AM7/SUM(AL3:AW3)*AM5</f>
        <v>5.4407243336441098E-3</v>
      </c>
      <c r="AM10" s="277">
        <f>AL10</f>
        <v>5.4407243336441098E-3</v>
      </c>
      <c r="AN10" s="277">
        <f t="shared" ref="AN10:AW10" si="3">AM10</f>
        <v>5.4407243336441098E-3</v>
      </c>
      <c r="AO10" s="277">
        <f t="shared" si="3"/>
        <v>5.4407243336441098E-3</v>
      </c>
      <c r="AP10" s="277">
        <f t="shared" si="3"/>
        <v>5.4407243336441098E-3</v>
      </c>
      <c r="AQ10" s="277">
        <f t="shared" si="3"/>
        <v>5.4407243336441098E-3</v>
      </c>
      <c r="AR10" s="277">
        <f t="shared" si="3"/>
        <v>5.4407243336441098E-3</v>
      </c>
      <c r="AS10" s="277">
        <f t="shared" si="3"/>
        <v>5.4407243336441098E-3</v>
      </c>
      <c r="AT10" s="277">
        <f t="shared" si="3"/>
        <v>5.4407243336441098E-3</v>
      </c>
      <c r="AU10" s="277">
        <f t="shared" si="3"/>
        <v>5.4407243336441098E-3</v>
      </c>
      <c r="AV10" s="277">
        <f t="shared" si="3"/>
        <v>5.4407243336441098E-3</v>
      </c>
      <c r="AW10" s="277">
        <f t="shared" si="3"/>
        <v>5.4407243336441098E-3</v>
      </c>
    </row>
    <row r="11" spans="1:49">
      <c r="A11" s="293" t="s">
        <v>359</v>
      </c>
      <c r="B11" s="31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1"/>
      <c r="O11" s="301">
        <f>SUMPRODUCT($Z3:$AK3,-$Z10:$AK10)-SUM($AL9:AM9)</f>
        <v>-7223374.8982695593</v>
      </c>
      <c r="P11" s="301">
        <f>SUMPRODUCT($Z3:$AK3,-$Z10:$AK10)-SUM($AL9:AN9)</f>
        <v>-7509919.1191680003</v>
      </c>
      <c r="Q11" s="301">
        <f>SUMPRODUCT($Z3:$AK3,-$Z10:$AK10)-SUM($AL9:AO9)</f>
        <v>-7743413.5425710678</v>
      </c>
      <c r="R11" s="301">
        <f>SUMPRODUCT($Z3:$AK3,-$Z10:$AK10)-SUM($AL9:AP9)</f>
        <v>-7969700.6325194221</v>
      </c>
      <c r="S11" s="301">
        <f>SUMPRODUCT($Z3:$AK3,-$Z10:$AK10)-SUM($AL9:AQ9)</f>
        <v>-8150184.132767655</v>
      </c>
      <c r="T11" s="301">
        <f>SUMPRODUCT($Z3:$AK3,-$Z10:$AK10)-SUM($AL9:AR9)</f>
        <v>-8312808.7204909269</v>
      </c>
      <c r="U11" s="301">
        <f>SUMPRODUCT($Z3:$AK3,-$Z10:$AK10)-SUM($AL9:AS9)</f>
        <v>-8466469.3221228477</v>
      </c>
      <c r="V11" s="301">
        <f>SUMPRODUCT($Z3:$AK3,-$Z10:$AK10)-SUM($AL9:AT9)</f>
        <v>-8656364.5486804377</v>
      </c>
      <c r="W11" s="301">
        <f>SUMPRODUCT($Z3:$AK3,-$Z10:$AK10)-SUM($AL9:AU9)</f>
        <v>-8842919.3547151498</v>
      </c>
      <c r="X11" s="301">
        <f>SUMPRODUCT($Z3:$AK3,-$Z10:$AK10)-SUM($AL9:AV9)</f>
        <v>-9001548.4738084041</v>
      </c>
      <c r="Y11" s="301">
        <f>SUMPRODUCT($Z3:$AK3,-$Z10:$AK10)-SUM($AL9:AW9)</f>
        <v>-9180008.6384441126</v>
      </c>
      <c r="Z11" s="301"/>
      <c r="AA11" s="303"/>
      <c r="AJ11" s="222"/>
      <c r="AK11" s="301"/>
      <c r="AL11" s="301"/>
      <c r="AM11" s="303"/>
      <c r="AV11" s="222"/>
      <c r="AW11" s="304"/>
    </row>
    <row r="12" spans="1:49">
      <c r="A12" s="293" t="s">
        <v>361</v>
      </c>
      <c r="O12" s="326">
        <f>IF($Y16&gt;0,IF(O11+O15+O16+O22&lt;0,0,+O11+O15+O16+O22),0)</f>
        <v>1396884.3755832305</v>
      </c>
      <c r="P12" s="280">
        <f>IF($Y16&gt;0,IF(P11+P16+P22&lt;0,0,+P11+P16+P22),0)</f>
        <v>1145970.5596833806</v>
      </c>
      <c r="Q12" s="280">
        <f t="shared" ref="Q12:Y12" si="4">IF($Y16&gt;0,IF(Q11+Q16+Q22&lt;0,0,+Q11+Q16+Q22),0)</f>
        <v>948253.81361956522</v>
      </c>
      <c r="R12" s="280">
        <f t="shared" si="4"/>
        <v>757892.28207679838</v>
      </c>
      <c r="S12" s="280">
        <f t="shared" si="4"/>
        <v>613482.83254222944</v>
      </c>
      <c r="T12" s="280">
        <f t="shared" si="4"/>
        <v>487081.40160890482</v>
      </c>
      <c r="U12" s="280">
        <f t="shared" si="4"/>
        <v>369793.67914832942</v>
      </c>
      <c r="V12" s="280">
        <f t="shared" si="4"/>
        <v>216421.67299599387</v>
      </c>
      <c r="W12" s="280">
        <f t="shared" si="4"/>
        <v>66541.050010878593</v>
      </c>
      <c r="X12" s="280">
        <f t="shared" si="4"/>
        <v>0</v>
      </c>
      <c r="Y12" s="280">
        <f t="shared" si="4"/>
        <v>0</v>
      </c>
    </row>
    <row r="13" spans="1:49" ht="5.4" customHeight="1"/>
    <row r="14" spans="1:49">
      <c r="A14" s="151" t="s">
        <v>323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</row>
    <row r="15" spans="1:49">
      <c r="A15" s="151">
        <v>186328</v>
      </c>
      <c r="B15" s="151" t="s">
        <v>324</v>
      </c>
      <c r="C15" s="302">
        <v>-2092789.9</v>
      </c>
      <c r="D15" s="306">
        <f>0-D26+(0+0-D26)/2*D24/12</f>
        <v>341177.85259188991</v>
      </c>
      <c r="E15" s="301">
        <f>D15-E26+(D15+D15-E26)/2*E24/12</f>
        <v>2079411.3910603344</v>
      </c>
      <c r="F15" s="301">
        <f>E15-F26+(E15+E15-F26)/2*F24/12</f>
        <v>2724630.6129319076</v>
      </c>
      <c r="G15" s="301">
        <f>F15-G26+(F15+F15-G26)/2*G24/12</f>
        <v>3543429.221483204</v>
      </c>
      <c r="H15" s="301">
        <f>G15-H26+(G15+G15-H26)/2*H24/12</f>
        <v>4699800.7904610932</v>
      </c>
      <c r="I15" s="301">
        <f>H15-I26+(H15+H15-I26)/2*I24/12</f>
        <v>5305351.9698947705</v>
      </c>
      <c r="J15" s="301">
        <f t="shared" ref="J15:O15" si="5">I15-J26+(I15+I15-J26)/2*J$24/12</f>
        <v>6315433.2219057959</v>
      </c>
      <c r="K15" s="301">
        <f t="shared" si="5"/>
        <v>4770285.5495783361</v>
      </c>
      <c r="L15" s="301">
        <f t="shared" si="5"/>
        <v>6601759.6787987724</v>
      </c>
      <c r="M15" s="301">
        <f t="shared" si="5"/>
        <v>7458007.1532744737</v>
      </c>
      <c r="N15" s="301">
        <f t="shared" si="5"/>
        <v>8343980.5316406749</v>
      </c>
      <c r="O15" s="301">
        <f t="shared" si="5"/>
        <v>8620259.2738527898</v>
      </c>
      <c r="P15" s="306">
        <f>0-P26+(0+0-P26)/2*P24/12</f>
        <v>0</v>
      </c>
      <c r="Q15" s="301">
        <f>P15-Q26+(P15+P15-Q26)/2*Q24/12</f>
        <v>0</v>
      </c>
      <c r="R15" s="301">
        <f t="shared" ref="R15:AA15" si="6">Q15-R26+(Q15+Q15-R26)/2*R24/12</f>
        <v>0</v>
      </c>
      <c r="S15" s="301">
        <f t="shared" si="6"/>
        <v>0</v>
      </c>
      <c r="T15" s="301">
        <f t="shared" si="6"/>
        <v>0</v>
      </c>
      <c r="U15" s="301">
        <f t="shared" si="6"/>
        <v>0</v>
      </c>
      <c r="V15" s="301">
        <f t="shared" si="6"/>
        <v>0</v>
      </c>
      <c r="W15" s="301">
        <f t="shared" si="6"/>
        <v>0</v>
      </c>
      <c r="X15" s="301">
        <f t="shared" si="6"/>
        <v>0</v>
      </c>
      <c r="Y15" s="301">
        <f t="shared" si="6"/>
        <v>0</v>
      </c>
      <c r="Z15" s="301">
        <f t="shared" si="6"/>
        <v>0</v>
      </c>
      <c r="AA15" s="301">
        <f t="shared" si="6"/>
        <v>0</v>
      </c>
      <c r="AB15" s="306">
        <f>0-AB26+(0+0-AB26)/2*AB24/12</f>
        <v>0</v>
      </c>
      <c r="AC15" s="301">
        <f>AB15-AC26+(AB15+AB15-AC26)/2*AC24/12</f>
        <v>0</v>
      </c>
      <c r="AD15" s="301">
        <f t="shared" ref="AD15:AM15" si="7">AC15-AD26+(AC15+AC15-AD26)/2*AD24/12</f>
        <v>0</v>
      </c>
      <c r="AE15" s="301">
        <f t="shared" si="7"/>
        <v>0</v>
      </c>
      <c r="AF15" s="301">
        <f t="shared" si="7"/>
        <v>0</v>
      </c>
      <c r="AG15" s="301">
        <f t="shared" si="7"/>
        <v>0</v>
      </c>
      <c r="AH15" s="301">
        <f t="shared" si="7"/>
        <v>0</v>
      </c>
      <c r="AI15" s="301">
        <f t="shared" si="7"/>
        <v>0</v>
      </c>
      <c r="AJ15" s="301">
        <f t="shared" si="7"/>
        <v>0</v>
      </c>
      <c r="AK15" s="301">
        <f t="shared" si="7"/>
        <v>0</v>
      </c>
      <c r="AL15" s="301">
        <f t="shared" si="7"/>
        <v>0</v>
      </c>
      <c r="AM15" s="301">
        <f t="shared" si="7"/>
        <v>0</v>
      </c>
      <c r="AN15" s="306">
        <f>0-AN26+(0+0-AN26)/2*AN24/12</f>
        <v>0</v>
      </c>
      <c r="AO15" s="301">
        <f>AN15-AO26+(AN15+AN15-AO26)/2*AO24/12</f>
        <v>0</v>
      </c>
      <c r="AP15" s="301">
        <f t="shared" ref="AP15:AW15" si="8">AO15-AP26+(AO15+AO15-AP26)/2*AP24/12</f>
        <v>0</v>
      </c>
      <c r="AQ15" s="301">
        <f t="shared" si="8"/>
        <v>0</v>
      </c>
      <c r="AR15" s="301">
        <f t="shared" si="8"/>
        <v>0</v>
      </c>
      <c r="AS15" s="301">
        <f t="shared" si="8"/>
        <v>0</v>
      </c>
      <c r="AT15" s="301">
        <f t="shared" si="8"/>
        <v>0</v>
      </c>
      <c r="AU15" s="301">
        <f t="shared" si="8"/>
        <v>0</v>
      </c>
      <c r="AV15" s="301">
        <f t="shared" si="8"/>
        <v>0</v>
      </c>
      <c r="AW15" s="301">
        <f t="shared" si="8"/>
        <v>0</v>
      </c>
    </row>
    <row r="16" spans="1:49">
      <c r="A16" s="151">
        <v>182329</v>
      </c>
      <c r="B16" s="151" t="s">
        <v>325</v>
      </c>
      <c r="C16" s="302">
        <v>0</v>
      </c>
      <c r="D16" s="306">
        <f>C15+(C15+C22)*D24/12</f>
        <v>-2102780.6119375001</v>
      </c>
      <c r="E16" s="301">
        <f>D16+(D16+D22)*E24/12</f>
        <v>-2112806.7076464454</v>
      </c>
      <c r="F16" s="301">
        <f>E16+(E16+E22)*F24/12</f>
        <v>-2122868.31244436</v>
      </c>
      <c r="G16" s="301">
        <f>F16+(F16+F22)*G24/12</f>
        <v>-2133488.2327332152</v>
      </c>
      <c r="H16" s="301">
        <f>G16+(G16+G22)*H24/12</f>
        <v>-2144147.7122251466</v>
      </c>
      <c r="I16" s="301">
        <f>H16+(H16+H22)*I24/12</f>
        <v>-2154846.8982781852</v>
      </c>
      <c r="J16" s="301">
        <f>I16+(I16+I22)*J$24/12</f>
        <v>-2166114.4821806224</v>
      </c>
      <c r="K16" s="301">
        <f>J16+(J16+J22)*K$24/12</f>
        <v>-2177426.1035568118</v>
      </c>
      <c r="L16" s="301">
        <f>K16+(K16+K22)*L$24/12</f>
        <v>-2188781.9345198795</v>
      </c>
      <c r="M16" s="301">
        <f>L16+(L16+L22)*M$24/12</f>
        <v>-2200838.4501158949</v>
      </c>
      <c r="N16" s="301">
        <v>0</v>
      </c>
      <c r="O16" s="301">
        <v>0</v>
      </c>
      <c r="P16" s="306">
        <f>O15+(O15+O22)*P24/12</f>
        <v>8655889.6788513809</v>
      </c>
      <c r="Q16" s="301">
        <f>P16+(P16+P22)*Q24/12</f>
        <v>8691667.356190633</v>
      </c>
      <c r="R16" s="301">
        <f t="shared" ref="R16:Y16" si="9">Q16+(Q16+Q22)*R24/12</f>
        <v>8727592.9145962205</v>
      </c>
      <c r="S16" s="301">
        <f t="shared" si="9"/>
        <v>8763666.9653098844</v>
      </c>
      <c r="T16" s="301">
        <f t="shared" si="9"/>
        <v>8799890.1220998317</v>
      </c>
      <c r="U16" s="301">
        <f t="shared" si="9"/>
        <v>8836263.0012711771</v>
      </c>
      <c r="V16" s="301">
        <f t="shared" si="9"/>
        <v>8872786.2216764316</v>
      </c>
      <c r="W16" s="301">
        <f t="shared" si="9"/>
        <v>8909460.4047260284</v>
      </c>
      <c r="X16" s="301">
        <f t="shared" si="9"/>
        <v>8946286.1743988954</v>
      </c>
      <c r="Y16" s="301">
        <f t="shared" si="9"/>
        <v>8983264.1572530773</v>
      </c>
      <c r="Z16" s="301">
        <v>0</v>
      </c>
      <c r="AA16" s="301">
        <v>0</v>
      </c>
      <c r="AB16" s="306">
        <f>AA15+(AA15+AA22)*AB24/12</f>
        <v>0</v>
      </c>
      <c r="AC16" s="301">
        <f>AB16+(AB16+AB22)*AC24/12</f>
        <v>0</v>
      </c>
      <c r="AD16" s="301">
        <f t="shared" ref="AD16:AK16" si="10">AC16+(AC16+AC22)*AD24/12</f>
        <v>0</v>
      </c>
      <c r="AE16" s="301">
        <f t="shared" si="10"/>
        <v>0</v>
      </c>
      <c r="AF16" s="301">
        <f t="shared" si="10"/>
        <v>0</v>
      </c>
      <c r="AG16" s="301">
        <f t="shared" si="10"/>
        <v>0</v>
      </c>
      <c r="AH16" s="301">
        <f t="shared" si="10"/>
        <v>0</v>
      </c>
      <c r="AI16" s="301">
        <f t="shared" si="10"/>
        <v>0</v>
      </c>
      <c r="AJ16" s="301">
        <f t="shared" si="10"/>
        <v>0</v>
      </c>
      <c r="AK16" s="301">
        <f t="shared" si="10"/>
        <v>0</v>
      </c>
      <c r="AL16" s="301">
        <v>0</v>
      </c>
      <c r="AM16" s="301">
        <v>0</v>
      </c>
      <c r="AN16" s="306">
        <f>AM15+(AM15+AM22)*AN24/12</f>
        <v>0</v>
      </c>
      <c r="AO16" s="301">
        <f>AN16+(AN16+AN22)*AO24/12</f>
        <v>0</v>
      </c>
      <c r="AP16" s="301">
        <f t="shared" ref="AP16:AW16" si="11">AO16+(AO16+AO22)*AP24/12</f>
        <v>0</v>
      </c>
      <c r="AQ16" s="301">
        <f t="shared" si="11"/>
        <v>0</v>
      </c>
      <c r="AR16" s="301">
        <f t="shared" si="11"/>
        <v>0</v>
      </c>
      <c r="AS16" s="301">
        <f t="shared" si="11"/>
        <v>0</v>
      </c>
      <c r="AT16" s="301">
        <f t="shared" si="11"/>
        <v>0</v>
      </c>
      <c r="AU16" s="301">
        <f t="shared" si="11"/>
        <v>0</v>
      </c>
      <c r="AV16" s="301">
        <f t="shared" si="11"/>
        <v>0</v>
      </c>
      <c r="AW16" s="301">
        <f t="shared" si="11"/>
        <v>0</v>
      </c>
    </row>
    <row r="17" spans="1:50">
      <c r="A17" s="151">
        <v>182328</v>
      </c>
      <c r="B17" s="151" t="s">
        <v>326</v>
      </c>
      <c r="C17" s="302">
        <v>8212539.75</v>
      </c>
      <c r="D17" s="301">
        <f t="shared" ref="D17:I17" si="12">C17-D27+(C17+C17-D27)/2*D24/12</f>
        <v>7077316.9058760423</v>
      </c>
      <c r="E17" s="301">
        <f t="shared" si="12"/>
        <v>6183807.4455187293</v>
      </c>
      <c r="F17" s="301">
        <f t="shared" si="12"/>
        <v>5225694.8171924409</v>
      </c>
      <c r="G17" s="301">
        <f t="shared" si="12"/>
        <v>4503526.432813582</v>
      </c>
      <c r="H17" s="301">
        <f t="shared" si="12"/>
        <v>3892086.3308411143</v>
      </c>
      <c r="I17" s="301">
        <f t="shared" si="12"/>
        <v>3298325.1253019138</v>
      </c>
      <c r="J17" s="301">
        <f>I17-J27+(I17+I17-J27)/2*J$24/12</f>
        <v>2523815.9728441001</v>
      </c>
      <c r="K17" s="301">
        <f>J17-K27+(J17+J17-K27)/2*K$24/12</f>
        <v>1674081.5778774268</v>
      </c>
      <c r="L17" s="301">
        <f>K17-L27+(K17+K17-L27)/2*L$24/12</f>
        <v>1088330.496507657</v>
      </c>
      <c r="M17" s="301">
        <f>L17-M27+(L17+L17-M27)/2*M$24/12</f>
        <v>411850.24736628862</v>
      </c>
      <c r="N17" s="306">
        <f>IF(M16+M17+M22&gt;0,(M16+M17+M22)-N27+(M16+M17+M22-N27/2)*N24/12,0)</f>
        <v>0</v>
      </c>
      <c r="O17" s="301">
        <f>IF(N17&lt;&gt;0,N17-O27+(N17+N17-O27)/2*O$24/12,0)</f>
        <v>0</v>
      </c>
      <c r="P17" s="301">
        <f>IF(O17&lt;&gt;0,O17-P27+(O17+O17-P27)/2*P24/12,0)</f>
        <v>0</v>
      </c>
      <c r="Q17" s="301">
        <f>IF(P17&lt;&gt;0,P17-Q27+(P17+P17-Q27)/2*Q24/12,0)</f>
        <v>0</v>
      </c>
      <c r="R17" s="301">
        <f t="shared" ref="R17:Y17" si="13">IF(Q17&lt;&gt;0,Q17-R27+(Q17+Q17-R27)/2*R24/12,0)</f>
        <v>0</v>
      </c>
      <c r="S17" s="301">
        <f t="shared" si="13"/>
        <v>0</v>
      </c>
      <c r="T17" s="301">
        <f t="shared" si="13"/>
        <v>0</v>
      </c>
      <c r="U17" s="301">
        <f t="shared" si="13"/>
        <v>0</v>
      </c>
      <c r="V17" s="301">
        <f t="shared" si="13"/>
        <v>0</v>
      </c>
      <c r="W17" s="301">
        <f t="shared" si="13"/>
        <v>0</v>
      </c>
      <c r="X17" s="301">
        <f t="shared" si="13"/>
        <v>0</v>
      </c>
      <c r="Y17" s="301">
        <f t="shared" si="13"/>
        <v>0</v>
      </c>
      <c r="Z17" s="306">
        <f>IF(Y16+Y17+Y22&gt;0,(Y16+Y17+Y22)-Z27+(Y16+Y17+Y22-Z27/2)*Z24/12,0)</f>
        <v>8390862.4280705154</v>
      </c>
      <c r="AA17" s="301">
        <f>IF(Z17&lt;&gt;0,Z17-AA27+(Z17+Z17-AA27)/2*AA$24/12,0)</f>
        <v>7633757.7274355199</v>
      </c>
      <c r="AB17" s="301">
        <f>IF(AA17&lt;&gt;0,AA17-AB27+(AA17+AA17-AB27)/2*AB24/12,0)</f>
        <v>6897110.0061574625</v>
      </c>
      <c r="AC17" s="301">
        <f>IF(AB17&lt;&gt;0,AB17-AC27+(AB17+AB17-AC27)/2*AC24/12,0)</f>
        <v>6298276.7808802556</v>
      </c>
      <c r="AD17" s="301">
        <f t="shared" ref="AD17:AK17" si="14">IF(AC17&lt;&gt;0,AC17-AD27+(AC17+AC17-AD27)/2*AD24/12,0)</f>
        <v>5718665.0165528161</v>
      </c>
      <c r="AE17" s="301">
        <f t="shared" si="14"/>
        <v>5257858.9846705645</v>
      </c>
      <c r="AF17" s="301">
        <f t="shared" si="14"/>
        <v>4841745.2248994764</v>
      </c>
      <c r="AG17" s="301">
        <f t="shared" si="14"/>
        <v>4446453.7667366536</v>
      </c>
      <c r="AH17" s="301">
        <f t="shared" si="14"/>
        <v>3946134.0386045184</v>
      </c>
      <c r="AI17" s="301">
        <f t="shared" si="14"/>
        <v>3456063.8650809899</v>
      </c>
      <c r="AJ17" s="301">
        <f t="shared" si="14"/>
        <v>3035611.2508620103</v>
      </c>
      <c r="AK17" s="301">
        <f t="shared" si="14"/>
        <v>2559140.962785325</v>
      </c>
      <c r="AL17" s="306">
        <f>IF(AK16+AK17+AK22&gt;0,(AK16+AK17+AK22)-AL27+(AK16+AK17+AK22-AL27/2)*AL24/12,0)</f>
        <v>2325628.0144883767</v>
      </c>
      <c r="AM17" s="301">
        <f>IF(AL17&lt;&gt;0,AL17-AM27+(AL17+AL17-AM27)/2*AM$24/12,0)</f>
        <v>2024614.4533532611</v>
      </c>
      <c r="AN17" s="301">
        <f>IF(AM17&lt;&gt;0,AM17-AN27+(AM17+AM17-AN27)/2*AN24/12,0)</f>
        <v>1728310.6487473582</v>
      </c>
      <c r="AO17" s="301">
        <f>IF(AN17&lt;&gt;0,AN17-AO27+(AN17+AN17-AO27)/2*AO24/12,0)</f>
        <v>1487188.0720978123</v>
      </c>
      <c r="AP17" s="301">
        <f t="shared" ref="AP17:AW17" si="15">IF(AO17&lt;&gt;0,AO17-AP27+(AO17+AO17-AP27)/2*AP24/12,0)</f>
        <v>1252732.1550848943</v>
      </c>
      <c r="AQ17" s="301">
        <f t="shared" si="15"/>
        <v>1066008.4706491176</v>
      </c>
      <c r="AR17" s="301">
        <f t="shared" si="15"/>
        <v>897501.73727413069</v>
      </c>
      <c r="AS17" s="301">
        <f t="shared" si="15"/>
        <v>737829.59487686539</v>
      </c>
      <c r="AT17" s="301">
        <f t="shared" si="15"/>
        <v>538970.4949064122</v>
      </c>
      <c r="AU17" s="301">
        <f t="shared" si="15"/>
        <v>342841.1935351853</v>
      </c>
      <c r="AV17" s="301">
        <f t="shared" si="15"/>
        <v>175593.60749369979</v>
      </c>
      <c r="AW17" s="301">
        <f t="shared" si="15"/>
        <v>-13430.909289614858</v>
      </c>
    </row>
    <row r="18" spans="1:50" ht="15" thickBot="1">
      <c r="A18" s="151">
        <v>254328</v>
      </c>
      <c r="B18" s="151" t="s">
        <v>327</v>
      </c>
      <c r="C18" s="302">
        <v>0</v>
      </c>
      <c r="N18" s="306">
        <f>IF((M16+M17+M22)&lt;0,(M16+M17+M22)-N27+(M16+M17+M22-N27/2)*N24/12,0)</f>
        <v>-2406937.0381841939</v>
      </c>
      <c r="O18" s="301">
        <f>IF(N18&lt;&gt;0,N18-O27+(N18+N18-O27)/2*O$24/12,0)</f>
        <v>-2135579.8355097636</v>
      </c>
      <c r="P18" s="301">
        <f>IF(O18&lt;&gt;0,O18-P27+(O18+O18-P27)/2*P24/12,0)</f>
        <v>-1845092.8937323114</v>
      </c>
      <c r="Q18" s="301">
        <f>IF(P18&lt;&gt;0,P18-Q27+(P18+P18-Q27)/2*Q24/12,0)</f>
        <v>-1606936.7393994341</v>
      </c>
      <c r="R18" s="301">
        <f t="shared" ref="R18:Y18" si="16">IF(Q18&lt;&gt;0,Q18-R27+(Q18+Q18-R27)/2*R24/12,0)</f>
        <v>-1376959.0899636729</v>
      </c>
      <c r="S18" s="301">
        <f t="shared" si="16"/>
        <v>-1192721.2891861298</v>
      </c>
      <c r="T18" s="301">
        <f t="shared" si="16"/>
        <v>-1023731.8286353421</v>
      </c>
      <c r="U18" s="301">
        <f t="shared" si="16"/>
        <v>-862600.63193100144</v>
      </c>
      <c r="V18" s="301">
        <f t="shared" si="16"/>
        <v>-656566.25326110434</v>
      </c>
      <c r="W18" s="301">
        <f t="shared" si="16"/>
        <v>-458630.30278043268</v>
      </c>
      <c r="X18" s="301">
        <f t="shared" si="16"/>
        <v>-286079.70090614149</v>
      </c>
      <c r="Y18" s="301">
        <f t="shared" si="16"/>
        <v>-91182.960046705703</v>
      </c>
      <c r="Z18" s="306">
        <f>IF((Y16+Y17+Y22)&lt;0,(Y16+Y17+Y22)-Z27+(Y16+Y17+Y22-Z27/2)*Z24/12,0)</f>
        <v>0</v>
      </c>
      <c r="AA18" s="301">
        <f>IF(Z18&lt;&gt;0,Z18-AA27+(Z18+Z18-AA27)/2*AA$24/12,0)</f>
        <v>0</v>
      </c>
      <c r="AB18" s="301">
        <f>IF(AA18&lt;&gt;0,AA18-AB27+(AA18+AA18-AB27)/2*AB24/12,0)</f>
        <v>0</v>
      </c>
      <c r="AC18" s="301">
        <f>IF(AB18&lt;&gt;0,AB18-AC27+(AB18+AB18-AC27)/2*AC24/12,0)</f>
        <v>0</v>
      </c>
      <c r="AD18" s="301">
        <f t="shared" ref="AD18:AK18" si="17">IF(AC18&lt;&gt;0,AC18-AD27+(AC18+AC18-AD27)/2*AD24/12,0)</f>
        <v>0</v>
      </c>
      <c r="AE18" s="301">
        <f t="shared" si="17"/>
        <v>0</v>
      </c>
      <c r="AF18" s="301">
        <f t="shared" si="17"/>
        <v>0</v>
      </c>
      <c r="AG18" s="301">
        <f t="shared" si="17"/>
        <v>0</v>
      </c>
      <c r="AH18" s="301">
        <f t="shared" si="17"/>
        <v>0</v>
      </c>
      <c r="AI18" s="301">
        <f t="shared" si="17"/>
        <v>0</v>
      </c>
      <c r="AJ18" s="301">
        <f t="shared" si="17"/>
        <v>0</v>
      </c>
      <c r="AK18" s="301">
        <f t="shared" si="17"/>
        <v>0</v>
      </c>
      <c r="AL18" s="306">
        <f>IF((AK16+AK17+AK22)&lt;0,(AK16+AK17+AK22)-AL27+(AK16+AK17+AK22-AL27/2)*AL24/12,0)</f>
        <v>0</v>
      </c>
      <c r="AM18" s="301">
        <f>IF(AL18&lt;&gt;0,AL18-AM27+(AL18+AL18-AM27)/2*AM$24/12,0)</f>
        <v>0</v>
      </c>
      <c r="AN18" s="301">
        <f>IF(AM18&lt;&gt;0,AM18-AN27+(AM18+AM18-AN27)/2*AN24/12,0)</f>
        <v>0</v>
      </c>
      <c r="AO18" s="301">
        <f>IF(AN18&lt;&gt;0,AN18-AO27+(AN18+AN18-AO27)/2*AO24/12,0)</f>
        <v>0</v>
      </c>
      <c r="AP18" s="301">
        <f t="shared" ref="AP18:AW18" si="18">IF(AO18&lt;&gt;0,AO18-AP27+(AO18+AO18-AP27)/2*AP24/12,0)</f>
        <v>0</v>
      </c>
      <c r="AQ18" s="301">
        <f t="shared" si="18"/>
        <v>0</v>
      </c>
      <c r="AR18" s="301">
        <f t="shared" si="18"/>
        <v>0</v>
      </c>
      <c r="AS18" s="301">
        <f t="shared" si="18"/>
        <v>0</v>
      </c>
      <c r="AT18" s="301">
        <f t="shared" si="18"/>
        <v>0</v>
      </c>
      <c r="AU18" s="301">
        <f t="shared" si="18"/>
        <v>0</v>
      </c>
      <c r="AV18" s="301">
        <f t="shared" si="18"/>
        <v>0</v>
      </c>
      <c r="AW18" s="301">
        <f t="shared" si="18"/>
        <v>0</v>
      </c>
    </row>
    <row r="19" spans="1:50" ht="15" thickBot="1">
      <c r="A19" s="151">
        <v>253311</v>
      </c>
      <c r="B19" s="151" t="s">
        <v>328</v>
      </c>
      <c r="C19" s="302">
        <v>0</v>
      </c>
      <c r="N19" s="301"/>
      <c r="O19" s="332">
        <f>-O12</f>
        <v>-1396884.3755832305</v>
      </c>
      <c r="AA19" s="307"/>
      <c r="AM19" s="307"/>
    </row>
    <row r="20" spans="1:50">
      <c r="A20" s="151">
        <v>253312</v>
      </c>
      <c r="B20" s="151" t="s">
        <v>329</v>
      </c>
      <c r="C20" s="302">
        <v>0</v>
      </c>
      <c r="D20" s="331">
        <f>SUM(AB9:AK9)</f>
        <v>0</v>
      </c>
      <c r="E20" s="331">
        <f>SUM(AC9:AK9)</f>
        <v>0</v>
      </c>
      <c r="F20" s="331">
        <f>SUM(AD9:AK9)</f>
        <v>0</v>
      </c>
      <c r="G20" s="331">
        <f>SUM(AE9:AK9)</f>
        <v>0</v>
      </c>
      <c r="H20" s="331">
        <f>SUM(AF9:AK9)</f>
        <v>0</v>
      </c>
      <c r="I20" s="331">
        <f>SUM(AG9:AK9)</f>
        <v>0</v>
      </c>
      <c r="J20" s="331">
        <f>SUM(AH9:AK9)</f>
        <v>0</v>
      </c>
      <c r="K20" s="331">
        <f>SUM(AI9:AK9)</f>
        <v>0</v>
      </c>
      <c r="L20" s="331">
        <f>SUM(AJ9:AK9)</f>
        <v>0</v>
      </c>
      <c r="M20" s="331">
        <f>SUM(AK9:AK9)</f>
        <v>0</v>
      </c>
      <c r="N20" s="301"/>
      <c r="O20" s="303"/>
      <c r="P20" s="303">
        <f>-P12</f>
        <v>-1145970.5596833806</v>
      </c>
      <c r="Q20" s="303">
        <f t="shared" ref="Q20:Y20" si="19">-Q12</f>
        <v>-948253.81361956522</v>
      </c>
      <c r="R20" s="303">
        <f t="shared" si="19"/>
        <v>-757892.28207679838</v>
      </c>
      <c r="S20" s="303">
        <f t="shared" si="19"/>
        <v>-613482.83254222944</v>
      </c>
      <c r="T20" s="303">
        <f t="shared" si="19"/>
        <v>-487081.40160890482</v>
      </c>
      <c r="U20" s="303">
        <f t="shared" si="19"/>
        <v>-369793.67914832942</v>
      </c>
      <c r="V20" s="303">
        <f t="shared" si="19"/>
        <v>-216421.67299599387</v>
      </c>
      <c r="W20" s="303">
        <f t="shared" si="19"/>
        <v>-66541.050010878593</v>
      </c>
      <c r="X20" s="303">
        <f>-X12</f>
        <v>0</v>
      </c>
      <c r="Y20" s="303">
        <f t="shared" si="19"/>
        <v>0</v>
      </c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</row>
    <row r="21" spans="1:50">
      <c r="A21" s="151">
        <v>283328</v>
      </c>
      <c r="B21" s="151" t="s">
        <v>330</v>
      </c>
      <c r="C21" s="301">
        <f>SUM(C15:C20)*-0.21</f>
        <v>-1285147.4685</v>
      </c>
      <c r="D21" s="301">
        <f t="shared" ref="D21:I21" si="20">SUM(D15:D20)*-0.21</f>
        <v>-1116299.9707713907</v>
      </c>
      <c r="E21" s="301">
        <f t="shared" si="20"/>
        <v>-1291586.54707585</v>
      </c>
      <c r="F21" s="301">
        <f t="shared" si="20"/>
        <v>-1223765.9947127977</v>
      </c>
      <c r="G21" s="301">
        <f t="shared" si="20"/>
        <v>-1241828.1585283498</v>
      </c>
      <c r="H21" s="301">
        <f t="shared" si="20"/>
        <v>-1354025.2759061828</v>
      </c>
      <c r="I21" s="301">
        <f t="shared" si="20"/>
        <v>-1354254.3413528847</v>
      </c>
      <c r="J21" s="301">
        <f t="shared" ref="J21:AW21" si="21">SUM(J15:J20)*-0.21</f>
        <v>-1401358.2896395475</v>
      </c>
      <c r="K21" s="301">
        <f t="shared" si="21"/>
        <v>-896057.61501877964</v>
      </c>
      <c r="L21" s="301">
        <f t="shared" si="21"/>
        <v>-1155274.7305651754</v>
      </c>
      <c r="M21" s="301">
        <f t="shared" si="21"/>
        <v>-1190493.9796102222</v>
      </c>
      <c r="N21" s="301">
        <f>SUM(N15:N20)*-0.21</f>
        <v>-1246779.133625861</v>
      </c>
      <c r="O21" s="301">
        <f t="shared" si="21"/>
        <v>-1068436.9631795569</v>
      </c>
      <c r="P21" s="301">
        <f t="shared" si="21"/>
        <v>-1189613.5073414946</v>
      </c>
      <c r="Q21" s="301">
        <f t="shared" si="21"/>
        <v>-1288660.128666043</v>
      </c>
      <c r="R21" s="301">
        <f t="shared" si="21"/>
        <v>-1384475.7239367072</v>
      </c>
      <c r="S21" s="301">
        <f t="shared" si="21"/>
        <v>-1461067.1971521203</v>
      </c>
      <c r="T21" s="301">
        <f t="shared" si="21"/>
        <v>-1530706.1472896726</v>
      </c>
      <c r="U21" s="301">
        <f t="shared" si="21"/>
        <v>-1596812.4249402876</v>
      </c>
      <c r="V21" s="301">
        <f t="shared" si="21"/>
        <v>-1679957.6420380599</v>
      </c>
      <c r="W21" s="301">
        <f t="shared" si="21"/>
        <v>-1760700.7009062904</v>
      </c>
      <c r="X21" s="301">
        <f t="shared" si="21"/>
        <v>-1818643.3594334784</v>
      </c>
      <c r="Y21" s="301">
        <f t="shared" si="21"/>
        <v>-1867337.0514133382</v>
      </c>
      <c r="Z21" s="301">
        <f t="shared" si="21"/>
        <v>-1762081.1098948081</v>
      </c>
      <c r="AA21" s="301">
        <f t="shared" si="21"/>
        <v>-1603089.1227614591</v>
      </c>
      <c r="AB21" s="301">
        <f t="shared" si="21"/>
        <v>-1448393.101293067</v>
      </c>
      <c r="AC21" s="301">
        <f t="shared" si="21"/>
        <v>-1322638.1239848537</v>
      </c>
      <c r="AD21" s="301">
        <f t="shared" si="21"/>
        <v>-1200919.6534760913</v>
      </c>
      <c r="AE21" s="301">
        <f t="shared" si="21"/>
        <v>-1104150.3867808185</v>
      </c>
      <c r="AF21" s="301">
        <f t="shared" si="21"/>
        <v>-1016766.49722889</v>
      </c>
      <c r="AG21" s="301">
        <f t="shared" si="21"/>
        <v>-933755.29101469729</v>
      </c>
      <c r="AH21" s="301">
        <f t="shared" si="21"/>
        <v>-828688.14810694882</v>
      </c>
      <c r="AI21" s="301">
        <f t="shared" si="21"/>
        <v>-725773.41166700784</v>
      </c>
      <c r="AJ21" s="301">
        <f t="shared" si="21"/>
        <v>-637478.36268102215</v>
      </c>
      <c r="AK21" s="301">
        <f t="shared" si="21"/>
        <v>-537419.60218491824</v>
      </c>
      <c r="AL21" s="301">
        <f t="shared" si="21"/>
        <v>-488381.88304255909</v>
      </c>
      <c r="AM21" s="301">
        <f t="shared" si="21"/>
        <v>-425169.03520418482</v>
      </c>
      <c r="AN21" s="301">
        <f t="shared" si="21"/>
        <v>-362945.2362369452</v>
      </c>
      <c r="AO21" s="301">
        <f t="shared" si="21"/>
        <v>-312309.49514054059</v>
      </c>
      <c r="AP21" s="301">
        <f t="shared" si="21"/>
        <v>-263073.75256782776</v>
      </c>
      <c r="AQ21" s="301">
        <f t="shared" si="21"/>
        <v>-223861.77883631468</v>
      </c>
      <c r="AR21" s="301">
        <f t="shared" si="21"/>
        <v>-188475.36482756745</v>
      </c>
      <c r="AS21" s="301">
        <f t="shared" si="21"/>
        <v>-154944.21492414174</v>
      </c>
      <c r="AT21" s="301">
        <f t="shared" si="21"/>
        <v>-113183.80393034656</v>
      </c>
      <c r="AU21" s="301">
        <f t="shared" si="21"/>
        <v>-71996.650642388908</v>
      </c>
      <c r="AV21" s="301">
        <f t="shared" si="21"/>
        <v>-36874.657573676952</v>
      </c>
      <c r="AW21" s="301">
        <f t="shared" si="21"/>
        <v>2820.4909508191199</v>
      </c>
    </row>
    <row r="22" spans="1:50">
      <c r="A22" s="151">
        <v>229000</v>
      </c>
      <c r="B22" s="151" t="s">
        <v>331</v>
      </c>
      <c r="C22" s="302">
        <v>-728117</v>
      </c>
      <c r="D22" s="303">
        <f t="shared" ref="D22:I22" si="22">C22</f>
        <v>-728117</v>
      </c>
      <c r="E22" s="303">
        <f t="shared" si="22"/>
        <v>-728117</v>
      </c>
      <c r="F22" s="303">
        <f t="shared" si="22"/>
        <v>-728117</v>
      </c>
      <c r="G22" s="303">
        <f t="shared" si="22"/>
        <v>-728117</v>
      </c>
      <c r="H22" s="303">
        <f t="shared" si="22"/>
        <v>-728117</v>
      </c>
      <c r="I22" s="303">
        <f t="shared" si="22"/>
        <v>-728117</v>
      </c>
      <c r="J22" s="303">
        <f t="shared" ref="J22:AW22" si="23">I22</f>
        <v>-728117</v>
      </c>
      <c r="K22" s="303">
        <f t="shared" si="23"/>
        <v>-728117</v>
      </c>
      <c r="L22" s="303">
        <f t="shared" si="23"/>
        <v>-728117</v>
      </c>
      <c r="M22" s="303">
        <f t="shared" si="23"/>
        <v>-728117</v>
      </c>
      <c r="N22" s="306">
        <v>0</v>
      </c>
      <c r="O22" s="308">
        <f>-SUM(D32:O32)</f>
        <v>0</v>
      </c>
      <c r="P22" s="303">
        <f t="shared" si="23"/>
        <v>0</v>
      </c>
      <c r="Q22" s="303">
        <f t="shared" si="23"/>
        <v>0</v>
      </c>
      <c r="R22" s="303">
        <f t="shared" si="23"/>
        <v>0</v>
      </c>
      <c r="S22" s="303">
        <f t="shared" si="23"/>
        <v>0</v>
      </c>
      <c r="T22" s="303">
        <f t="shared" si="23"/>
        <v>0</v>
      </c>
      <c r="U22" s="303">
        <f t="shared" si="23"/>
        <v>0</v>
      </c>
      <c r="V22" s="303">
        <f t="shared" si="23"/>
        <v>0</v>
      </c>
      <c r="W22" s="303">
        <f t="shared" si="23"/>
        <v>0</v>
      </c>
      <c r="X22" s="303">
        <f t="shared" si="23"/>
        <v>0</v>
      </c>
      <c r="Y22" s="303">
        <f t="shared" si="23"/>
        <v>0</v>
      </c>
      <c r="Z22" s="306">
        <v>0</v>
      </c>
      <c r="AA22" s="308">
        <f>-SUM(P32:AA32)</f>
        <v>0</v>
      </c>
      <c r="AB22" s="303">
        <f t="shared" si="23"/>
        <v>0</v>
      </c>
      <c r="AC22" s="303">
        <f t="shared" si="23"/>
        <v>0</v>
      </c>
      <c r="AD22" s="303">
        <f t="shared" si="23"/>
        <v>0</v>
      </c>
      <c r="AE22" s="303">
        <f t="shared" si="23"/>
        <v>0</v>
      </c>
      <c r="AF22" s="303">
        <f t="shared" si="23"/>
        <v>0</v>
      </c>
      <c r="AG22" s="303">
        <f t="shared" si="23"/>
        <v>0</v>
      </c>
      <c r="AH22" s="303">
        <f t="shared" si="23"/>
        <v>0</v>
      </c>
      <c r="AI22" s="303">
        <f t="shared" si="23"/>
        <v>0</v>
      </c>
      <c r="AJ22" s="303">
        <f t="shared" si="23"/>
        <v>0</v>
      </c>
      <c r="AK22" s="303">
        <f t="shared" si="23"/>
        <v>0</v>
      </c>
      <c r="AL22" s="306">
        <v>0</v>
      </c>
      <c r="AM22" s="308">
        <f>-SUM(AB32:AM32)</f>
        <v>0</v>
      </c>
      <c r="AN22" s="303">
        <f t="shared" si="23"/>
        <v>0</v>
      </c>
      <c r="AO22" s="303">
        <f t="shared" si="23"/>
        <v>0</v>
      </c>
      <c r="AP22" s="303">
        <f t="shared" si="23"/>
        <v>0</v>
      </c>
      <c r="AQ22" s="303">
        <f t="shared" si="23"/>
        <v>0</v>
      </c>
      <c r="AR22" s="303">
        <f t="shared" si="23"/>
        <v>0</v>
      </c>
      <c r="AS22" s="303">
        <f t="shared" si="23"/>
        <v>0</v>
      </c>
      <c r="AT22" s="303">
        <f t="shared" si="23"/>
        <v>0</v>
      </c>
      <c r="AU22" s="303">
        <f t="shared" si="23"/>
        <v>0</v>
      </c>
      <c r="AV22" s="303">
        <f t="shared" si="23"/>
        <v>0</v>
      </c>
      <c r="AW22" s="303">
        <f t="shared" si="23"/>
        <v>0</v>
      </c>
    </row>
    <row r="23" spans="1:50">
      <c r="A23" s="151">
        <v>190449</v>
      </c>
      <c r="B23" s="151" t="s">
        <v>332</v>
      </c>
      <c r="C23" s="301">
        <f>C22*-0.21</f>
        <v>152904.57</v>
      </c>
      <c r="D23" s="301">
        <f t="shared" ref="D23:I23" si="24">D22*-0.21</f>
        <v>152904.57</v>
      </c>
      <c r="E23" s="301">
        <f t="shared" si="24"/>
        <v>152904.57</v>
      </c>
      <c r="F23" s="301">
        <f t="shared" si="24"/>
        <v>152904.57</v>
      </c>
      <c r="G23" s="301">
        <f t="shared" si="24"/>
        <v>152904.57</v>
      </c>
      <c r="H23" s="301">
        <f t="shared" si="24"/>
        <v>152904.57</v>
      </c>
      <c r="I23" s="301">
        <f t="shared" si="24"/>
        <v>152904.57</v>
      </c>
      <c r="J23" s="301">
        <f>J22*-0.21</f>
        <v>152904.57</v>
      </c>
      <c r="K23" s="301">
        <f>K22*-0.21</f>
        <v>152904.57</v>
      </c>
      <c r="L23" s="301">
        <f>L22*-0.21</f>
        <v>152904.57</v>
      </c>
      <c r="M23" s="301">
        <f>M22*-0.21</f>
        <v>152904.57</v>
      </c>
      <c r="N23" s="301"/>
    </row>
    <row r="24" spans="1:50">
      <c r="B24" s="151" t="s">
        <v>333</v>
      </c>
      <c r="C24" s="301"/>
      <c r="D24" s="281">
        <v>4.2500000000000003E-2</v>
      </c>
      <c r="E24" s="278">
        <f>D24</f>
        <v>4.2500000000000003E-2</v>
      </c>
      <c r="F24" s="278">
        <f>E24</f>
        <v>4.2500000000000003E-2</v>
      </c>
      <c r="G24" s="279">
        <v>4.4699999999999997E-2</v>
      </c>
      <c r="H24" s="278">
        <f>G24</f>
        <v>4.4699999999999997E-2</v>
      </c>
      <c r="I24" s="278">
        <f>H24</f>
        <v>4.4699999999999997E-2</v>
      </c>
      <c r="J24" s="281">
        <v>4.6899999999999997E-2</v>
      </c>
      <c r="K24" s="278">
        <f>J24</f>
        <v>4.6899999999999997E-2</v>
      </c>
      <c r="L24" s="278">
        <f t="shared" ref="L24:AW24" si="25">K24</f>
        <v>4.6899999999999997E-2</v>
      </c>
      <c r="M24" s="278">
        <v>4.9599999999999998E-2</v>
      </c>
      <c r="N24" s="278">
        <f t="shared" si="25"/>
        <v>4.9599999999999998E-2</v>
      </c>
      <c r="O24" s="278">
        <f t="shared" si="25"/>
        <v>4.9599999999999998E-2</v>
      </c>
      <c r="P24" s="278">
        <f t="shared" si="25"/>
        <v>4.9599999999999998E-2</v>
      </c>
      <c r="Q24" s="278">
        <f t="shared" si="25"/>
        <v>4.9599999999999998E-2</v>
      </c>
      <c r="R24" s="278">
        <f t="shared" si="25"/>
        <v>4.9599999999999998E-2</v>
      </c>
      <c r="S24" s="278">
        <f t="shared" si="25"/>
        <v>4.9599999999999998E-2</v>
      </c>
      <c r="T24" s="278">
        <f t="shared" si="25"/>
        <v>4.9599999999999998E-2</v>
      </c>
      <c r="U24" s="278">
        <f t="shared" si="25"/>
        <v>4.9599999999999998E-2</v>
      </c>
      <c r="V24" s="278">
        <f t="shared" si="25"/>
        <v>4.9599999999999998E-2</v>
      </c>
      <c r="W24" s="278">
        <f t="shared" si="25"/>
        <v>4.9599999999999998E-2</v>
      </c>
      <c r="X24" s="278">
        <f t="shared" si="25"/>
        <v>4.9599999999999998E-2</v>
      </c>
      <c r="Y24" s="278">
        <f t="shared" si="25"/>
        <v>4.9599999999999998E-2</v>
      </c>
      <c r="Z24" s="278">
        <f t="shared" si="25"/>
        <v>4.9599999999999998E-2</v>
      </c>
      <c r="AA24" s="278">
        <f t="shared" si="25"/>
        <v>4.9599999999999998E-2</v>
      </c>
      <c r="AB24" s="278">
        <f t="shared" si="25"/>
        <v>4.9599999999999998E-2</v>
      </c>
      <c r="AC24" s="278">
        <f t="shared" si="25"/>
        <v>4.9599999999999998E-2</v>
      </c>
      <c r="AD24" s="278">
        <f t="shared" si="25"/>
        <v>4.9599999999999998E-2</v>
      </c>
      <c r="AE24" s="278">
        <f t="shared" si="25"/>
        <v>4.9599999999999998E-2</v>
      </c>
      <c r="AF24" s="278">
        <f t="shared" si="25"/>
        <v>4.9599999999999998E-2</v>
      </c>
      <c r="AG24" s="278">
        <f t="shared" si="25"/>
        <v>4.9599999999999998E-2</v>
      </c>
      <c r="AH24" s="278">
        <f t="shared" si="25"/>
        <v>4.9599999999999998E-2</v>
      </c>
      <c r="AI24" s="278">
        <f t="shared" si="25"/>
        <v>4.9599999999999998E-2</v>
      </c>
      <c r="AJ24" s="278">
        <f t="shared" si="25"/>
        <v>4.9599999999999998E-2</v>
      </c>
      <c r="AK24" s="278">
        <f t="shared" si="25"/>
        <v>4.9599999999999998E-2</v>
      </c>
      <c r="AL24" s="278">
        <f t="shared" si="25"/>
        <v>4.9599999999999998E-2</v>
      </c>
      <c r="AM24" s="278">
        <f t="shared" si="25"/>
        <v>4.9599999999999998E-2</v>
      </c>
      <c r="AN24" s="278">
        <f t="shared" si="25"/>
        <v>4.9599999999999998E-2</v>
      </c>
      <c r="AO24" s="278">
        <f t="shared" si="25"/>
        <v>4.9599999999999998E-2</v>
      </c>
      <c r="AP24" s="278">
        <f t="shared" si="25"/>
        <v>4.9599999999999998E-2</v>
      </c>
      <c r="AQ24" s="278">
        <f t="shared" si="25"/>
        <v>4.9599999999999998E-2</v>
      </c>
      <c r="AR24" s="278">
        <f t="shared" si="25"/>
        <v>4.9599999999999998E-2</v>
      </c>
      <c r="AS24" s="278">
        <f t="shared" si="25"/>
        <v>4.9599999999999998E-2</v>
      </c>
      <c r="AT24" s="278">
        <f t="shared" si="25"/>
        <v>4.9599999999999998E-2</v>
      </c>
      <c r="AU24" s="278">
        <f t="shared" si="25"/>
        <v>4.9599999999999998E-2</v>
      </c>
      <c r="AV24" s="278">
        <f t="shared" si="25"/>
        <v>4.9599999999999998E-2</v>
      </c>
      <c r="AW24" s="278">
        <f t="shared" si="25"/>
        <v>4.9599999999999998E-2</v>
      </c>
    </row>
    <row r="25" spans="1:50">
      <c r="A25" s="151" t="s">
        <v>334</v>
      </c>
      <c r="C25" s="301"/>
      <c r="E25" s="301"/>
      <c r="F25" s="301"/>
      <c r="G25" s="301"/>
      <c r="H25" s="301"/>
    </row>
    <row r="26" spans="1:50">
      <c r="A26" s="151">
        <v>456328</v>
      </c>
      <c r="B26" s="151" t="s">
        <v>335</v>
      </c>
      <c r="C26" s="309" t="s">
        <v>345</v>
      </c>
      <c r="D26" s="302">
        <f>'Deferral Calc'!D57</f>
        <v>-340574.751469496</v>
      </c>
      <c r="E26" s="302">
        <f>'Deferral Calc'!E57</f>
        <v>-1733954.6555379997</v>
      </c>
      <c r="F26" s="302">
        <f>'Deferral Calc'!F57</f>
        <v>-636727.1022846055</v>
      </c>
      <c r="G26" s="302">
        <f>'Deferral Calc'!G57</f>
        <v>-807146.05</v>
      </c>
      <c r="H26" s="302">
        <f>'Deferral Calc'!H57</f>
        <v>-1141047.094913587</v>
      </c>
      <c r="I26" s="302">
        <f>'Deferral Calc'!I57</f>
        <v>-586951.22483295866</v>
      </c>
      <c r="J26" s="302">
        <f>'Deferral Calc'!J57</f>
        <v>-987416.59147285006</v>
      </c>
      <c r="K26" s="302">
        <f>'Deferral Calc'!K57</f>
        <v>1566768.7632116319</v>
      </c>
      <c r="L26" s="302">
        <f>'Deferral Calc'!L57</f>
        <v>-1809294.6</v>
      </c>
      <c r="M26" s="302">
        <f>'Deferral Calc'!M57</f>
        <v>-827250.55</v>
      </c>
      <c r="N26" s="302">
        <f>'Deferral Calc'!N57</f>
        <v>-853383.29</v>
      </c>
      <c r="O26" s="302">
        <f>'Deferral Calc'!O57</f>
        <v>-241291.62</v>
      </c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  <c r="AU26" s="302"/>
      <c r="AV26" s="302"/>
      <c r="AW26" s="302"/>
    </row>
    <row r="27" spans="1:50">
      <c r="A27" s="151">
        <v>456329</v>
      </c>
      <c r="B27" s="151" t="s">
        <v>336</v>
      </c>
      <c r="C27" s="309" t="s">
        <v>345</v>
      </c>
      <c r="D27" s="313">
        <f>'Deferral Calc'!D61</f>
        <v>1162250.77</v>
      </c>
      <c r="E27" s="313">
        <f>'Deferral Calc'!E61</f>
        <v>916951.19</v>
      </c>
      <c r="F27" s="313">
        <f>'Deferral Calc'!F61</f>
        <v>978281.24</v>
      </c>
      <c r="G27" s="313">
        <f>'Deferral Calc'!G61</f>
        <v>740255.3719426567</v>
      </c>
      <c r="H27" s="313">
        <f>'Deferral Calc'!H61</f>
        <v>627047.86129303998</v>
      </c>
      <c r="I27" s="313">
        <f>'Deferral Calc'!I61</f>
        <v>607128.45038274571</v>
      </c>
      <c r="J27" s="313">
        <f>'Deferral Calc'!J61</f>
        <v>785864.3964810787</v>
      </c>
      <c r="K27" s="313">
        <f>'Deferral Calc'!K61</f>
        <v>857921.78690196818</v>
      </c>
      <c r="L27" s="313">
        <f>'Deferral Calc'!L61</f>
        <v>591138.76653037919</v>
      </c>
      <c r="M27" s="313">
        <f>'Deferral Calc'!M61</f>
        <v>679574.22845479345</v>
      </c>
      <c r="N27" s="313">
        <f>'Deferral Calc'!N61</f>
        <v>-120323.53077317961</v>
      </c>
      <c r="O27" s="313">
        <f>'Deferral Calc'!O61</f>
        <v>-280725.70929970534</v>
      </c>
      <c r="P27" s="301">
        <f t="shared" ref="P27:AO27" si="26">P3*P4</f>
        <v>-298696.69858714577</v>
      </c>
      <c r="Q27" s="301">
        <f t="shared" si="26"/>
        <v>-245275.63531398869</v>
      </c>
      <c r="R27" s="301">
        <f t="shared" si="26"/>
        <v>-236131.64921689726</v>
      </c>
      <c r="S27" s="301">
        <f t="shared" si="26"/>
        <v>-189537.52080639315</v>
      </c>
      <c r="T27" s="301">
        <f t="shared" si="26"/>
        <v>-173560.68313427953</v>
      </c>
      <c r="U27" s="301">
        <f t="shared" si="26"/>
        <v>-165021.5770035593</v>
      </c>
      <c r="V27" s="301">
        <f t="shared" si="26"/>
        <v>-209167.51508403828</v>
      </c>
      <c r="W27" s="301">
        <f t="shared" si="26"/>
        <v>-200235.93672491933</v>
      </c>
      <c r="X27" s="301">
        <f t="shared" si="26"/>
        <v>-174086.4950360425</v>
      </c>
      <c r="Y27" s="301">
        <f t="shared" si="26"/>
        <v>-195674.80901787756</v>
      </c>
      <c r="Z27" s="301">
        <f t="shared" si="26"/>
        <v>628234.20367827232</v>
      </c>
      <c r="AA27" s="301">
        <f t="shared" si="26"/>
        <v>790153.94718018104</v>
      </c>
      <c r="AB27" s="301">
        <f t="shared" si="26"/>
        <v>766616.24630908552</v>
      </c>
      <c r="AC27" s="301">
        <f t="shared" si="26"/>
        <v>626047.44857560168</v>
      </c>
      <c r="AD27" s="301">
        <f t="shared" si="26"/>
        <v>604395.55753616977</v>
      </c>
      <c r="AE27" s="301">
        <f t="shared" si="26"/>
        <v>483444.06288736942</v>
      </c>
      <c r="AF27" s="301">
        <f t="shared" si="26"/>
        <v>436943.22757074679</v>
      </c>
      <c r="AG27" s="301">
        <f t="shared" si="26"/>
        <v>414447.48029978719</v>
      </c>
      <c r="AH27" s="301">
        <f t="shared" si="26"/>
        <v>517628.63784975727</v>
      </c>
      <c r="AI27" s="301">
        <f t="shared" si="26"/>
        <v>505336.49878560362</v>
      </c>
      <c r="AJ27" s="301">
        <f t="shared" si="26"/>
        <v>433841.07330980763</v>
      </c>
      <c r="AK27" s="301">
        <f t="shared" si="26"/>
        <v>488008.92945936532</v>
      </c>
      <c r="AL27" s="301">
        <f t="shared" si="26"/>
        <v>243587.3171543419</v>
      </c>
      <c r="AM27" s="301">
        <f t="shared" si="26"/>
        <v>309985.52018661506</v>
      </c>
      <c r="AN27" s="301">
        <f t="shared" si="26"/>
        <v>304043.85371541796</v>
      </c>
      <c r="AO27" s="301">
        <f t="shared" si="26"/>
        <v>247754.23524486227</v>
      </c>
      <c r="AP27" s="301">
        <f t="shared" ref="AP27:AW27" si="27">AP3*AP4</f>
        <v>240106.7404473311</v>
      </c>
      <c r="AQ27" s="301">
        <f t="shared" si="27"/>
        <v>191505.86522200223</v>
      </c>
      <c r="AR27" s="301">
        <f t="shared" si="27"/>
        <v>172556.28539718242</v>
      </c>
      <c r="AS27" s="301">
        <f t="shared" si="27"/>
        <v>163044.85687379248</v>
      </c>
      <c r="AT27" s="301">
        <f t="shared" si="27"/>
        <v>201492.37804797836</v>
      </c>
      <c r="AU27" s="301">
        <f t="shared" si="27"/>
        <v>197947.95364597175</v>
      </c>
      <c r="AV27" s="301">
        <f t="shared" si="27"/>
        <v>168316.80823773961</v>
      </c>
      <c r="AW27" s="301">
        <f t="shared" si="27"/>
        <v>189358.96183981965</v>
      </c>
    </row>
    <row r="28" spans="1:50">
      <c r="A28" s="222" t="s">
        <v>337</v>
      </c>
      <c r="B28" s="151" t="s">
        <v>338</v>
      </c>
      <c r="C28" s="301"/>
      <c r="D28" s="303">
        <f>SUM(C15:C20,C22)-SUM(D15:D20,D22)-SUM(D26:D27,D31:D32)</f>
        <v>-17640.315060937079</v>
      </c>
      <c r="E28" s="303">
        <f t="shared" ref="E28:H28" si="28">SUM(D15:D20,D22)-SUM(E15:E20,E22)-SUM(E26:E27,E31:E32)</f>
        <v>-17694.516864186153</v>
      </c>
      <c r="F28" s="303">
        <f t="shared" si="28"/>
        <v>-18599.126462764922</v>
      </c>
      <c r="G28" s="303">
        <f t="shared" si="28"/>
        <v>-19119.625826239004</v>
      </c>
      <c r="H28" s="303">
        <f t="shared" si="28"/>
        <v>-20272.75389294303</v>
      </c>
      <c r="I28" s="303">
        <f>SUM(H15:H20,H22)-SUM(I15:I20,I22)-SUM(I26:I27,I31:I32)</f>
        <v>-21268.013391224435</v>
      </c>
      <c r="J28" s="303">
        <f t="shared" ref="J28:AW28" si="29">SUM(I15:I20,I22)-SUM(J15:J20,J22)-SUM(J26:J27,J31:J32)</f>
        <v>-22752.320659003919</v>
      </c>
      <c r="K28" s="303">
        <f t="shared" si="29"/>
        <v>-18496.861443276983</v>
      </c>
      <c r="L28" s="303">
        <f t="shared" si="29"/>
        <v>-16211.383417977951</v>
      </c>
      <c r="M28" s="303">
        <f t="shared" si="29"/>
        <v>-20034.388193111285</v>
      </c>
      <c r="N28" s="303">
        <f t="shared" si="29"/>
        <v>-22434.722158433869</v>
      </c>
      <c r="O28" s="303">
        <f t="shared" si="29"/>
        <v>-25618.615586839383</v>
      </c>
      <c r="P28" s="303">
        <f t="shared" si="29"/>
        <v>-27420.648188898223</v>
      </c>
      <c r="Q28" s="303">
        <f t="shared" si="29"/>
        <v>-28658.196358140558</v>
      </c>
      <c r="R28" s="303">
        <f t="shared" si="29"/>
        <v>-29771.558624451573</v>
      </c>
      <c r="S28" s="303">
        <f t="shared" si="29"/>
        <v>-30774.330684814136</v>
      </c>
      <c r="T28" s="303">
        <f t="shared" si="29"/>
        <v>-31651.934206454665</v>
      </c>
      <c r="U28" s="303">
        <f t="shared" si="29"/>
        <v>-32482.498872127151</v>
      </c>
      <c r="V28" s="303">
        <f t="shared" si="29"/>
        <v>-33390.083991113352</v>
      </c>
      <c r="W28" s="303">
        <f t="shared" si="29"/>
        <v>-34374.196805349085</v>
      </c>
      <c r="X28" s="303">
        <f t="shared" si="29"/>
        <v>-35289.876511116308</v>
      </c>
      <c r="Y28" s="303">
        <f t="shared" si="29"/>
        <v>-36199.914695740212</v>
      </c>
      <c r="Z28" s="303">
        <f t="shared" si="29"/>
        <v>-127015.43454241531</v>
      </c>
      <c r="AA28" s="303">
        <f t="shared" si="29"/>
        <v>-33049.246545185568</v>
      </c>
      <c r="AB28" s="303">
        <f t="shared" si="29"/>
        <v>-29968.525031028083</v>
      </c>
      <c r="AC28" s="303">
        <f t="shared" si="29"/>
        <v>-27214.22329839482</v>
      </c>
      <c r="AD28" s="303">
        <f t="shared" si="29"/>
        <v>-24783.793208730291</v>
      </c>
      <c r="AE28" s="303">
        <f t="shared" si="29"/>
        <v>-22638.031005117809</v>
      </c>
      <c r="AF28" s="303">
        <f t="shared" si="29"/>
        <v>-20829.467799658654</v>
      </c>
      <c r="AG28" s="303">
        <f t="shared" si="29"/>
        <v>-19156.022136964428</v>
      </c>
      <c r="AH28" s="303">
        <f t="shared" si="29"/>
        <v>-17308.909717622038</v>
      </c>
      <c r="AI28" s="303">
        <f t="shared" si="29"/>
        <v>-15266.325262075115</v>
      </c>
      <c r="AJ28" s="303">
        <f t="shared" si="29"/>
        <v>-13388.459090828022</v>
      </c>
      <c r="AK28" s="303">
        <f t="shared" si="29"/>
        <v>-11538.641382680042</v>
      </c>
      <c r="AL28" s="303">
        <f t="shared" si="29"/>
        <v>-10074.368857393565</v>
      </c>
      <c r="AM28" s="303">
        <f t="shared" si="29"/>
        <v>-8971.9590514994925</v>
      </c>
      <c r="AN28" s="303">
        <f t="shared" si="29"/>
        <v>-7740.0491095150937</v>
      </c>
      <c r="AO28" s="303">
        <f t="shared" si="29"/>
        <v>-6631.6585953163449</v>
      </c>
      <c r="AP28" s="303">
        <f t="shared" si="29"/>
        <v>-5650.8234344130615</v>
      </c>
      <c r="AQ28" s="303">
        <f t="shared" si="29"/>
        <v>-4782.1807862255664</v>
      </c>
      <c r="AR28" s="303">
        <f t="shared" si="29"/>
        <v>-4049.5520221955085</v>
      </c>
      <c r="AS28" s="303">
        <f t="shared" si="29"/>
        <v>-3372.7144765271805</v>
      </c>
      <c r="AT28" s="303">
        <f t="shared" si="29"/>
        <v>-2633.278077525174</v>
      </c>
      <c r="AU28" s="303">
        <f t="shared" si="29"/>
        <v>-1818.6522747448471</v>
      </c>
      <c r="AV28" s="303">
        <f t="shared" si="29"/>
        <v>-1069.2221962540934</v>
      </c>
      <c r="AW28" s="303">
        <f t="shared" si="29"/>
        <v>-334.44505650500651</v>
      </c>
    </row>
    <row r="29" spans="1:50">
      <c r="A29" s="222" t="s">
        <v>339</v>
      </c>
      <c r="B29" s="151" t="s">
        <v>340</v>
      </c>
      <c r="C29" s="301"/>
      <c r="D29" s="303">
        <f>SUM(D26:D27,D31:D32)*-0.21</f>
        <v>-172551.96389140585</v>
      </c>
      <c r="E29" s="303">
        <f t="shared" ref="E29:H29" si="30">SUM(E26:E27,E31:E32)*-0.21</f>
        <v>171570.72776297995</v>
      </c>
      <c r="F29" s="303">
        <f t="shared" si="30"/>
        <v>-71726.368920232839</v>
      </c>
      <c r="G29" s="303">
        <f t="shared" si="30"/>
        <v>14047.042392042104</v>
      </c>
      <c r="H29" s="303">
        <f t="shared" si="30"/>
        <v>107939.83906031486</v>
      </c>
      <c r="I29" s="303">
        <f>SUM(I26:I27,I31:I32)*-0.21</f>
        <v>-4237.2173654552807</v>
      </c>
      <c r="J29" s="303">
        <f t="shared" ref="J29:AW29" si="31">SUM(J26:J27,J31:J32)*-0.21</f>
        <v>42325.960948271982</v>
      </c>
      <c r="K29" s="303">
        <f t="shared" si="31"/>
        <v>-509185.01552385604</v>
      </c>
      <c r="L29" s="303">
        <f t="shared" si="31"/>
        <v>255812.72502862039</v>
      </c>
      <c r="M29" s="303">
        <f t="shared" si="31"/>
        <v>31012.027524493384</v>
      </c>
      <c r="N29" s="303">
        <f t="shared" si="31"/>
        <v>204478.43236236772</v>
      </c>
      <c r="O29" s="303">
        <f t="shared" si="31"/>
        <v>-183722.07971954028</v>
      </c>
      <c r="P29" s="303">
        <f t="shared" si="31"/>
        <v>115418.20804226908</v>
      </c>
      <c r="Q29" s="303">
        <f t="shared" si="31"/>
        <v>93028.400089338858</v>
      </c>
      <c r="R29" s="303">
        <f t="shared" si="31"/>
        <v>89563.567959529464</v>
      </c>
      <c r="S29" s="303">
        <f t="shared" si="31"/>
        <v>70128.863771602031</v>
      </c>
      <c r="T29" s="303">
        <f t="shared" si="31"/>
        <v>62992.043954196874</v>
      </c>
      <c r="U29" s="303">
        <f t="shared" si="31"/>
        <v>59284.952887468295</v>
      </c>
      <c r="V29" s="303">
        <f t="shared" si="31"/>
        <v>76133.299459638496</v>
      </c>
      <c r="W29" s="303">
        <f t="shared" si="31"/>
        <v>73524.477539107276</v>
      </c>
      <c r="X29" s="303">
        <f t="shared" si="31"/>
        <v>50531.784459853428</v>
      </c>
      <c r="Y29" s="303">
        <f t="shared" si="31"/>
        <v>41091.709893754283</v>
      </c>
      <c r="Z29" s="303">
        <f t="shared" si="31"/>
        <v>-131929.18277243717</v>
      </c>
      <c r="AA29" s="303">
        <f t="shared" si="31"/>
        <v>-165932.328907838</v>
      </c>
      <c r="AB29" s="303">
        <f t="shared" si="31"/>
        <v>-160989.41172490796</v>
      </c>
      <c r="AC29" s="303">
        <f t="shared" si="31"/>
        <v>-131469.96420087636</v>
      </c>
      <c r="AD29" s="303">
        <f t="shared" si="31"/>
        <v>-126923.06708259565</v>
      </c>
      <c r="AE29" s="303">
        <f t="shared" si="31"/>
        <v>-101523.25320634758</v>
      </c>
      <c r="AF29" s="303">
        <f t="shared" si="31"/>
        <v>-91758.077789856819</v>
      </c>
      <c r="AG29" s="303">
        <f t="shared" si="31"/>
        <v>-87033.970862955306</v>
      </c>
      <c r="AH29" s="303">
        <f t="shared" si="31"/>
        <v>-108702.01394844902</v>
      </c>
      <c r="AI29" s="303">
        <f t="shared" si="31"/>
        <v>-106120.66474497676</v>
      </c>
      <c r="AJ29" s="303">
        <f t="shared" si="31"/>
        <v>-91106.6253950596</v>
      </c>
      <c r="AK29" s="303">
        <f t="shared" si="31"/>
        <v>-102481.87518646671</v>
      </c>
      <c r="AL29" s="303">
        <f t="shared" si="31"/>
        <v>-51153.3366024118</v>
      </c>
      <c r="AM29" s="303">
        <f t="shared" si="31"/>
        <v>-65096.959239189164</v>
      </c>
      <c r="AN29" s="303">
        <f t="shared" si="31"/>
        <v>-63849.209280237774</v>
      </c>
      <c r="AO29" s="303">
        <f t="shared" si="31"/>
        <v>-52028.389401421075</v>
      </c>
      <c r="AP29" s="303">
        <f t="shared" si="31"/>
        <v>-50422.41549393953</v>
      </c>
      <c r="AQ29" s="303">
        <f t="shared" si="31"/>
        <v>-40216.231696620467</v>
      </c>
      <c r="AR29" s="303">
        <f t="shared" si="31"/>
        <v>-36236.819933408304</v>
      </c>
      <c r="AS29" s="303">
        <f t="shared" si="31"/>
        <v>-34239.419943496418</v>
      </c>
      <c r="AT29" s="303">
        <f t="shared" si="31"/>
        <v>-42313.399390075458</v>
      </c>
      <c r="AU29" s="303">
        <f t="shared" si="31"/>
        <v>-41569.070265654067</v>
      </c>
      <c r="AV29" s="303">
        <f t="shared" si="31"/>
        <v>-35346.529729925314</v>
      </c>
      <c r="AW29" s="303">
        <f t="shared" si="31"/>
        <v>-39765.381986362125</v>
      </c>
    </row>
    <row r="30" spans="1:50">
      <c r="A30" s="222" t="s">
        <v>341</v>
      </c>
      <c r="B30" s="151" t="s">
        <v>342</v>
      </c>
      <c r="C30" s="301"/>
      <c r="D30" s="303">
        <f>D28*-0.21</f>
        <v>3704.4661627967862</v>
      </c>
      <c r="E30" s="303">
        <f t="shared" ref="E30:H30" si="32">E28*-0.21</f>
        <v>3715.8485414790921</v>
      </c>
      <c r="F30" s="303">
        <f t="shared" si="32"/>
        <v>3905.8165571806335</v>
      </c>
      <c r="G30" s="303">
        <f t="shared" si="32"/>
        <v>4015.1214235101907</v>
      </c>
      <c r="H30" s="303">
        <f t="shared" si="32"/>
        <v>4257.2783175180366</v>
      </c>
      <c r="I30" s="303">
        <f>I28*-0.21</f>
        <v>4466.282812157131</v>
      </c>
      <c r="J30" s="303">
        <f t="shared" ref="J30:AW30" si="33">J28*-0.21</f>
        <v>4777.9873383908225</v>
      </c>
      <c r="K30" s="303">
        <f t="shared" si="33"/>
        <v>3884.3409030881662</v>
      </c>
      <c r="L30" s="303">
        <f t="shared" si="33"/>
        <v>3404.3905177753695</v>
      </c>
      <c r="M30" s="303">
        <f t="shared" si="33"/>
        <v>4207.2215205533694</v>
      </c>
      <c r="N30" s="303">
        <f t="shared" si="33"/>
        <v>4711.2916532711124</v>
      </c>
      <c r="O30" s="303">
        <f t="shared" si="33"/>
        <v>5379.9092732362706</v>
      </c>
      <c r="P30" s="303">
        <f t="shared" si="33"/>
        <v>5758.3361196686265</v>
      </c>
      <c r="Q30" s="303">
        <f t="shared" si="33"/>
        <v>6018.2212352095166</v>
      </c>
      <c r="R30" s="303">
        <f t="shared" si="33"/>
        <v>6252.0273111348297</v>
      </c>
      <c r="S30" s="303">
        <f t="shared" si="33"/>
        <v>6462.6094438109685</v>
      </c>
      <c r="T30" s="303">
        <f t="shared" si="33"/>
        <v>6646.9061833554797</v>
      </c>
      <c r="U30" s="303">
        <f t="shared" si="33"/>
        <v>6821.3247631467011</v>
      </c>
      <c r="V30" s="303">
        <f t="shared" si="33"/>
        <v>7011.9176381338038</v>
      </c>
      <c r="W30" s="303">
        <f t="shared" si="33"/>
        <v>7218.581329123308</v>
      </c>
      <c r="X30" s="303">
        <f t="shared" si="33"/>
        <v>7410.8740673344246</v>
      </c>
      <c r="Y30" s="303">
        <f t="shared" si="33"/>
        <v>7601.9820861054441</v>
      </c>
      <c r="Z30" s="303">
        <f t="shared" si="33"/>
        <v>26673.241253907214</v>
      </c>
      <c r="AA30" s="303">
        <f t="shared" si="33"/>
        <v>6940.3417744889693</v>
      </c>
      <c r="AB30" s="303">
        <f t="shared" si="33"/>
        <v>6293.3902565158969</v>
      </c>
      <c r="AC30" s="303">
        <f t="shared" si="33"/>
        <v>5714.9868926629115</v>
      </c>
      <c r="AD30" s="303">
        <f t="shared" si="33"/>
        <v>5204.5965738333607</v>
      </c>
      <c r="AE30" s="303">
        <f t="shared" si="33"/>
        <v>4753.9865110747396</v>
      </c>
      <c r="AF30" s="303">
        <f t="shared" si="33"/>
        <v>4374.188237928317</v>
      </c>
      <c r="AG30" s="303">
        <f t="shared" si="33"/>
        <v>4022.7646487625298</v>
      </c>
      <c r="AH30" s="303">
        <f t="shared" si="33"/>
        <v>3634.8710407006279</v>
      </c>
      <c r="AI30" s="303">
        <f t="shared" si="33"/>
        <v>3205.928305035774</v>
      </c>
      <c r="AJ30" s="303">
        <f t="shared" si="33"/>
        <v>2811.5764090738844</v>
      </c>
      <c r="AK30" s="303">
        <f t="shared" si="33"/>
        <v>2423.1146903628087</v>
      </c>
      <c r="AL30" s="303">
        <f t="shared" si="33"/>
        <v>2115.6174600526488</v>
      </c>
      <c r="AM30" s="303">
        <f t="shared" si="33"/>
        <v>1884.1114008148934</v>
      </c>
      <c r="AN30" s="303">
        <f t="shared" si="33"/>
        <v>1625.4103129981697</v>
      </c>
      <c r="AO30" s="303">
        <f t="shared" si="33"/>
        <v>1392.6483050164325</v>
      </c>
      <c r="AP30" s="303">
        <f t="shared" si="33"/>
        <v>1186.6729212267428</v>
      </c>
      <c r="AQ30" s="303">
        <f t="shared" si="33"/>
        <v>1004.2579651073689</v>
      </c>
      <c r="AR30" s="303">
        <f t="shared" si="33"/>
        <v>850.4059246610567</v>
      </c>
      <c r="AS30" s="303">
        <f t="shared" si="33"/>
        <v>708.27004007070786</v>
      </c>
      <c r="AT30" s="303">
        <f t="shared" si="33"/>
        <v>552.98839628028657</v>
      </c>
      <c r="AU30" s="303">
        <f t="shared" si="33"/>
        <v>381.91697769641786</v>
      </c>
      <c r="AV30" s="303">
        <f t="shared" si="33"/>
        <v>224.53666121335962</v>
      </c>
      <c r="AW30" s="303">
        <f t="shared" si="33"/>
        <v>70.233461866051357</v>
      </c>
    </row>
    <row r="31" spans="1:50">
      <c r="A31" s="151">
        <v>456311</v>
      </c>
      <c r="B31" s="151" t="s">
        <v>343</v>
      </c>
      <c r="C31" s="301"/>
      <c r="D31" s="303">
        <f>-(SUM(D19:D20)-SUM(C19:C20))</f>
        <v>0</v>
      </c>
      <c r="E31" s="303">
        <f t="shared" ref="E31:H31" si="34">-(SUM(E19:E20)-SUM(D19:D20))</f>
        <v>0</v>
      </c>
      <c r="F31" s="303">
        <f t="shared" si="34"/>
        <v>0</v>
      </c>
      <c r="G31" s="303">
        <f t="shared" si="34"/>
        <v>0</v>
      </c>
      <c r="H31" s="303">
        <f t="shared" si="34"/>
        <v>0</v>
      </c>
      <c r="I31" s="303">
        <f>-(SUM(I19:I20)-SUM(H19:H20))</f>
        <v>0</v>
      </c>
      <c r="J31" s="303">
        <f t="shared" ref="J31:AW31" si="35">-(SUM(J19:J20)-SUM(I19:I20))</f>
        <v>0</v>
      </c>
      <c r="K31" s="303">
        <f t="shared" si="35"/>
        <v>0</v>
      </c>
      <c r="L31" s="303">
        <f t="shared" si="35"/>
        <v>0</v>
      </c>
      <c r="M31" s="303">
        <f t="shared" si="35"/>
        <v>0</v>
      </c>
      <c r="N31" s="303">
        <f t="shared" si="35"/>
        <v>0</v>
      </c>
      <c r="O31" s="303">
        <f>-(SUM(O19:O20)-SUM(N19:N20))</f>
        <v>1396884.3755832305</v>
      </c>
      <c r="P31" s="303">
        <f t="shared" si="35"/>
        <v>-250913.81589984987</v>
      </c>
      <c r="Q31" s="303">
        <f t="shared" si="35"/>
        <v>-197716.74606381543</v>
      </c>
      <c r="R31" s="303">
        <f t="shared" si="35"/>
        <v>-190361.53154276684</v>
      </c>
      <c r="S31" s="303">
        <f t="shared" si="35"/>
        <v>-144409.44953456894</v>
      </c>
      <c r="T31" s="303">
        <f t="shared" si="35"/>
        <v>-126401.43093332462</v>
      </c>
      <c r="U31" s="303">
        <f t="shared" si="35"/>
        <v>-117287.7224605754</v>
      </c>
      <c r="V31" s="303">
        <f t="shared" si="35"/>
        <v>-153372.00615233555</v>
      </c>
      <c r="W31" s="303">
        <f t="shared" si="35"/>
        <v>-149880.62298511527</v>
      </c>
      <c r="X31" s="303">
        <f t="shared" si="35"/>
        <v>-66541.050010878593</v>
      </c>
      <c r="Y31" s="303">
        <f t="shared" si="35"/>
        <v>0</v>
      </c>
      <c r="Z31" s="303">
        <f t="shared" si="35"/>
        <v>0</v>
      </c>
      <c r="AA31" s="303">
        <f t="shared" si="35"/>
        <v>0</v>
      </c>
      <c r="AB31" s="303">
        <f t="shared" si="35"/>
        <v>0</v>
      </c>
      <c r="AC31" s="303">
        <f t="shared" si="35"/>
        <v>0</v>
      </c>
      <c r="AD31" s="303">
        <f t="shared" si="35"/>
        <v>0</v>
      </c>
      <c r="AE31" s="303">
        <f t="shared" si="35"/>
        <v>0</v>
      </c>
      <c r="AF31" s="303">
        <f t="shared" si="35"/>
        <v>0</v>
      </c>
      <c r="AG31" s="303">
        <f t="shared" si="35"/>
        <v>0</v>
      </c>
      <c r="AH31" s="303">
        <f t="shared" si="35"/>
        <v>0</v>
      </c>
      <c r="AI31" s="303">
        <f t="shared" si="35"/>
        <v>0</v>
      </c>
      <c r="AJ31" s="303">
        <f t="shared" si="35"/>
        <v>0</v>
      </c>
      <c r="AK31" s="303">
        <f t="shared" si="35"/>
        <v>0</v>
      </c>
      <c r="AL31" s="303">
        <f t="shared" si="35"/>
        <v>0</v>
      </c>
      <c r="AM31" s="303">
        <f t="shared" si="35"/>
        <v>0</v>
      </c>
      <c r="AN31" s="303">
        <f t="shared" si="35"/>
        <v>0</v>
      </c>
      <c r="AO31" s="303">
        <f t="shared" si="35"/>
        <v>0</v>
      </c>
      <c r="AP31" s="303">
        <f t="shared" si="35"/>
        <v>0</v>
      </c>
      <c r="AQ31" s="303">
        <f t="shared" si="35"/>
        <v>0</v>
      </c>
      <c r="AR31" s="303">
        <f t="shared" si="35"/>
        <v>0</v>
      </c>
      <c r="AS31" s="303">
        <f t="shared" si="35"/>
        <v>0</v>
      </c>
      <c r="AT31" s="303">
        <f t="shared" si="35"/>
        <v>0</v>
      </c>
      <c r="AU31" s="303">
        <f t="shared" si="35"/>
        <v>0</v>
      </c>
      <c r="AV31" s="303">
        <f t="shared" si="35"/>
        <v>0</v>
      </c>
      <c r="AW31" s="303">
        <f t="shared" si="35"/>
        <v>0</v>
      </c>
    </row>
    <row r="32" spans="1:50">
      <c r="A32" s="151">
        <v>449100</v>
      </c>
      <c r="B32" s="151" t="s">
        <v>331</v>
      </c>
      <c r="C32" s="310">
        <v>0</v>
      </c>
      <c r="D32" s="310"/>
      <c r="E32" s="310"/>
      <c r="F32" s="310"/>
      <c r="G32" s="310"/>
      <c r="H32" s="310"/>
      <c r="I32" s="310"/>
      <c r="K32" s="311"/>
      <c r="L32" s="310"/>
      <c r="N32" s="301"/>
      <c r="O32" s="310"/>
      <c r="P32" s="170"/>
      <c r="R32" s="310"/>
      <c r="U32" s="310"/>
      <c r="W32" s="311"/>
      <c r="X32" s="310"/>
      <c r="Z32" s="301"/>
      <c r="AA32" s="310"/>
      <c r="AB32" s="170"/>
      <c r="AD32" s="310"/>
      <c r="AG32" s="310"/>
      <c r="AI32" s="311"/>
      <c r="AJ32" s="310"/>
      <c r="AL32" s="301"/>
      <c r="AM32" s="310"/>
      <c r="AN32" s="170"/>
      <c r="AP32" s="310"/>
      <c r="AS32" s="310"/>
      <c r="AU32" s="311"/>
      <c r="AV32" s="310"/>
      <c r="AX32" s="170"/>
    </row>
    <row r="33" spans="1:49">
      <c r="C33" s="301"/>
      <c r="D33" s="301"/>
      <c r="E33" s="301"/>
      <c r="F33" s="301"/>
      <c r="G33" s="301"/>
      <c r="H33" s="301"/>
    </row>
    <row r="34" spans="1:49">
      <c r="A34" s="397" t="s">
        <v>184</v>
      </c>
      <c r="B34" s="397"/>
      <c r="C34" s="301"/>
      <c r="D34" s="301"/>
      <c r="E34" s="301"/>
      <c r="F34" s="301"/>
      <c r="G34" s="301"/>
      <c r="H34" s="301"/>
    </row>
    <row r="35" spans="1:49">
      <c r="A35" s="293" t="s">
        <v>314</v>
      </c>
      <c r="B35" s="312" t="s">
        <v>344</v>
      </c>
      <c r="C35" s="301"/>
      <c r="D35" s="314" t="s">
        <v>346</v>
      </c>
      <c r="E35" s="314" t="s">
        <v>346</v>
      </c>
      <c r="F35" s="314" t="s">
        <v>346</v>
      </c>
      <c r="G35" s="314" t="s">
        <v>346</v>
      </c>
      <c r="H35" s="314" t="s">
        <v>346</v>
      </c>
      <c r="I35" s="314" t="s">
        <v>346</v>
      </c>
      <c r="J35" s="330" t="s">
        <v>346</v>
      </c>
      <c r="K35" s="334" t="s">
        <v>346</v>
      </c>
      <c r="L35" s="340" t="s">
        <v>346</v>
      </c>
      <c r="M35" s="367" t="s">
        <v>346</v>
      </c>
      <c r="N35" s="377" t="s">
        <v>346</v>
      </c>
      <c r="O35" s="294">
        <v>189814201.73591179</v>
      </c>
      <c r="P35" s="294">
        <v>186313253.76808581</v>
      </c>
      <c r="Q35" s="294">
        <v>164520840.98907495</v>
      </c>
      <c r="R35" s="294">
        <v>174180410.69505116</v>
      </c>
      <c r="S35" s="294">
        <v>162405194.71054432</v>
      </c>
      <c r="T35" s="294">
        <v>172942336.91653362</v>
      </c>
      <c r="U35" s="294">
        <v>176564147.13102299</v>
      </c>
      <c r="V35" s="294">
        <v>213507316.94989979</v>
      </c>
      <c r="W35" s="294">
        <v>200797741.49273083</v>
      </c>
      <c r="X35" s="294">
        <v>176607554.57601932</v>
      </c>
      <c r="Y35" s="294">
        <v>178093995.55826968</v>
      </c>
      <c r="Z35" s="294">
        <v>178102914.76759753</v>
      </c>
      <c r="AA35" s="294">
        <v>191076795.07881239</v>
      </c>
      <c r="AB35" s="294">
        <v>186640714.03679577</v>
      </c>
      <c r="AC35" s="294">
        <v>164542312.59761468</v>
      </c>
      <c r="AD35" s="294">
        <v>175036459.21899581</v>
      </c>
      <c r="AE35" s="294">
        <v>163258807.06129554</v>
      </c>
      <c r="AF35" s="294">
        <v>172768508.1582174</v>
      </c>
      <c r="AG35" s="294">
        <v>178370460.59688199</v>
      </c>
      <c r="AH35" s="294">
        <v>212605129.83371052</v>
      </c>
      <c r="AI35" s="294">
        <v>202971041.63094145</v>
      </c>
      <c r="AJ35" s="294">
        <v>176824826.77638102</v>
      </c>
      <c r="AK35" s="294">
        <v>180622932.2859315</v>
      </c>
      <c r="AL35" s="294">
        <v>179486955.44977126</v>
      </c>
      <c r="AM35" s="294">
        <v>192077685.63945252</v>
      </c>
      <c r="AN35" s="294">
        <v>187126487.69295251</v>
      </c>
      <c r="AO35" s="294">
        <v>164711259.79667628</v>
      </c>
      <c r="AP35" s="294">
        <v>175340247.40451962</v>
      </c>
      <c r="AQ35" s="294">
        <v>163020264.58256891</v>
      </c>
      <c r="AR35" s="294">
        <v>172617708.05657271</v>
      </c>
      <c r="AS35" s="294">
        <v>179607415.91563067</v>
      </c>
      <c r="AT35" s="294">
        <v>213340344.94658688</v>
      </c>
      <c r="AU35" s="294">
        <v>204491248.33575168</v>
      </c>
      <c r="AV35" s="294">
        <v>177270125.99340478</v>
      </c>
      <c r="AW35" s="294">
        <v>182995083.40999806</v>
      </c>
    </row>
    <row r="36" spans="1:49" s="297" customFormat="1">
      <c r="A36" s="295" t="s">
        <v>254</v>
      </c>
      <c r="B36" s="296"/>
      <c r="D36" s="297">
        <v>3.8000000000000002E-4</v>
      </c>
      <c r="E36" s="297">
        <f>D36</f>
        <v>3.8000000000000002E-4</v>
      </c>
      <c r="F36" s="297">
        <f t="shared" ref="F36" si="36">E36</f>
        <v>3.8000000000000002E-4</v>
      </c>
      <c r="G36" s="297">
        <f t="shared" ref="G36" si="37">F36</f>
        <v>3.8000000000000002E-4</v>
      </c>
      <c r="H36" s="297">
        <f t="shared" ref="H36:I36" si="38">G36</f>
        <v>3.8000000000000002E-4</v>
      </c>
      <c r="I36" s="297">
        <f t="shared" si="38"/>
        <v>3.8000000000000002E-4</v>
      </c>
      <c r="J36" s="297">
        <f>I36</f>
        <v>3.8000000000000002E-4</v>
      </c>
      <c r="K36" s="297">
        <f t="shared" ref="K36:AW36" si="39">J36</f>
        <v>3.8000000000000002E-4</v>
      </c>
      <c r="L36" s="297">
        <f t="shared" si="39"/>
        <v>3.8000000000000002E-4</v>
      </c>
      <c r="M36" s="297">
        <f t="shared" si="39"/>
        <v>3.8000000000000002E-4</v>
      </c>
      <c r="N36" s="338">
        <v>5.1999999999999995E-4</v>
      </c>
      <c r="O36" s="297">
        <f t="shared" ref="O36:Y36" si="40">N36</f>
        <v>5.1999999999999995E-4</v>
      </c>
      <c r="P36" s="297">
        <f t="shared" si="40"/>
        <v>5.1999999999999995E-4</v>
      </c>
      <c r="Q36" s="297">
        <f t="shared" si="40"/>
        <v>5.1999999999999995E-4</v>
      </c>
      <c r="R36" s="297">
        <f t="shared" si="40"/>
        <v>5.1999999999999995E-4</v>
      </c>
      <c r="S36" s="297">
        <f t="shared" si="40"/>
        <v>5.1999999999999995E-4</v>
      </c>
      <c r="T36" s="297">
        <f t="shared" si="40"/>
        <v>5.1999999999999995E-4</v>
      </c>
      <c r="U36" s="297">
        <f t="shared" si="40"/>
        <v>5.1999999999999995E-4</v>
      </c>
      <c r="V36" s="297">
        <f t="shared" si="40"/>
        <v>5.1999999999999995E-4</v>
      </c>
      <c r="W36" s="297">
        <f t="shared" si="40"/>
        <v>5.1999999999999995E-4</v>
      </c>
      <c r="X36" s="297">
        <f t="shared" si="40"/>
        <v>5.1999999999999995E-4</v>
      </c>
      <c r="Y36" s="297">
        <f t="shared" si="40"/>
        <v>5.1999999999999995E-4</v>
      </c>
      <c r="Z36" s="297">
        <f>ROUND(Z37-Z40,5)</f>
        <v>3.46E-3</v>
      </c>
      <c r="AA36" s="297">
        <f t="shared" si="39"/>
        <v>3.46E-3</v>
      </c>
      <c r="AB36" s="297">
        <f t="shared" si="39"/>
        <v>3.46E-3</v>
      </c>
      <c r="AC36" s="297">
        <f t="shared" si="39"/>
        <v>3.46E-3</v>
      </c>
      <c r="AD36" s="297">
        <f t="shared" si="39"/>
        <v>3.46E-3</v>
      </c>
      <c r="AE36" s="297">
        <f t="shared" si="39"/>
        <v>3.46E-3</v>
      </c>
      <c r="AF36" s="297">
        <f t="shared" si="39"/>
        <v>3.46E-3</v>
      </c>
      <c r="AG36" s="297">
        <f t="shared" si="39"/>
        <v>3.46E-3</v>
      </c>
      <c r="AH36" s="297">
        <f t="shared" si="39"/>
        <v>3.46E-3</v>
      </c>
      <c r="AI36" s="297">
        <f t="shared" si="39"/>
        <v>3.46E-3</v>
      </c>
      <c r="AJ36" s="297">
        <f t="shared" si="39"/>
        <v>3.46E-3</v>
      </c>
      <c r="AK36" s="297">
        <f t="shared" si="39"/>
        <v>3.46E-3</v>
      </c>
      <c r="AL36" s="297">
        <f>ROUND(AL37-AL40,5)</f>
        <v>0</v>
      </c>
      <c r="AM36" s="297">
        <f t="shared" si="39"/>
        <v>0</v>
      </c>
      <c r="AN36" s="297">
        <f t="shared" si="39"/>
        <v>0</v>
      </c>
      <c r="AO36" s="297">
        <f t="shared" si="39"/>
        <v>0</v>
      </c>
      <c r="AP36" s="297">
        <f t="shared" si="39"/>
        <v>0</v>
      </c>
      <c r="AQ36" s="297">
        <f t="shared" si="39"/>
        <v>0</v>
      </c>
      <c r="AR36" s="297">
        <f t="shared" si="39"/>
        <v>0</v>
      </c>
      <c r="AS36" s="297">
        <f t="shared" si="39"/>
        <v>0</v>
      </c>
      <c r="AT36" s="297">
        <f t="shared" si="39"/>
        <v>0</v>
      </c>
      <c r="AU36" s="297">
        <f t="shared" si="39"/>
        <v>0</v>
      </c>
      <c r="AV36" s="297">
        <f t="shared" si="39"/>
        <v>0</v>
      </c>
      <c r="AW36" s="297">
        <f t="shared" si="39"/>
        <v>0</v>
      </c>
    </row>
    <row r="37" spans="1:49">
      <c r="A37" s="293" t="s">
        <v>315</v>
      </c>
      <c r="B37" s="292"/>
      <c r="C37" s="301"/>
      <c r="D37" s="301"/>
      <c r="E37" s="301"/>
      <c r="F37" s="301"/>
      <c r="G37" s="301"/>
      <c r="H37" s="301"/>
      <c r="L37" s="222"/>
      <c r="N37" s="298">
        <f>ROUND((M48+M49+M54)*1.025/(SUM(N35:Y35)),5)</f>
        <v>5.6999999999999998E-4</v>
      </c>
      <c r="O37" s="300">
        <f>O5</f>
        <v>0.95444899999999999</v>
      </c>
      <c r="P37" s="201" t="s">
        <v>252</v>
      </c>
      <c r="Z37" s="298">
        <f>ROUND((Y48+Y49+Y54)*1.025/(SUM(Z35:AK35)),5)</f>
        <v>3.46E-3</v>
      </c>
      <c r="AA37" s="300">
        <f>AA5</f>
        <v>0.95444899999999999</v>
      </c>
      <c r="AB37" s="201" t="s">
        <v>252</v>
      </c>
      <c r="AL37" s="298">
        <f>ROUND((AK48+AK49+AK54)*1.025/(SUM(AL35:AW35)),5)</f>
        <v>0</v>
      </c>
      <c r="AM37" s="300">
        <f>AM5</f>
        <v>0.95444899999999999</v>
      </c>
      <c r="AN37" s="201" t="s">
        <v>252</v>
      </c>
      <c r="AV37" s="222"/>
    </row>
    <row r="38" spans="1:49">
      <c r="A38" s="293" t="s">
        <v>316</v>
      </c>
      <c r="B38" s="292"/>
      <c r="C38" s="301"/>
      <c r="D38" s="301"/>
      <c r="E38" s="301"/>
      <c r="F38" s="301"/>
      <c r="G38" s="301"/>
      <c r="H38" s="301"/>
      <c r="L38" s="222"/>
      <c r="N38" s="301">
        <f>IF(M36&gt;0,N37*SUM(N35:Y35)-M36*SUM(N35:Y35),N37*SUM(N35:Y35))</f>
        <v>379191.92895939725</v>
      </c>
      <c r="O38" s="338">
        <f>ROUND(N36/O37,5)</f>
        <v>5.4000000000000001E-4</v>
      </c>
      <c r="P38" s="339" t="s">
        <v>373</v>
      </c>
      <c r="Z38" s="301">
        <f>IF(Y36&gt;0,Z37*SUM(Z35:AK35)-Y36*SUM(Z35:AK35),Z37*SUM(Z35:AK35))</f>
        <v>6417493.4520069351</v>
      </c>
      <c r="AA38" s="297">
        <f>ROUND(Z36/AA37,5)</f>
        <v>3.63E-3</v>
      </c>
      <c r="AB38" s="201" t="s">
        <v>317</v>
      </c>
      <c r="AL38" s="301">
        <f>IF(AK36&gt;0,AL37*SUM(AL35:AW35)-AK36*SUM(AL35:AW35),AL37*SUM(AL35:AW35))</f>
        <v>-7584613.5021946458</v>
      </c>
      <c r="AM38" s="297">
        <f>ROUND(AL36/AM37,5)</f>
        <v>0</v>
      </c>
      <c r="AN38" s="201" t="s">
        <v>317</v>
      </c>
      <c r="AV38" s="222"/>
      <c r="AW38" s="297"/>
    </row>
    <row r="39" spans="1:49">
      <c r="A39" s="293" t="s">
        <v>318</v>
      </c>
      <c r="B39" s="292"/>
      <c r="C39" s="301"/>
      <c r="D39" s="301"/>
      <c r="E39" s="301"/>
      <c r="F39" s="301"/>
      <c r="G39" s="301"/>
      <c r="H39" s="301"/>
      <c r="L39" s="222" t="s">
        <v>319</v>
      </c>
      <c r="M39" s="313">
        <v>224250</v>
      </c>
      <c r="N39" s="301">
        <f>M39*1000*0.03</f>
        <v>6727500</v>
      </c>
      <c r="O39" s="303">
        <f>IF(M36&gt;0,M36*SUM(N35:Y35)+N39,N39)</f>
        <v>7485883.8579187952</v>
      </c>
      <c r="P39" s="151" t="s">
        <v>320</v>
      </c>
      <c r="X39" s="222" t="s">
        <v>319</v>
      </c>
      <c r="Y39" s="301">
        <f>M39</f>
        <v>224250</v>
      </c>
      <c r="Z39" s="301">
        <f>Y39*1000*0.03</f>
        <v>6727500</v>
      </c>
      <c r="AA39" s="303">
        <f>IF(Y36&gt;0,Y36*SUM(Z35:AK35)+Z39,Z39)</f>
        <v>7862566.8690624507</v>
      </c>
      <c r="AB39" s="151" t="s">
        <v>320</v>
      </c>
      <c r="AJ39" s="222" t="s">
        <v>319</v>
      </c>
      <c r="AK39" s="301">
        <f>Y39</f>
        <v>224250</v>
      </c>
      <c r="AL39" s="301">
        <f>AK39*1000*0.03</f>
        <v>6727500</v>
      </c>
      <c r="AM39" s="303">
        <f>IF(AK36&gt;0,AK36*SUM(AL35:AW35)+AL39,AL39)</f>
        <v>14312113.502194647</v>
      </c>
      <c r="AN39" s="151" t="s">
        <v>320</v>
      </c>
      <c r="AV39" s="222"/>
      <c r="AW39" s="301"/>
    </row>
    <row r="40" spans="1:49">
      <c r="A40" s="293" t="s">
        <v>321</v>
      </c>
      <c r="B40" s="292"/>
      <c r="C40" s="305"/>
      <c r="D40" s="305"/>
      <c r="E40" s="305"/>
      <c r="F40" s="305"/>
      <c r="G40" s="305"/>
      <c r="H40" s="305"/>
      <c r="I40" s="305"/>
      <c r="J40" s="305"/>
      <c r="K40" s="305"/>
      <c r="L40" s="305"/>
      <c r="M40" s="305"/>
      <c r="N40" s="277">
        <f>IF(N38&gt;N39,N37-N42,0)</f>
        <v>0</v>
      </c>
      <c r="Z40" s="277">
        <f>IF(Z38&gt;Z39,Z37-Z42,0)</f>
        <v>0</v>
      </c>
      <c r="AL40" s="277">
        <f>IF(AL38&gt;AL39,AL37-AL42,0)</f>
        <v>0</v>
      </c>
    </row>
    <row r="41" spans="1:49">
      <c r="A41" s="293" t="s">
        <v>322</v>
      </c>
      <c r="B41" s="292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277"/>
      <c r="Z41" s="301">
        <f>N40*Z35</f>
        <v>0</v>
      </c>
      <c r="AA41" s="301">
        <f>N40*AA35</f>
        <v>0</v>
      </c>
      <c r="AB41" s="301">
        <f>N40*AB35</f>
        <v>0</v>
      </c>
      <c r="AC41" s="301">
        <f>N40*AC35</f>
        <v>0</v>
      </c>
      <c r="AD41" s="301">
        <f>N40*AD35</f>
        <v>0</v>
      </c>
      <c r="AE41" s="301">
        <f>N40*AE35</f>
        <v>0</v>
      </c>
      <c r="AF41" s="301">
        <f>N40*AF35</f>
        <v>0</v>
      </c>
      <c r="AG41" s="301">
        <f>N40*AG35</f>
        <v>0</v>
      </c>
      <c r="AH41" s="301">
        <f>N40*AH35</f>
        <v>0</v>
      </c>
      <c r="AI41" s="301">
        <f>N40*AI35</f>
        <v>0</v>
      </c>
      <c r="AJ41" s="301">
        <f>N40*AJ35</f>
        <v>0</v>
      </c>
      <c r="AK41" s="301">
        <f>N40*AK35</f>
        <v>0</v>
      </c>
      <c r="AL41" s="301">
        <f>Z40*AL35</f>
        <v>0</v>
      </c>
      <c r="AM41" s="301">
        <f>Z40*AM35</f>
        <v>0</v>
      </c>
      <c r="AN41" s="301">
        <f>Z40*AN35</f>
        <v>0</v>
      </c>
      <c r="AO41" s="301">
        <f>Z40*AO35</f>
        <v>0</v>
      </c>
      <c r="AP41" s="301">
        <f>Z40*AP35</f>
        <v>0</v>
      </c>
      <c r="AQ41" s="301">
        <f>Z40*AQ35</f>
        <v>0</v>
      </c>
      <c r="AR41" s="301">
        <f>Z40*AR35</f>
        <v>0</v>
      </c>
      <c r="AS41" s="301">
        <f>Z40*AS35</f>
        <v>0</v>
      </c>
      <c r="AT41" s="301">
        <f>Z40*AT35</f>
        <v>0</v>
      </c>
      <c r="AU41" s="301">
        <f>Z40*AU35</f>
        <v>0</v>
      </c>
      <c r="AV41" s="301">
        <f>Z40*AV35</f>
        <v>0</v>
      </c>
      <c r="AW41" s="301">
        <f>Z40*AW35</f>
        <v>0</v>
      </c>
    </row>
    <row r="42" spans="1:49">
      <c r="A42" s="293" t="s">
        <v>358</v>
      </c>
      <c r="B42" s="317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277">
        <f>O39/SUM(N35:Y35)*O37</f>
        <v>3.5800601889489046E-3</v>
      </c>
      <c r="O42" s="303"/>
      <c r="X42" s="222"/>
      <c r="Y42" s="301"/>
      <c r="Z42" s="277">
        <f>AA39/SUM(Z35:AK35)*AA37</f>
        <v>3.4379454029350104E-3</v>
      </c>
      <c r="AA42" s="277">
        <f>Z42</f>
        <v>3.4379454029350104E-3</v>
      </c>
      <c r="AB42" s="277">
        <f t="shared" ref="AB42" si="41">AA42</f>
        <v>3.4379454029350104E-3</v>
      </c>
      <c r="AC42" s="277">
        <f t="shared" ref="AC42" si="42">AB42</f>
        <v>3.4379454029350104E-3</v>
      </c>
      <c r="AD42" s="277">
        <f t="shared" ref="AD42" si="43">AC42</f>
        <v>3.4379454029350104E-3</v>
      </c>
      <c r="AE42" s="277">
        <f t="shared" ref="AE42" si="44">AD42</f>
        <v>3.4379454029350104E-3</v>
      </c>
      <c r="AF42" s="277">
        <f t="shared" ref="AF42" si="45">AE42</f>
        <v>3.4379454029350104E-3</v>
      </c>
      <c r="AG42" s="277">
        <f t="shared" ref="AG42" si="46">AF42</f>
        <v>3.4379454029350104E-3</v>
      </c>
      <c r="AH42" s="277">
        <f t="shared" ref="AH42" si="47">AG42</f>
        <v>3.4379454029350104E-3</v>
      </c>
      <c r="AI42" s="277">
        <f t="shared" ref="AI42" si="48">AH42</f>
        <v>3.4379454029350104E-3</v>
      </c>
      <c r="AJ42" s="277">
        <f t="shared" ref="AJ42" si="49">AI42</f>
        <v>3.4379454029350104E-3</v>
      </c>
      <c r="AK42" s="277">
        <f t="shared" ref="AK42" si="50">AJ42</f>
        <v>3.4379454029350104E-3</v>
      </c>
      <c r="AL42" s="277">
        <f>AM39/SUM(AL35:AW35)*AM37</f>
        <v>6.2315938919917588E-3</v>
      </c>
      <c r="AM42" s="277">
        <f>AL42</f>
        <v>6.2315938919917588E-3</v>
      </c>
      <c r="AN42" s="277">
        <f t="shared" ref="AN42" si="51">AM42</f>
        <v>6.2315938919917588E-3</v>
      </c>
      <c r="AO42" s="277">
        <f t="shared" ref="AO42" si="52">AN42</f>
        <v>6.2315938919917588E-3</v>
      </c>
      <c r="AP42" s="277">
        <f t="shared" ref="AP42" si="53">AO42</f>
        <v>6.2315938919917588E-3</v>
      </c>
      <c r="AQ42" s="277">
        <f t="shared" ref="AQ42" si="54">AP42</f>
        <v>6.2315938919917588E-3</v>
      </c>
      <c r="AR42" s="277">
        <f t="shared" ref="AR42" si="55">AQ42</f>
        <v>6.2315938919917588E-3</v>
      </c>
      <c r="AS42" s="277">
        <f t="shared" ref="AS42" si="56">AR42</f>
        <v>6.2315938919917588E-3</v>
      </c>
      <c r="AT42" s="277">
        <f t="shared" ref="AT42" si="57">AS42</f>
        <v>6.2315938919917588E-3</v>
      </c>
      <c r="AU42" s="277">
        <f t="shared" ref="AU42" si="58">AT42</f>
        <v>6.2315938919917588E-3</v>
      </c>
      <c r="AV42" s="277">
        <f t="shared" ref="AV42" si="59">AU42</f>
        <v>6.2315938919917588E-3</v>
      </c>
      <c r="AW42" s="277">
        <f t="shared" ref="AW42" si="60">AV42</f>
        <v>6.2315938919917588E-3</v>
      </c>
    </row>
    <row r="43" spans="1:49">
      <c r="A43" s="293" t="s">
        <v>359</v>
      </c>
      <c r="B43" s="317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1"/>
      <c r="O43" s="301">
        <f>SUMPRODUCT($Z35:$AK35,-$Z42:$AK42)-SUM($AL41:AM41)</f>
        <v>-7504419.0856097881</v>
      </c>
      <c r="P43" s="301">
        <f>SUMPRODUCT($Z35:$AK35,-$Z42:$AK42)-SUM($AL41:AN41)</f>
        <v>-7504419.0856097881</v>
      </c>
      <c r="Q43" s="301">
        <f>SUMPRODUCT($Z35:$AK35,-$Z42:$AK42)-SUM($AL41:AO41)</f>
        <v>-7504419.0856097881</v>
      </c>
      <c r="R43" s="301">
        <f>SUMPRODUCT($Z35:$AK35,-$Z42:$AK42)-SUM($AL41:AP41)</f>
        <v>-7504419.0856097881</v>
      </c>
      <c r="S43" s="301">
        <f>SUMPRODUCT($Z35:$AK35,-$Z42:$AK42)-SUM($AL41:AQ41)</f>
        <v>-7504419.0856097881</v>
      </c>
      <c r="T43" s="301">
        <f>SUMPRODUCT($Z35:$AK35,-$Z42:$AK42)-SUM($AL41:AR41)</f>
        <v>-7504419.0856097881</v>
      </c>
      <c r="U43" s="301">
        <f>SUMPRODUCT($Z35:$AK35,-$Z42:$AK42)-SUM($AL41:AS41)</f>
        <v>-7504419.0856097881</v>
      </c>
      <c r="V43" s="301">
        <f>SUMPRODUCT($Z35:$AK35,-$Z42:$AK42)-SUM($AL41:AT41)</f>
        <v>-7504419.0856097881</v>
      </c>
      <c r="W43" s="301">
        <f>SUMPRODUCT($Z35:$AK35,-$Z42:$AK42)-SUM($AL41:AU41)</f>
        <v>-7504419.0856097881</v>
      </c>
      <c r="X43" s="301">
        <f>SUMPRODUCT($Z35:$AK35,-$Z42:$AK42)-SUM($AL41:AV41)</f>
        <v>-7504419.0856097881</v>
      </c>
      <c r="Y43" s="301">
        <f>SUMPRODUCT($Z35:$AK35,-$Z42:$AK42)-SUM($AL41:AW41)</f>
        <v>-7504419.0856097881</v>
      </c>
      <c r="Z43" s="301"/>
      <c r="AA43" s="303"/>
      <c r="AJ43" s="222"/>
      <c r="AK43" s="301"/>
      <c r="AL43" s="301"/>
      <c r="AM43" s="303"/>
      <c r="AV43" s="222"/>
      <c r="AW43" s="304"/>
    </row>
    <row r="44" spans="1:49">
      <c r="A44" s="293" t="s">
        <v>361</v>
      </c>
      <c r="B44" s="317"/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O44" s="326">
        <f>IF($Y48&gt;0,IF(O43+O47+O48+O54&lt;0,0,+O43+O47+O48+O54),0)</f>
        <v>0</v>
      </c>
      <c r="P44" s="280">
        <f>IF($Y48&gt;0,IF(P43+P48+P54&lt;0,0,+P43+P48+P54),0)</f>
        <v>0</v>
      </c>
      <c r="Q44" s="280">
        <f t="shared" ref="Q44:Y44" si="61">IF($Y48&gt;0,IF(Q43+Q48+Q54&lt;0,0,+Q43+Q48+Q54),0)</f>
        <v>0</v>
      </c>
      <c r="R44" s="280">
        <f t="shared" si="61"/>
        <v>0</v>
      </c>
      <c r="S44" s="280">
        <f t="shared" si="61"/>
        <v>0</v>
      </c>
      <c r="T44" s="280">
        <f t="shared" si="61"/>
        <v>0</v>
      </c>
      <c r="U44" s="280">
        <f t="shared" si="61"/>
        <v>0</v>
      </c>
      <c r="V44" s="280">
        <f t="shared" si="61"/>
        <v>0</v>
      </c>
      <c r="W44" s="280">
        <f t="shared" si="61"/>
        <v>0</v>
      </c>
      <c r="X44" s="280">
        <f t="shared" si="61"/>
        <v>0</v>
      </c>
      <c r="Y44" s="280">
        <f t="shared" si="61"/>
        <v>0</v>
      </c>
    </row>
    <row r="45" spans="1:49" ht="6.6" customHeight="1">
      <c r="A45" s="293"/>
      <c r="B45" s="292"/>
      <c r="C45" s="303"/>
      <c r="D45" s="303"/>
      <c r="E45" s="303"/>
      <c r="F45" s="303"/>
      <c r="G45" s="303"/>
      <c r="H45" s="303"/>
      <c r="I45" s="303"/>
      <c r="J45" s="303"/>
      <c r="K45" s="303"/>
      <c r="L45" s="303"/>
      <c r="M45" s="303"/>
    </row>
    <row r="46" spans="1:49">
      <c r="A46" s="151" t="s">
        <v>323</v>
      </c>
      <c r="C46" s="301"/>
      <c r="D46" s="301"/>
      <c r="E46" s="301"/>
      <c r="F46" s="301"/>
      <c r="G46" s="301"/>
      <c r="H46" s="301"/>
      <c r="I46" s="301"/>
      <c r="J46" s="301"/>
      <c r="K46" s="301"/>
      <c r="L46" s="301"/>
      <c r="M46" s="301"/>
    </row>
    <row r="47" spans="1:49">
      <c r="A47" s="151">
        <v>186338</v>
      </c>
      <c r="B47" s="151" t="s">
        <v>324</v>
      </c>
      <c r="C47" s="302">
        <v>1735911.16</v>
      </c>
      <c r="D47" s="306">
        <f>0-D58+(0+0-D58)/2*D56/12</f>
        <v>578803.71987320343</v>
      </c>
      <c r="E47" s="301">
        <f t="shared" ref="E47" si="62">D47-E58+(D47+D47-E58)/2*E56/12</f>
        <v>999486.0607444722</v>
      </c>
      <c r="F47" s="301">
        <f t="shared" ref="F47" si="63">E47-F58+(E47+E47-F58)/2*F56/12</f>
        <v>1181133.281605199</v>
      </c>
      <c r="G47" s="301">
        <f t="shared" ref="G47" si="64">F47-G58+(F47+F47-G58)/2*G56/12</f>
        <v>1706313.3533016783</v>
      </c>
      <c r="H47" s="301">
        <f t="shared" ref="H47" si="65">G47-H58+(G47+G47-H58)/2*H56/12</f>
        <v>2539903.5253491504</v>
      </c>
      <c r="I47" s="301">
        <f t="shared" ref="I47" si="66">H47-I58+(H47+H47-I58)/2*I56/12</f>
        <v>3390111.4803912365</v>
      </c>
      <c r="J47" s="301">
        <f t="shared" ref="J47:O47" si="67">I47-J58+(I47+I47-J58)/2*J56/12</f>
        <v>4117983.4915397097</v>
      </c>
      <c r="K47" s="301">
        <f t="shared" si="67"/>
        <v>4496341.481090229</v>
      </c>
      <c r="L47" s="301">
        <f t="shared" si="67"/>
        <v>5278663.19372724</v>
      </c>
      <c r="M47" s="301">
        <f t="shared" si="67"/>
        <v>5856350.5346373124</v>
      </c>
      <c r="N47" s="301">
        <f t="shared" si="67"/>
        <v>5272399.0964458138</v>
      </c>
      <c r="O47" s="301">
        <f t="shared" si="67"/>
        <v>7051825.01002979</v>
      </c>
      <c r="P47" s="306">
        <f>0-P58+(0+0-P58)/2*P56/12</f>
        <v>0</v>
      </c>
      <c r="Q47" s="301">
        <f>P47-Q58+(P47+P47-Q58)/2*Q56/12</f>
        <v>0</v>
      </c>
      <c r="R47" s="301">
        <f t="shared" ref="R47:Y47" si="68">Q47-R58+(Q47+Q47-R58)/2*R56/12</f>
        <v>0</v>
      </c>
      <c r="S47" s="301">
        <f t="shared" si="68"/>
        <v>0</v>
      </c>
      <c r="T47" s="301">
        <f t="shared" si="68"/>
        <v>0</v>
      </c>
      <c r="U47" s="301">
        <f t="shared" si="68"/>
        <v>0</v>
      </c>
      <c r="V47" s="301">
        <f t="shared" si="68"/>
        <v>0</v>
      </c>
      <c r="W47" s="301">
        <f t="shared" si="68"/>
        <v>0</v>
      </c>
      <c r="X47" s="301">
        <f t="shared" si="68"/>
        <v>0</v>
      </c>
      <c r="Y47" s="301">
        <f t="shared" si="68"/>
        <v>0</v>
      </c>
      <c r="Z47" s="301">
        <f>Y47-Z58+(Y47+Y47-Z58)/2*Z56/12</f>
        <v>0</v>
      </c>
      <c r="AA47" s="301">
        <f>Z47-AA58+(Z47+Z47-AA58)/2*AA56/12</f>
        <v>0</v>
      </c>
      <c r="AB47" s="306">
        <f>0-AB58+(0+0-AB58)/2*AB56/12</f>
        <v>0</v>
      </c>
      <c r="AC47" s="301">
        <f>AB47-AC58+(AB47+AB47-AC58)/2*AC56/12</f>
        <v>0</v>
      </c>
      <c r="AD47" s="301">
        <f t="shared" ref="AD47:AK47" si="69">AC47-AD58+(AC47+AC47-AD58)/2*AD56/12</f>
        <v>0</v>
      </c>
      <c r="AE47" s="301">
        <f t="shared" si="69"/>
        <v>0</v>
      </c>
      <c r="AF47" s="301">
        <f t="shared" si="69"/>
        <v>0</v>
      </c>
      <c r="AG47" s="301">
        <f t="shared" si="69"/>
        <v>0</v>
      </c>
      <c r="AH47" s="301">
        <f t="shared" si="69"/>
        <v>0</v>
      </c>
      <c r="AI47" s="301">
        <f t="shared" si="69"/>
        <v>0</v>
      </c>
      <c r="AJ47" s="301">
        <f t="shared" si="69"/>
        <v>0</v>
      </c>
      <c r="AK47" s="301">
        <f t="shared" si="69"/>
        <v>0</v>
      </c>
      <c r="AL47" s="301">
        <f>AK47-AL58+(AK47+AK47-AL58)/2*AL56/12</f>
        <v>0</v>
      </c>
      <c r="AM47" s="301">
        <f>AL47-AM58+(AL47+AL47-AM58)/2*AM56/12</f>
        <v>0</v>
      </c>
      <c r="AN47" s="306">
        <f>0-AN58+(0+0-AN58)/2*AN56/12</f>
        <v>0</v>
      </c>
      <c r="AO47" s="301">
        <f>AN47-AO58+(AN47+AN47-AO58)/2*AO56/12</f>
        <v>0</v>
      </c>
      <c r="AP47" s="301">
        <f t="shared" ref="AP47:AW47" si="70">AO47-AP58+(AO47+AO47-AP58)/2*AP56/12</f>
        <v>0</v>
      </c>
      <c r="AQ47" s="301">
        <f t="shared" si="70"/>
        <v>0</v>
      </c>
      <c r="AR47" s="301">
        <f t="shared" si="70"/>
        <v>0</v>
      </c>
      <c r="AS47" s="301">
        <f t="shared" si="70"/>
        <v>0</v>
      </c>
      <c r="AT47" s="301">
        <f t="shared" si="70"/>
        <v>0</v>
      </c>
      <c r="AU47" s="301">
        <f t="shared" si="70"/>
        <v>0</v>
      </c>
      <c r="AV47" s="301">
        <f t="shared" si="70"/>
        <v>0</v>
      </c>
      <c r="AW47" s="301">
        <f t="shared" si="70"/>
        <v>0</v>
      </c>
    </row>
    <row r="48" spans="1:49">
      <c r="A48" s="151">
        <v>182339</v>
      </c>
      <c r="B48" s="151" t="s">
        <v>325</v>
      </c>
      <c r="C48" s="302">
        <v>0</v>
      </c>
      <c r="D48" s="306">
        <f>C47+(C47+C54)*D56/12</f>
        <v>1739590.1482749998</v>
      </c>
      <c r="E48" s="301">
        <f t="shared" ref="E48:I48" si="71">D48+(D48+D54)*E56/12</f>
        <v>1743282.1663001403</v>
      </c>
      <c r="F48" s="301">
        <f t="shared" si="71"/>
        <v>1746987.2602224534</v>
      </c>
      <c r="G48" s="301">
        <f t="shared" si="71"/>
        <v>1750897.948716782</v>
      </c>
      <c r="H48" s="301">
        <f t="shared" si="71"/>
        <v>1754823.204525752</v>
      </c>
      <c r="I48" s="301">
        <f t="shared" si="71"/>
        <v>1758763.0819126104</v>
      </c>
      <c r="J48" s="301">
        <f>I48+(I48+I54)*J56/12</f>
        <v>1762912.2666077523</v>
      </c>
      <c r="K48" s="301">
        <f>J48+(J48+J54)*K56/12</f>
        <v>1767077.6676997442</v>
      </c>
      <c r="L48" s="301">
        <f>K48+(K48+K54)*L56/12</f>
        <v>1771259.3485676707</v>
      </c>
      <c r="M48" s="301">
        <f>L48+(L48+L54)*M56/12</f>
        <v>1775699.0501417504</v>
      </c>
      <c r="N48" s="301">
        <v>0</v>
      </c>
      <c r="O48" s="301">
        <v>0</v>
      </c>
      <c r="P48" s="306">
        <f>O47+(O47+O54)*P56/12</f>
        <v>7080972.5534045799</v>
      </c>
      <c r="Q48" s="301">
        <f>P48+(P48+P54)*Q56/12</f>
        <v>7110240.5732919853</v>
      </c>
      <c r="R48" s="301">
        <f t="shared" ref="R48:Y48" si="72">Q48+(Q48+Q54)*R56/12</f>
        <v>7139629.5676615918</v>
      </c>
      <c r="S48" s="301">
        <f t="shared" si="72"/>
        <v>7169140.0365412598</v>
      </c>
      <c r="T48" s="301">
        <f t="shared" si="72"/>
        <v>7198772.4820256308</v>
      </c>
      <c r="U48" s="301">
        <f t="shared" si="72"/>
        <v>7228527.4082846697</v>
      </c>
      <c r="V48" s="301">
        <f t="shared" si="72"/>
        <v>7258405.321572246</v>
      </c>
      <c r="W48" s="301">
        <f t="shared" si="72"/>
        <v>7288406.730234745</v>
      </c>
      <c r="X48" s="301">
        <f t="shared" si="72"/>
        <v>7318532.1447197152</v>
      </c>
      <c r="Y48" s="301">
        <f t="shared" si="72"/>
        <v>7348782.0775845563</v>
      </c>
      <c r="Z48" s="301">
        <v>0</v>
      </c>
      <c r="AA48" s="301">
        <v>0</v>
      </c>
      <c r="AB48" s="306">
        <f>AA47+(AA47+AA54)*AB56/12</f>
        <v>0</v>
      </c>
      <c r="AC48" s="301">
        <f>AB48+(AB48+AB54)*AC56/12</f>
        <v>0</v>
      </c>
      <c r="AD48" s="301">
        <f t="shared" ref="AD48:AK48" si="73">AC48+(AC48+AC54)*AD56/12</f>
        <v>0</v>
      </c>
      <c r="AE48" s="301">
        <f t="shared" si="73"/>
        <v>0</v>
      </c>
      <c r="AF48" s="301">
        <f t="shared" si="73"/>
        <v>0</v>
      </c>
      <c r="AG48" s="301">
        <f t="shared" si="73"/>
        <v>0</v>
      </c>
      <c r="AH48" s="301">
        <f t="shared" si="73"/>
        <v>0</v>
      </c>
      <c r="AI48" s="301">
        <f t="shared" si="73"/>
        <v>0</v>
      </c>
      <c r="AJ48" s="301">
        <f t="shared" si="73"/>
        <v>0</v>
      </c>
      <c r="AK48" s="301">
        <f t="shared" si="73"/>
        <v>0</v>
      </c>
      <c r="AL48" s="301">
        <v>0</v>
      </c>
      <c r="AM48" s="301">
        <v>0</v>
      </c>
      <c r="AN48" s="306">
        <f>AM47+(AM47+AM54)*AN56/12</f>
        <v>0</v>
      </c>
      <c r="AO48" s="301">
        <f>AN48+(AN48+AN54)*AO56/12</f>
        <v>0</v>
      </c>
      <c r="AP48" s="301">
        <f t="shared" ref="AP48:AW48" si="74">AO48+(AO48+AO54)*AP56/12</f>
        <v>0</v>
      </c>
      <c r="AQ48" s="301">
        <f t="shared" si="74"/>
        <v>0</v>
      </c>
      <c r="AR48" s="301">
        <f t="shared" si="74"/>
        <v>0</v>
      </c>
      <c r="AS48" s="301">
        <f t="shared" si="74"/>
        <v>0</v>
      </c>
      <c r="AT48" s="301">
        <f t="shared" si="74"/>
        <v>0</v>
      </c>
      <c r="AU48" s="301">
        <f t="shared" si="74"/>
        <v>0</v>
      </c>
      <c r="AV48" s="301">
        <f t="shared" si="74"/>
        <v>0</v>
      </c>
      <c r="AW48" s="301">
        <f t="shared" si="74"/>
        <v>0</v>
      </c>
    </row>
    <row r="49" spans="1:49">
      <c r="A49" s="151">
        <v>182338</v>
      </c>
      <c r="B49" s="151" t="s">
        <v>326</v>
      </c>
      <c r="C49" s="302">
        <v>689441.81</v>
      </c>
      <c r="D49" s="301">
        <f t="shared" ref="D49:I49" si="75">C49-D59+(C49+C49-D59)/2*D56/12</f>
        <v>625559.05100104166</v>
      </c>
      <c r="E49" s="301">
        <f t="shared" si="75"/>
        <v>560279.62161083706</v>
      </c>
      <c r="F49" s="301">
        <f t="shared" si="75"/>
        <v>498344.8352665421</v>
      </c>
      <c r="G49" s="301">
        <f t="shared" si="75"/>
        <v>438278.90965779865</v>
      </c>
      <c r="H49" s="301">
        <f t="shared" si="75"/>
        <v>372911.40347467182</v>
      </c>
      <c r="I49" s="301">
        <f t="shared" si="75"/>
        <v>305605.42887734825</v>
      </c>
      <c r="J49" s="301">
        <f>I49-J59+(I49+I49-J59)/2*J56/12</f>
        <v>228449.73781360881</v>
      </c>
      <c r="K49" s="301">
        <f>J49-K59+(J49+J49-K59)/2*K56/12</f>
        <v>155294.28006774915</v>
      </c>
      <c r="L49" s="301">
        <f>K49-L59+(K49+K49-L59)/2*L56/12</f>
        <v>91564.995697089966</v>
      </c>
      <c r="M49" s="301">
        <f>L49-M59+(L49+L49-M59)/2*M56/12</f>
        <v>21974.917556782948</v>
      </c>
      <c r="N49" s="306">
        <f>IF(M48+M49+M54&gt;0,(M48+M49+M54)-N59+(M48+M49+M54-N59/2)*N56/12,0)</f>
        <v>1015188.1010409761</v>
      </c>
      <c r="O49" s="301">
        <f>IF(N49&lt;&gt;0,N49-O59+(N49+N49-O59)/2*O56/12,0)</f>
        <v>931706.80044957588</v>
      </c>
      <c r="P49" s="301">
        <f>IF(O49&lt;&gt;0,O49-P59+(O49+O49-P59)/2*P56/12,0)</f>
        <v>838474.73862198007</v>
      </c>
      <c r="Q49" s="301">
        <f>IF(P49&lt;&gt;0,P49-Q59+(P49+P49-Q59)/2*Q56/12,0)</f>
        <v>756212.79183018231</v>
      </c>
      <c r="R49" s="301">
        <f t="shared" ref="R49:Y49" si="76">IF(Q49&lt;&gt;0,Q49-R59+(Q49+Q49-R59)/2*R56/12,0)</f>
        <v>668577.47192696016</v>
      </c>
      <c r="S49" s="301">
        <f t="shared" si="76"/>
        <v>586715.69277885964</v>
      </c>
      <c r="T49" s="301">
        <f t="shared" si="76"/>
        <v>499024.91374767513</v>
      </c>
      <c r="U49" s="301">
        <f t="shared" si="76"/>
        <v>409084.44594625011</v>
      </c>
      <c r="V49" s="301">
        <f t="shared" si="76"/>
        <v>299522.07431226457</v>
      </c>
      <c r="W49" s="301">
        <f t="shared" si="76"/>
        <v>196129.48267034441</v>
      </c>
      <c r="X49" s="301">
        <f t="shared" si="76"/>
        <v>104914.42856720077</v>
      </c>
      <c r="Y49" s="301">
        <f t="shared" si="76"/>
        <v>12547.805501085015</v>
      </c>
      <c r="Z49" s="306">
        <f>IF(Y48+Y49+Y54&gt;0,(Y48+Y49+Y54)-Z59+(Y48+Y49+Y54-Z59/2)*Z56/12,0)</f>
        <v>6774247.0735973101</v>
      </c>
      <c r="AA49" s="301">
        <f>IF(Z49&lt;&gt;0,Z49-AA59+(Z49+Z49-AA59)/2*AA56/12,0)</f>
        <v>6139755.2573928116</v>
      </c>
      <c r="AB49" s="301">
        <f>IF(AA49&lt;&gt;0,AA49-AB59+(AA49+AA49-AB59)/2*AB56/12,0)</f>
        <v>5518021.4363568826</v>
      </c>
      <c r="AC49" s="301">
        <f>IF(AB49&lt;&gt;0,AB49-AC59+(AB49+AB49-AC59)/2*AC56/12,0)</f>
        <v>4970336.2694761297</v>
      </c>
      <c r="AD49" s="301">
        <f t="shared" ref="AD49:AK49" si="77">IF(AC49&lt;&gt;0,AC49-AD59+(AC49+AC49-AD59)/2*AD56/12,0)</f>
        <v>4384002.5497845169</v>
      </c>
      <c r="AE49" s="301">
        <f t="shared" si="77"/>
        <v>3836080.2119151843</v>
      </c>
      <c r="AF49" s="301">
        <f t="shared" si="77"/>
        <v>3252921.5618846649</v>
      </c>
      <c r="AG49" s="301">
        <f t="shared" si="77"/>
        <v>2647929.7096350016</v>
      </c>
      <c r="AH49" s="301">
        <f t="shared" si="77"/>
        <v>1921740.4681284567</v>
      </c>
      <c r="AI49" s="301">
        <f t="shared" si="77"/>
        <v>1225952.4797586412</v>
      </c>
      <c r="AJ49" s="301">
        <f t="shared" si="77"/>
        <v>617941.43396736297</v>
      </c>
      <c r="AK49" s="301">
        <f t="shared" si="77"/>
        <v>-5751.3281960274799</v>
      </c>
      <c r="AL49" s="306">
        <f>IF(AK48+AK49+AK54&gt;0,(AK48+AK49+AK54)-AL59+(AK48+AK49+AK54-AL59/2)*AL56/12,0)</f>
        <v>0</v>
      </c>
      <c r="AM49" s="301">
        <f>IF(AL49&lt;&gt;0,AL49-AM59+(AL49+AL49-AM59)/2*AM56/12,0)</f>
        <v>0</v>
      </c>
      <c r="AN49" s="301">
        <f>IF(AM49&lt;&gt;0,AM49-AN59+(AM49+AM49-AN59)/2*AN56/12,0)</f>
        <v>0</v>
      </c>
      <c r="AO49" s="301">
        <f>IF(AN49&lt;&gt;0,AN49-AO59+(AN49+AN49-AO59)/2*AO56/12,0)</f>
        <v>0</v>
      </c>
      <c r="AP49" s="301">
        <f t="shared" ref="AP49:AW49" si="78">IF(AO49&lt;&gt;0,AO49-AP59+(AO49+AO49-AP59)/2*AP56/12,0)</f>
        <v>0</v>
      </c>
      <c r="AQ49" s="301">
        <f t="shared" si="78"/>
        <v>0</v>
      </c>
      <c r="AR49" s="301">
        <f t="shared" si="78"/>
        <v>0</v>
      </c>
      <c r="AS49" s="301">
        <f t="shared" si="78"/>
        <v>0</v>
      </c>
      <c r="AT49" s="301">
        <f t="shared" si="78"/>
        <v>0</v>
      </c>
      <c r="AU49" s="301">
        <f t="shared" si="78"/>
        <v>0</v>
      </c>
      <c r="AV49" s="301">
        <f t="shared" si="78"/>
        <v>0</v>
      </c>
      <c r="AW49" s="301">
        <f t="shared" si="78"/>
        <v>0</v>
      </c>
    </row>
    <row r="50" spans="1:49" ht="15" thickBot="1">
      <c r="A50" s="151">
        <v>254338</v>
      </c>
      <c r="B50" s="151" t="s">
        <v>327</v>
      </c>
      <c r="C50" s="302">
        <v>0</v>
      </c>
      <c r="N50" s="306">
        <f>IF((M48+M49+M54)&lt;0,(M48+M49+M54)-N59+(M48+M49+M54-N59/2)*N56/12,0)</f>
        <v>0</v>
      </c>
      <c r="O50" s="301">
        <f>IF(N50&lt;&gt;0,N50-O59+(N50+N50-O59)/2*O56/12,0)</f>
        <v>0</v>
      </c>
      <c r="P50" s="301">
        <f>IF(O50&lt;&gt;0,O50-P59+(O50+O50-P59)/2*P56/12,0)</f>
        <v>0</v>
      </c>
      <c r="Q50" s="301">
        <f>IF(P50&lt;&gt;0,P50-Q59+(P50+P50-Q59)/2*Q56/12,0)</f>
        <v>0</v>
      </c>
      <c r="R50" s="301">
        <f t="shared" ref="R50:Y50" si="79">IF(Q50&lt;&gt;0,Q50-R59+(Q50+Q50-R59)/2*R56/12,0)</f>
        <v>0</v>
      </c>
      <c r="S50" s="301">
        <f t="shared" si="79"/>
        <v>0</v>
      </c>
      <c r="T50" s="301">
        <f t="shared" si="79"/>
        <v>0</v>
      </c>
      <c r="U50" s="301">
        <f t="shared" si="79"/>
        <v>0</v>
      </c>
      <c r="V50" s="301">
        <f t="shared" si="79"/>
        <v>0</v>
      </c>
      <c r="W50" s="301">
        <f t="shared" si="79"/>
        <v>0</v>
      </c>
      <c r="X50" s="301">
        <f t="shared" si="79"/>
        <v>0</v>
      </c>
      <c r="Y50" s="301">
        <f t="shared" si="79"/>
        <v>0</v>
      </c>
      <c r="Z50" s="306">
        <f>IF((Y48+Y49+Y54)&lt;0,(Y48+Y49+Y54)-Z59+(Y48+Y49+Y54-Z59/2)*Z56/12,0)</f>
        <v>0</v>
      </c>
      <c r="AA50" s="301">
        <f>IF(Z50&lt;&gt;0,Z50-AA59+(Z50+Z50-AA59)/2*AA56/12,0)</f>
        <v>0</v>
      </c>
      <c r="AB50" s="301">
        <f>IF(AA50&lt;&gt;0,AA50-AB59+(AA50+AA50-AB59)/2*AB56/12,0)</f>
        <v>0</v>
      </c>
      <c r="AC50" s="301">
        <f>IF(AB50&lt;&gt;0,AB50-AC59+(AB50+AB50-AC59)/2*AC56/12,0)</f>
        <v>0</v>
      </c>
      <c r="AD50" s="301">
        <f t="shared" ref="AD50:AK50" si="80">IF(AC50&lt;&gt;0,AC50-AD59+(AC50+AC50-AD59)/2*AD56/12,0)</f>
        <v>0</v>
      </c>
      <c r="AE50" s="301">
        <f t="shared" si="80"/>
        <v>0</v>
      </c>
      <c r="AF50" s="301">
        <f t="shared" si="80"/>
        <v>0</v>
      </c>
      <c r="AG50" s="301">
        <f t="shared" si="80"/>
        <v>0</v>
      </c>
      <c r="AH50" s="301">
        <f t="shared" si="80"/>
        <v>0</v>
      </c>
      <c r="AI50" s="301">
        <f t="shared" si="80"/>
        <v>0</v>
      </c>
      <c r="AJ50" s="301">
        <f t="shared" si="80"/>
        <v>0</v>
      </c>
      <c r="AK50" s="301">
        <f t="shared" si="80"/>
        <v>0</v>
      </c>
      <c r="AL50" s="306">
        <f>IF((AK48+AK49+AK54)&lt;0,(AK48+AK49+AK54)-AL59+(AK48+AK49+AK54-AL59/2)*AL56/12,0)</f>
        <v>-5775.1003525710603</v>
      </c>
      <c r="AM50" s="301">
        <f>IF(AL50&lt;&gt;0,AL50-AM59+(AL50+AL50-AM59)/2*AM56/12,0)</f>
        <v>-5798.9707673616876</v>
      </c>
      <c r="AN50" s="301">
        <f>IF(AM50&lt;&gt;0,AM50-AN59+(AM50+AM50-AN59)/2*AN56/12,0)</f>
        <v>-5822.9398465334489</v>
      </c>
      <c r="AO50" s="301">
        <f>IF(AN50&lt;&gt;0,AN50-AO59+(AN50+AN50-AO59)/2*AO56/12,0)</f>
        <v>-5847.0079978991207</v>
      </c>
      <c r="AP50" s="301">
        <f t="shared" ref="AP50:AW50" si="81">IF(AO50&lt;&gt;0,AO50-AP59+(AO50+AO50-AP59)/2*AP56/12,0)</f>
        <v>-5871.1756309571037</v>
      </c>
      <c r="AQ50" s="301">
        <f t="shared" si="81"/>
        <v>-5895.4431568983928</v>
      </c>
      <c r="AR50" s="301">
        <f t="shared" si="81"/>
        <v>-5919.8109886135726</v>
      </c>
      <c r="AS50" s="301">
        <f t="shared" si="81"/>
        <v>-5944.2795406998421</v>
      </c>
      <c r="AT50" s="301">
        <f t="shared" si="81"/>
        <v>-5968.8492294680682</v>
      </c>
      <c r="AU50" s="301">
        <f t="shared" si="81"/>
        <v>-5993.5204729498691</v>
      </c>
      <c r="AV50" s="301">
        <f t="shared" si="81"/>
        <v>-6018.2936909047285</v>
      </c>
      <c r="AW50" s="301">
        <f t="shared" si="81"/>
        <v>-6043.1693048271345</v>
      </c>
    </row>
    <row r="51" spans="1:49" ht="15" thickBot="1">
      <c r="A51" s="151">
        <v>253311</v>
      </c>
      <c r="B51" s="151" t="s">
        <v>328</v>
      </c>
      <c r="C51" s="307">
        <f>SUM(AB41:AK41)</f>
        <v>0</v>
      </c>
      <c r="N51" s="301"/>
      <c r="O51" s="332">
        <f>-O44</f>
        <v>0</v>
      </c>
      <c r="AA51" s="307"/>
      <c r="AM51" s="307"/>
    </row>
    <row r="52" spans="1:49">
      <c r="A52" s="151">
        <v>253312</v>
      </c>
      <c r="B52" s="151" t="s">
        <v>329</v>
      </c>
      <c r="C52" s="302">
        <v>0</v>
      </c>
      <c r="D52" s="331">
        <f>SUM(AB41:AK41)</f>
        <v>0</v>
      </c>
      <c r="E52" s="331">
        <f>SUM(AC41:AK41)</f>
        <v>0</v>
      </c>
      <c r="F52" s="331">
        <f>SUM(AD41:AK41)</f>
        <v>0</v>
      </c>
      <c r="G52" s="331">
        <f>SUM(AE41:AK41)</f>
        <v>0</v>
      </c>
      <c r="H52" s="331">
        <f>SUM(AF41:AK41)</f>
        <v>0</v>
      </c>
      <c r="I52" s="331">
        <f>SUM(AG41:AK41)</f>
        <v>0</v>
      </c>
      <c r="J52" s="331">
        <f>SUM(AH41:AK41)</f>
        <v>0</v>
      </c>
      <c r="K52" s="331">
        <f>SUM(AI41:AK41)</f>
        <v>0</v>
      </c>
      <c r="L52" s="331">
        <f>SUM(AJ41:AK41)</f>
        <v>0</v>
      </c>
      <c r="M52" s="331">
        <f>SUM(AK41:AK41)</f>
        <v>0</v>
      </c>
      <c r="N52" s="301"/>
      <c r="O52" s="303"/>
      <c r="P52" s="303">
        <f>-P44</f>
        <v>0</v>
      </c>
      <c r="Q52" s="303">
        <f t="shared" ref="Q52:Y52" si="82">-Q44</f>
        <v>0</v>
      </c>
      <c r="R52" s="303">
        <f t="shared" si="82"/>
        <v>0</v>
      </c>
      <c r="S52" s="303">
        <f t="shared" si="82"/>
        <v>0</v>
      </c>
      <c r="T52" s="303">
        <f t="shared" si="82"/>
        <v>0</v>
      </c>
      <c r="U52" s="303">
        <f t="shared" si="82"/>
        <v>0</v>
      </c>
      <c r="V52" s="303">
        <f t="shared" si="82"/>
        <v>0</v>
      </c>
      <c r="W52" s="303">
        <f t="shared" si="82"/>
        <v>0</v>
      </c>
      <c r="X52" s="303">
        <f t="shared" si="82"/>
        <v>0</v>
      </c>
      <c r="Y52" s="303">
        <f t="shared" si="82"/>
        <v>0</v>
      </c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M52" s="303"/>
      <c r="AN52" s="303"/>
      <c r="AO52" s="303"/>
      <c r="AP52" s="303"/>
      <c r="AQ52" s="303"/>
      <c r="AR52" s="303"/>
      <c r="AS52" s="303"/>
      <c r="AT52" s="303"/>
      <c r="AU52" s="303"/>
      <c r="AV52" s="303"/>
      <c r="AW52" s="303"/>
    </row>
    <row r="53" spans="1:49">
      <c r="A53" s="151">
        <v>283328</v>
      </c>
      <c r="B53" s="151" t="s">
        <v>330</v>
      </c>
      <c r="C53" s="301">
        <f>SUM(C47:C52)*-0.21</f>
        <v>-509324.12369999994</v>
      </c>
      <c r="D53" s="301">
        <f t="shared" ref="D53:I53" si="83">SUM(D47:D52)*-0.21</f>
        <v>-618230.11302134139</v>
      </c>
      <c r="E53" s="301">
        <f t="shared" si="83"/>
        <v>-693640.04821764445</v>
      </c>
      <c r="F53" s="301">
        <f t="shared" si="83"/>
        <v>-719557.72918978089</v>
      </c>
      <c r="G53" s="301">
        <f t="shared" si="83"/>
        <v>-818052.9444520144</v>
      </c>
      <c r="H53" s="301">
        <f t="shared" si="83"/>
        <v>-980204.00800341053</v>
      </c>
      <c r="I53" s="301">
        <f t="shared" si="83"/>
        <v>-1145440.7981480509</v>
      </c>
      <c r="J53" s="301">
        <f t="shared" ref="J53:AW53" si="84">SUM(J47:J52)*-0.21</f>
        <v>-1282962.5541518249</v>
      </c>
      <c r="K53" s="301">
        <f t="shared" si="84"/>
        <v>-1347929.8200601216</v>
      </c>
      <c r="L53" s="301">
        <f t="shared" si="84"/>
        <v>-1499712.3829783201</v>
      </c>
      <c r="M53" s="301">
        <f t="shared" si="84"/>
        <v>-1607345.1454905276</v>
      </c>
      <c r="N53" s="301">
        <f t="shared" si="84"/>
        <v>-1320393.3114722259</v>
      </c>
      <c r="O53" s="301">
        <f t="shared" si="84"/>
        <v>-1676541.6802006669</v>
      </c>
      <c r="P53" s="301">
        <f t="shared" si="84"/>
        <v>-1663083.9313255774</v>
      </c>
      <c r="Q53" s="301">
        <f t="shared" si="84"/>
        <v>-1651955.206675655</v>
      </c>
      <c r="R53" s="301">
        <f t="shared" si="84"/>
        <v>-1639723.4783135958</v>
      </c>
      <c r="S53" s="301">
        <f t="shared" si="84"/>
        <v>-1628729.7031572249</v>
      </c>
      <c r="T53" s="301">
        <f t="shared" si="84"/>
        <v>-1616537.4531123941</v>
      </c>
      <c r="U53" s="301">
        <f t="shared" si="84"/>
        <v>-1603898.4893884931</v>
      </c>
      <c r="V53" s="301">
        <f t="shared" si="84"/>
        <v>-1587164.753135747</v>
      </c>
      <c r="W53" s="301">
        <f t="shared" si="84"/>
        <v>-1571752.6047100688</v>
      </c>
      <c r="X53" s="301">
        <f t="shared" si="84"/>
        <v>-1558923.7803902524</v>
      </c>
      <c r="Y53" s="301">
        <f t="shared" si="84"/>
        <v>-1545879.2754479845</v>
      </c>
      <c r="Z53" s="301">
        <f t="shared" si="84"/>
        <v>-1422591.8854554351</v>
      </c>
      <c r="AA53" s="301">
        <f t="shared" si="84"/>
        <v>-1289348.6040524903</v>
      </c>
      <c r="AB53" s="301">
        <f t="shared" si="84"/>
        <v>-1158784.5016349454</v>
      </c>
      <c r="AC53" s="301">
        <f t="shared" si="84"/>
        <v>-1043770.6165899872</v>
      </c>
      <c r="AD53" s="301">
        <f t="shared" si="84"/>
        <v>-920640.53545474855</v>
      </c>
      <c r="AE53" s="301">
        <f t="shared" si="84"/>
        <v>-805576.84450218861</v>
      </c>
      <c r="AF53" s="301">
        <f t="shared" si="84"/>
        <v>-683113.52799577964</v>
      </c>
      <c r="AG53" s="301">
        <f t="shared" si="84"/>
        <v>-556065.2390233503</v>
      </c>
      <c r="AH53" s="301">
        <f t="shared" si="84"/>
        <v>-403565.49830697587</v>
      </c>
      <c r="AI53" s="301">
        <f t="shared" si="84"/>
        <v>-257450.02074931466</v>
      </c>
      <c r="AJ53" s="301">
        <f t="shared" si="84"/>
        <v>-129767.70113314621</v>
      </c>
      <c r="AK53" s="301">
        <f t="shared" si="84"/>
        <v>1207.7789211657707</v>
      </c>
      <c r="AL53" s="301">
        <f t="shared" si="84"/>
        <v>1212.7710740399227</v>
      </c>
      <c r="AM53" s="301">
        <f t="shared" si="84"/>
        <v>1217.7838611459545</v>
      </c>
      <c r="AN53" s="301">
        <f t="shared" si="84"/>
        <v>1222.8173677720242</v>
      </c>
      <c r="AO53" s="301">
        <f t="shared" si="84"/>
        <v>1227.8716795588152</v>
      </c>
      <c r="AP53" s="301">
        <f t="shared" si="84"/>
        <v>1232.9468825009917</v>
      </c>
      <c r="AQ53" s="301">
        <f t="shared" si="84"/>
        <v>1238.0430629486625</v>
      </c>
      <c r="AR53" s="301">
        <f t="shared" si="84"/>
        <v>1243.1603076088502</v>
      </c>
      <c r="AS53" s="301">
        <f t="shared" si="84"/>
        <v>1248.2987035469669</v>
      </c>
      <c r="AT53" s="301">
        <f t="shared" si="84"/>
        <v>1253.4583381882942</v>
      </c>
      <c r="AU53" s="301">
        <f t="shared" si="84"/>
        <v>1258.6392993194725</v>
      </c>
      <c r="AV53" s="301">
        <f t="shared" si="84"/>
        <v>1263.841675089993</v>
      </c>
      <c r="AW53" s="301">
        <f t="shared" si="84"/>
        <v>1269.0655540136981</v>
      </c>
    </row>
    <row r="54" spans="1:49">
      <c r="A54" s="151">
        <v>229000</v>
      </c>
      <c r="B54" s="151" t="s">
        <v>331</v>
      </c>
      <c r="C54" s="302">
        <f>-1425255-C22</f>
        <v>-697138</v>
      </c>
      <c r="D54" s="303">
        <f t="shared" ref="D54:I54" si="85">C54</f>
        <v>-697138</v>
      </c>
      <c r="E54" s="303">
        <f t="shared" si="85"/>
        <v>-697138</v>
      </c>
      <c r="F54" s="303">
        <f t="shared" si="85"/>
        <v>-697138</v>
      </c>
      <c r="G54" s="303">
        <f t="shared" si="85"/>
        <v>-697138</v>
      </c>
      <c r="H54" s="303">
        <f t="shared" si="85"/>
        <v>-697138</v>
      </c>
      <c r="I54" s="303">
        <f t="shared" si="85"/>
        <v>-697138</v>
      </c>
      <c r="J54" s="303">
        <f>I54</f>
        <v>-697138</v>
      </c>
      <c r="K54" s="303">
        <f>J54</f>
        <v>-697138</v>
      </c>
      <c r="L54" s="303">
        <f>K54</f>
        <v>-697138</v>
      </c>
      <c r="M54" s="303">
        <f>L54</f>
        <v>-697138</v>
      </c>
      <c r="N54" s="306">
        <v>0</v>
      </c>
      <c r="O54" s="308">
        <f>-SUM(D64:O64)</f>
        <v>0</v>
      </c>
      <c r="P54" s="303">
        <f t="shared" ref="P54:Y54" si="86">O54</f>
        <v>0</v>
      </c>
      <c r="Q54" s="303">
        <f t="shared" si="86"/>
        <v>0</v>
      </c>
      <c r="R54" s="303">
        <f t="shared" si="86"/>
        <v>0</v>
      </c>
      <c r="S54" s="303">
        <f t="shared" si="86"/>
        <v>0</v>
      </c>
      <c r="T54" s="303">
        <f t="shared" si="86"/>
        <v>0</v>
      </c>
      <c r="U54" s="303">
        <f t="shared" si="86"/>
        <v>0</v>
      </c>
      <c r="V54" s="303">
        <f t="shared" si="86"/>
        <v>0</v>
      </c>
      <c r="W54" s="303">
        <f t="shared" si="86"/>
        <v>0</v>
      </c>
      <c r="X54" s="303">
        <f t="shared" si="86"/>
        <v>0</v>
      </c>
      <c r="Y54" s="303">
        <f t="shared" si="86"/>
        <v>0</v>
      </c>
      <c r="Z54" s="306">
        <v>0</v>
      </c>
      <c r="AA54" s="308">
        <f>-SUM(P64:AA64)</f>
        <v>0</v>
      </c>
      <c r="AB54" s="303">
        <f t="shared" ref="AB54:AK54" si="87">AA54</f>
        <v>0</v>
      </c>
      <c r="AC54" s="303">
        <f t="shared" si="87"/>
        <v>0</v>
      </c>
      <c r="AD54" s="303">
        <f t="shared" si="87"/>
        <v>0</v>
      </c>
      <c r="AE54" s="303">
        <f t="shared" si="87"/>
        <v>0</v>
      </c>
      <c r="AF54" s="303">
        <f t="shared" si="87"/>
        <v>0</v>
      </c>
      <c r="AG54" s="303">
        <f t="shared" si="87"/>
        <v>0</v>
      </c>
      <c r="AH54" s="303">
        <f t="shared" si="87"/>
        <v>0</v>
      </c>
      <c r="AI54" s="303">
        <f t="shared" si="87"/>
        <v>0</v>
      </c>
      <c r="AJ54" s="303">
        <f t="shared" si="87"/>
        <v>0</v>
      </c>
      <c r="AK54" s="303">
        <f t="shared" si="87"/>
        <v>0</v>
      </c>
      <c r="AL54" s="306">
        <v>0</v>
      </c>
      <c r="AM54" s="308">
        <f>-SUM(AB64:AM64)</f>
        <v>0</v>
      </c>
      <c r="AN54" s="303">
        <f t="shared" ref="AN54:AW54" si="88">AM54</f>
        <v>0</v>
      </c>
      <c r="AO54" s="303">
        <f t="shared" si="88"/>
        <v>0</v>
      </c>
      <c r="AP54" s="303">
        <f t="shared" si="88"/>
        <v>0</v>
      </c>
      <c r="AQ54" s="303">
        <f t="shared" si="88"/>
        <v>0</v>
      </c>
      <c r="AR54" s="303">
        <f t="shared" si="88"/>
        <v>0</v>
      </c>
      <c r="AS54" s="303">
        <f t="shared" si="88"/>
        <v>0</v>
      </c>
      <c r="AT54" s="303">
        <f t="shared" si="88"/>
        <v>0</v>
      </c>
      <c r="AU54" s="303">
        <f t="shared" si="88"/>
        <v>0</v>
      </c>
      <c r="AV54" s="303">
        <f t="shared" si="88"/>
        <v>0</v>
      </c>
      <c r="AW54" s="303">
        <f t="shared" si="88"/>
        <v>0</v>
      </c>
    </row>
    <row r="55" spans="1:49">
      <c r="A55" s="151">
        <v>190449</v>
      </c>
      <c r="B55" s="151" t="s">
        <v>332</v>
      </c>
      <c r="C55" s="301">
        <f>C54*-0.21</f>
        <v>146398.97999999998</v>
      </c>
      <c r="D55" s="301">
        <f t="shared" ref="D55:I55" si="89">D54*-0.21</f>
        <v>146398.97999999998</v>
      </c>
      <c r="E55" s="301">
        <f t="shared" si="89"/>
        <v>146398.97999999998</v>
      </c>
      <c r="F55" s="301">
        <f t="shared" si="89"/>
        <v>146398.97999999998</v>
      </c>
      <c r="G55" s="301">
        <f t="shared" si="89"/>
        <v>146398.97999999998</v>
      </c>
      <c r="H55" s="301">
        <f t="shared" si="89"/>
        <v>146398.97999999998</v>
      </c>
      <c r="I55" s="301">
        <f t="shared" si="89"/>
        <v>146398.97999999998</v>
      </c>
      <c r="J55" s="301">
        <f t="shared" ref="J55:AW55" si="90">J54*-0.21</f>
        <v>146398.97999999998</v>
      </c>
      <c r="K55" s="301">
        <f t="shared" si="90"/>
        <v>146398.97999999998</v>
      </c>
      <c r="L55" s="301">
        <f t="shared" si="90"/>
        <v>146398.97999999998</v>
      </c>
      <c r="M55" s="301">
        <f t="shared" si="90"/>
        <v>146398.97999999998</v>
      </c>
      <c r="N55" s="301">
        <f t="shared" si="90"/>
        <v>0</v>
      </c>
      <c r="O55" s="301">
        <f t="shared" si="90"/>
        <v>0</v>
      </c>
      <c r="P55" s="301">
        <f t="shared" si="90"/>
        <v>0</v>
      </c>
      <c r="Q55" s="301">
        <f t="shared" si="90"/>
        <v>0</v>
      </c>
      <c r="R55" s="301">
        <f t="shared" si="90"/>
        <v>0</v>
      </c>
      <c r="S55" s="301">
        <f t="shared" si="90"/>
        <v>0</v>
      </c>
      <c r="T55" s="301">
        <f t="shared" si="90"/>
        <v>0</v>
      </c>
      <c r="U55" s="301">
        <f t="shared" si="90"/>
        <v>0</v>
      </c>
      <c r="V55" s="301">
        <f t="shared" si="90"/>
        <v>0</v>
      </c>
      <c r="W55" s="301">
        <f t="shared" si="90"/>
        <v>0</v>
      </c>
      <c r="X55" s="301">
        <f t="shared" si="90"/>
        <v>0</v>
      </c>
      <c r="Y55" s="301">
        <f t="shared" si="90"/>
        <v>0</v>
      </c>
      <c r="Z55" s="301">
        <f t="shared" si="90"/>
        <v>0</v>
      </c>
      <c r="AA55" s="301">
        <f t="shared" si="90"/>
        <v>0</v>
      </c>
      <c r="AB55" s="301">
        <f t="shared" si="90"/>
        <v>0</v>
      </c>
      <c r="AC55" s="301">
        <f t="shared" si="90"/>
        <v>0</v>
      </c>
      <c r="AD55" s="301">
        <f t="shared" si="90"/>
        <v>0</v>
      </c>
      <c r="AE55" s="301">
        <f t="shared" si="90"/>
        <v>0</v>
      </c>
      <c r="AF55" s="301">
        <f t="shared" si="90"/>
        <v>0</v>
      </c>
      <c r="AG55" s="301">
        <f t="shared" si="90"/>
        <v>0</v>
      </c>
      <c r="AH55" s="301">
        <f t="shared" si="90"/>
        <v>0</v>
      </c>
      <c r="AI55" s="301">
        <f t="shared" si="90"/>
        <v>0</v>
      </c>
      <c r="AJ55" s="301">
        <f t="shared" si="90"/>
        <v>0</v>
      </c>
      <c r="AK55" s="301">
        <f t="shared" si="90"/>
        <v>0</v>
      </c>
      <c r="AL55" s="301">
        <f t="shared" si="90"/>
        <v>0</v>
      </c>
      <c r="AM55" s="301">
        <f t="shared" si="90"/>
        <v>0</v>
      </c>
      <c r="AN55" s="301">
        <f t="shared" si="90"/>
        <v>0</v>
      </c>
      <c r="AO55" s="301">
        <f t="shared" si="90"/>
        <v>0</v>
      </c>
      <c r="AP55" s="301">
        <f t="shared" si="90"/>
        <v>0</v>
      </c>
      <c r="AQ55" s="301">
        <f t="shared" si="90"/>
        <v>0</v>
      </c>
      <c r="AR55" s="301">
        <f t="shared" si="90"/>
        <v>0</v>
      </c>
      <c r="AS55" s="301">
        <f t="shared" si="90"/>
        <v>0</v>
      </c>
      <c r="AT55" s="301">
        <f t="shared" si="90"/>
        <v>0</v>
      </c>
      <c r="AU55" s="301">
        <f t="shared" si="90"/>
        <v>0</v>
      </c>
      <c r="AV55" s="301">
        <f t="shared" si="90"/>
        <v>0</v>
      </c>
      <c r="AW55" s="301">
        <f t="shared" si="90"/>
        <v>0</v>
      </c>
    </row>
    <row r="56" spans="1:49">
      <c r="B56" s="151" t="s">
        <v>333</v>
      </c>
      <c r="C56" s="301"/>
      <c r="D56" s="278">
        <f t="shared" ref="D56:I56" si="91">D24</f>
        <v>4.2500000000000003E-2</v>
      </c>
      <c r="E56" s="278">
        <f t="shared" si="91"/>
        <v>4.2500000000000003E-2</v>
      </c>
      <c r="F56" s="278">
        <f t="shared" si="91"/>
        <v>4.2500000000000003E-2</v>
      </c>
      <c r="G56" s="278">
        <f t="shared" si="91"/>
        <v>4.4699999999999997E-2</v>
      </c>
      <c r="H56" s="278">
        <f t="shared" si="91"/>
        <v>4.4699999999999997E-2</v>
      </c>
      <c r="I56" s="278">
        <f t="shared" si="91"/>
        <v>4.4699999999999997E-2</v>
      </c>
      <c r="J56" s="278">
        <f t="shared" ref="J56:AW56" si="92">J24</f>
        <v>4.6899999999999997E-2</v>
      </c>
      <c r="K56" s="278">
        <f t="shared" si="92"/>
        <v>4.6899999999999997E-2</v>
      </c>
      <c r="L56" s="278">
        <f t="shared" si="92"/>
        <v>4.6899999999999997E-2</v>
      </c>
      <c r="M56" s="278">
        <f t="shared" si="92"/>
        <v>4.9599999999999998E-2</v>
      </c>
      <c r="N56" s="278">
        <f t="shared" si="92"/>
        <v>4.9599999999999998E-2</v>
      </c>
      <c r="O56" s="278">
        <f t="shared" si="92"/>
        <v>4.9599999999999998E-2</v>
      </c>
      <c r="P56" s="278">
        <f t="shared" si="92"/>
        <v>4.9599999999999998E-2</v>
      </c>
      <c r="Q56" s="278">
        <f t="shared" si="92"/>
        <v>4.9599999999999998E-2</v>
      </c>
      <c r="R56" s="278">
        <f t="shared" si="92"/>
        <v>4.9599999999999998E-2</v>
      </c>
      <c r="S56" s="278">
        <f t="shared" si="92"/>
        <v>4.9599999999999998E-2</v>
      </c>
      <c r="T56" s="278">
        <f t="shared" si="92"/>
        <v>4.9599999999999998E-2</v>
      </c>
      <c r="U56" s="278">
        <f t="shared" si="92"/>
        <v>4.9599999999999998E-2</v>
      </c>
      <c r="V56" s="278">
        <f t="shared" si="92"/>
        <v>4.9599999999999998E-2</v>
      </c>
      <c r="W56" s="278">
        <f t="shared" si="92"/>
        <v>4.9599999999999998E-2</v>
      </c>
      <c r="X56" s="278">
        <f t="shared" si="92"/>
        <v>4.9599999999999998E-2</v>
      </c>
      <c r="Y56" s="278">
        <f t="shared" si="92"/>
        <v>4.9599999999999998E-2</v>
      </c>
      <c r="Z56" s="278">
        <f t="shared" si="92"/>
        <v>4.9599999999999998E-2</v>
      </c>
      <c r="AA56" s="278">
        <f t="shared" si="92"/>
        <v>4.9599999999999998E-2</v>
      </c>
      <c r="AB56" s="278">
        <f t="shared" si="92"/>
        <v>4.9599999999999998E-2</v>
      </c>
      <c r="AC56" s="278">
        <f t="shared" si="92"/>
        <v>4.9599999999999998E-2</v>
      </c>
      <c r="AD56" s="278">
        <f t="shared" si="92"/>
        <v>4.9599999999999998E-2</v>
      </c>
      <c r="AE56" s="278">
        <f t="shared" si="92"/>
        <v>4.9599999999999998E-2</v>
      </c>
      <c r="AF56" s="278">
        <f t="shared" si="92"/>
        <v>4.9599999999999998E-2</v>
      </c>
      <c r="AG56" s="278">
        <f t="shared" si="92"/>
        <v>4.9599999999999998E-2</v>
      </c>
      <c r="AH56" s="278">
        <f t="shared" si="92"/>
        <v>4.9599999999999998E-2</v>
      </c>
      <c r="AI56" s="278">
        <f t="shared" si="92"/>
        <v>4.9599999999999998E-2</v>
      </c>
      <c r="AJ56" s="278">
        <f t="shared" si="92"/>
        <v>4.9599999999999998E-2</v>
      </c>
      <c r="AK56" s="278">
        <f t="shared" si="92"/>
        <v>4.9599999999999998E-2</v>
      </c>
      <c r="AL56" s="278">
        <f t="shared" si="92"/>
        <v>4.9599999999999998E-2</v>
      </c>
      <c r="AM56" s="278">
        <f t="shared" si="92"/>
        <v>4.9599999999999998E-2</v>
      </c>
      <c r="AN56" s="278">
        <f t="shared" si="92"/>
        <v>4.9599999999999998E-2</v>
      </c>
      <c r="AO56" s="278">
        <f t="shared" si="92"/>
        <v>4.9599999999999998E-2</v>
      </c>
      <c r="AP56" s="278">
        <f t="shared" si="92"/>
        <v>4.9599999999999998E-2</v>
      </c>
      <c r="AQ56" s="278">
        <f t="shared" si="92"/>
        <v>4.9599999999999998E-2</v>
      </c>
      <c r="AR56" s="278">
        <f t="shared" si="92"/>
        <v>4.9599999999999998E-2</v>
      </c>
      <c r="AS56" s="278">
        <f t="shared" si="92"/>
        <v>4.9599999999999998E-2</v>
      </c>
      <c r="AT56" s="278">
        <f t="shared" si="92"/>
        <v>4.9599999999999998E-2</v>
      </c>
      <c r="AU56" s="278">
        <f t="shared" si="92"/>
        <v>4.9599999999999998E-2</v>
      </c>
      <c r="AV56" s="278">
        <f t="shared" si="92"/>
        <v>4.9599999999999998E-2</v>
      </c>
      <c r="AW56" s="278">
        <f t="shared" si="92"/>
        <v>4.9599999999999998E-2</v>
      </c>
    </row>
    <row r="57" spans="1:49">
      <c r="A57" s="151" t="s">
        <v>334</v>
      </c>
      <c r="C57" s="301"/>
    </row>
    <row r="58" spans="1:49">
      <c r="A58" s="151">
        <v>456338</v>
      </c>
      <c r="B58" s="151" t="s">
        <v>371</v>
      </c>
      <c r="C58" s="309"/>
      <c r="D58" s="302">
        <f>'Deferral Calc'!D65</f>
        <v>-577780.56678618619</v>
      </c>
      <c r="E58" s="302">
        <f>'Deferral Calc'!E65</f>
        <v>-417892.39325033699</v>
      </c>
      <c r="F58" s="302">
        <f>'Deferral Calc'!F65</f>
        <v>-177792.53345093745</v>
      </c>
      <c r="G58" s="302">
        <f>'Deferral Calc'!G65</f>
        <v>-519812.2</v>
      </c>
      <c r="H58" s="302">
        <f>'Deferral Calc'!H65</f>
        <v>-825696.29545613599</v>
      </c>
      <c r="I58" s="302">
        <f>'Deferral Calc'!I65</f>
        <v>-839183.83451837022</v>
      </c>
      <c r="J58" s="302">
        <f>'Deferral Calc'!J65</f>
        <v>-713228.55797224038</v>
      </c>
      <c r="K58" s="302">
        <f>'Deferral Calc'!K65</f>
        <v>-361556.99477712484</v>
      </c>
      <c r="L58" s="302">
        <f>'Deferral Calc'!L65</f>
        <v>-763256.98</v>
      </c>
      <c r="M58" s="302">
        <f>'Deferral Calc'!M65</f>
        <v>-554722.43999999994</v>
      </c>
      <c r="N58" s="302">
        <f>'Deferral Calc'!N65</f>
        <v>606903.42000000004</v>
      </c>
      <c r="O58" s="302">
        <f>'Deferral Calc'!O65</f>
        <v>-1754008.38</v>
      </c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  <c r="AK58" s="302"/>
      <c r="AL58" s="302"/>
      <c r="AM58" s="302"/>
      <c r="AN58" s="302"/>
      <c r="AO58" s="302"/>
      <c r="AP58" s="302"/>
      <c r="AQ58" s="302"/>
      <c r="AR58" s="302"/>
      <c r="AS58" s="302"/>
      <c r="AT58" s="302"/>
      <c r="AU58" s="302"/>
      <c r="AV58" s="302"/>
      <c r="AW58" s="302"/>
    </row>
    <row r="59" spans="1:49">
      <c r="A59" s="151">
        <v>456339</v>
      </c>
      <c r="B59" s="151" t="s">
        <v>372</v>
      </c>
      <c r="C59" s="301"/>
      <c r="D59" s="313">
        <f>'Deferral Calc'!D69</f>
        <v>66207.289999999994</v>
      </c>
      <c r="E59" s="313">
        <f>'Deferral Calc'!E69</f>
        <v>67375.64</v>
      </c>
      <c r="F59" s="313">
        <f>'Deferral Calc'!F69</f>
        <v>63806.12</v>
      </c>
      <c r="G59" s="313">
        <f>'Deferral Calc'!G69</f>
        <v>61807.1443138268</v>
      </c>
      <c r="H59" s="313">
        <f>'Deferral Calc'!H69</f>
        <v>66875.539429414814</v>
      </c>
      <c r="I59" s="313">
        <f>'Deferral Calc'!I69</f>
        <v>68567.362861936403</v>
      </c>
      <c r="J59" s="313">
        <f>'Deferral Calc'!J69</f>
        <v>78197.288413826405</v>
      </c>
      <c r="K59" s="313">
        <f>'Deferral Calc'!K69</f>
        <v>73903.894943113177</v>
      </c>
      <c r="L59" s="313">
        <f>'Deferral Calc'!L69</f>
        <v>64210.747679167587</v>
      </c>
      <c r="M59" s="313">
        <f>'Deferral Calc'!M69</f>
        <v>69824.243352925609</v>
      </c>
      <c r="N59" s="313">
        <f>'Deferral Calc'!N69</f>
        <v>89711.34521060923</v>
      </c>
      <c r="O59" s="313">
        <f>'Deferral Calc'!O69</f>
        <v>87496.585133094544</v>
      </c>
      <c r="P59" s="301">
        <f t="shared" ref="P59:AW59" si="93">P35*P36</f>
        <v>96882.891959404617</v>
      </c>
      <c r="Q59" s="301">
        <f t="shared" si="93"/>
        <v>85550.837314318967</v>
      </c>
      <c r="R59" s="301">
        <f t="shared" si="93"/>
        <v>90573.813561426592</v>
      </c>
      <c r="S59" s="301">
        <f t="shared" si="93"/>
        <v>84450.701249483041</v>
      </c>
      <c r="T59" s="301">
        <f t="shared" si="93"/>
        <v>89930.01519659748</v>
      </c>
      <c r="U59" s="301">
        <f t="shared" si="93"/>
        <v>91813.356508131954</v>
      </c>
      <c r="V59" s="301">
        <f t="shared" si="93"/>
        <v>111023.80481394788</v>
      </c>
      <c r="W59" s="301">
        <f t="shared" si="93"/>
        <v>104414.82557622001</v>
      </c>
      <c r="X59" s="301">
        <f t="shared" si="93"/>
        <v>91835.928379530043</v>
      </c>
      <c r="Y59" s="301">
        <f t="shared" si="93"/>
        <v>92608.877690300229</v>
      </c>
      <c r="Z59" s="301">
        <f t="shared" si="93"/>
        <v>616236.08509588742</v>
      </c>
      <c r="AA59" s="301">
        <f t="shared" si="93"/>
        <v>661125.71097269084</v>
      </c>
      <c r="AB59" s="301">
        <f t="shared" si="93"/>
        <v>645776.8705673134</v>
      </c>
      <c r="AC59" s="301">
        <f t="shared" si="93"/>
        <v>569316.4015877468</v>
      </c>
      <c r="AD59" s="301">
        <f t="shared" si="93"/>
        <v>605626.14889772551</v>
      </c>
      <c r="AE59" s="301">
        <f t="shared" si="93"/>
        <v>564875.47243208252</v>
      </c>
      <c r="AF59" s="301">
        <f t="shared" si="93"/>
        <v>597779.03822743217</v>
      </c>
      <c r="AG59" s="301">
        <f t="shared" si="93"/>
        <v>617161.79366521165</v>
      </c>
      <c r="AH59" s="301">
        <f t="shared" si="93"/>
        <v>735613.74922463845</v>
      </c>
      <c r="AI59" s="301">
        <f t="shared" si="93"/>
        <v>702279.80404305737</v>
      </c>
      <c r="AJ59" s="301">
        <f t="shared" si="93"/>
        <v>611813.90064627829</v>
      </c>
      <c r="AK59" s="301">
        <f t="shared" si="93"/>
        <v>624955.34570932295</v>
      </c>
      <c r="AL59" s="301">
        <f t="shared" si="93"/>
        <v>0</v>
      </c>
      <c r="AM59" s="301">
        <f t="shared" si="93"/>
        <v>0</v>
      </c>
      <c r="AN59" s="301">
        <f t="shared" si="93"/>
        <v>0</v>
      </c>
      <c r="AO59" s="301">
        <f t="shared" si="93"/>
        <v>0</v>
      </c>
      <c r="AP59" s="301">
        <f t="shared" si="93"/>
        <v>0</v>
      </c>
      <c r="AQ59" s="301">
        <f t="shared" si="93"/>
        <v>0</v>
      </c>
      <c r="AR59" s="301">
        <f t="shared" si="93"/>
        <v>0</v>
      </c>
      <c r="AS59" s="301">
        <f t="shared" si="93"/>
        <v>0</v>
      </c>
      <c r="AT59" s="301">
        <f t="shared" si="93"/>
        <v>0</v>
      </c>
      <c r="AU59" s="301">
        <f t="shared" si="93"/>
        <v>0</v>
      </c>
      <c r="AV59" s="301">
        <f t="shared" si="93"/>
        <v>0</v>
      </c>
      <c r="AW59" s="301">
        <f t="shared" si="93"/>
        <v>0</v>
      </c>
    </row>
    <row r="60" spans="1:49">
      <c r="A60" s="222" t="s">
        <v>337</v>
      </c>
      <c r="B60" s="151" t="s">
        <v>338</v>
      </c>
      <c r="C60" s="301"/>
      <c r="D60" s="303">
        <f t="shared" ref="D60" si="94">SUM(C47:C52,C54)-SUM(D47:D52,D54)-SUM(D58:D59,D63:D64)</f>
        <v>-7026.6723630587221</v>
      </c>
      <c r="E60" s="303">
        <f t="shared" ref="E60" si="95">SUM(D47:D52,D54)-SUM(E47:E52,E54)-SUM(E58:E59,E63:E64)</f>
        <v>-8578.1762558680493</v>
      </c>
      <c r="F60" s="303">
        <f t="shared" ref="F60" si="96">SUM(E47:E52,E54)-SUM(F47:F52,F54)-SUM(F58:F59,F63:F64)</f>
        <v>-9431.1149878076103</v>
      </c>
      <c r="G60" s="303">
        <f t="shared" ref="G60" si="97">SUM(F47:F52,F54)-SUM(G47:G52,G54)-SUM(G58:G59,G63:G64)</f>
        <v>-11019.778895891097</v>
      </c>
      <c r="H60" s="303">
        <f t="shared" ref="H60" si="98">SUM(G47:G52,G54)-SUM(H47:H52,H54)-SUM(H58:H59,H63:H64)</f>
        <v>-13327.165646593901</v>
      </c>
      <c r="I60" s="303">
        <f t="shared" ref="I60" si="99">SUM(H47:H52,H54)-SUM(I47:I52,I54)-SUM(I58:I59,I63:I64)</f>
        <v>-16225.386175186839</v>
      </c>
      <c r="J60" s="303">
        <f t="shared" ref="J60:AW60" si="100">SUM(I47:I52,I54)-SUM(J47:J52,J54)-SUM(J58:J59,J63:J64)</f>
        <v>-19834.235221462208</v>
      </c>
      <c r="K60" s="303">
        <f t="shared" si="100"/>
        <v>-21714.833062639693</v>
      </c>
      <c r="L60" s="303">
        <f t="shared" si="100"/>
        <v>-23727.876813445822</v>
      </c>
      <c r="M60" s="303">
        <f t="shared" si="100"/>
        <v>-27638.767696771538</v>
      </c>
      <c r="N60" s="303">
        <f>SUM(M47:M52,M54)-SUM(N47:N52,N54)-SUM(N58:N59,N63:N64)</f>
        <v>-27315.460361552774</v>
      </c>
      <c r="O60" s="303">
        <f t="shared" si="100"/>
        <v>-29432.818125671009</v>
      </c>
      <c r="P60" s="303">
        <f t="shared" si="100"/>
        <v>-32798.373506598218</v>
      </c>
      <c r="Q60" s="303">
        <f t="shared" si="100"/>
        <v>-32556.910409926539</v>
      </c>
      <c r="R60" s="303">
        <f t="shared" si="100"/>
        <v>-32327.488027811167</v>
      </c>
      <c r="S60" s="303">
        <f t="shared" si="100"/>
        <v>-32099.390981050208</v>
      </c>
      <c r="T60" s="303">
        <f t="shared" si="100"/>
        <v>-31871.681649783903</v>
      </c>
      <c r="U60" s="303">
        <f t="shared" si="100"/>
        <v>-31627.814965746249</v>
      </c>
      <c r="V60" s="303">
        <f t="shared" si="100"/>
        <v>-31339.346467538155</v>
      </c>
      <c r="W60" s="303">
        <f t="shared" si="100"/>
        <v>-31023.642596799255</v>
      </c>
      <c r="X60" s="303">
        <f t="shared" si="100"/>
        <v>-30746.288761356802</v>
      </c>
      <c r="Y60" s="303">
        <f t="shared" si="100"/>
        <v>-30492.187489025178</v>
      </c>
      <c r="Z60" s="303">
        <f t="shared" si="100"/>
        <v>-29153.275607556454</v>
      </c>
      <c r="AA60" s="303">
        <f t="shared" si="100"/>
        <v>-26633.894768192316</v>
      </c>
      <c r="AB60" s="303">
        <f t="shared" si="100"/>
        <v>-24043.049531384371</v>
      </c>
      <c r="AC60" s="303">
        <f t="shared" si="100"/>
        <v>-21631.234706993913</v>
      </c>
      <c r="AD60" s="303">
        <f t="shared" si="100"/>
        <v>-19292.429206112749</v>
      </c>
      <c r="AE60" s="303">
        <f t="shared" si="100"/>
        <v>-16953.134562749881</v>
      </c>
      <c r="AF60" s="303">
        <f t="shared" si="100"/>
        <v>-14620.388196912827</v>
      </c>
      <c r="AG60" s="303">
        <f t="shared" si="100"/>
        <v>-12169.941415548325</v>
      </c>
      <c r="AH60" s="303">
        <f t="shared" si="100"/>
        <v>-9424.5077180935768</v>
      </c>
      <c r="AI60" s="303">
        <f t="shared" si="100"/>
        <v>-6491.8156732418574</v>
      </c>
      <c r="AJ60" s="303">
        <f t="shared" si="100"/>
        <v>-3802.8548550000414</v>
      </c>
      <c r="AK60" s="303">
        <f t="shared" si="100"/>
        <v>-1262.5835459325463</v>
      </c>
      <c r="AL60" s="303">
        <f t="shared" si="100"/>
        <v>23.772156543580422</v>
      </c>
      <c r="AM60" s="303">
        <f t="shared" si="100"/>
        <v>23.870414790627365</v>
      </c>
      <c r="AN60" s="303">
        <f t="shared" si="100"/>
        <v>23.969079171761223</v>
      </c>
      <c r="AO60" s="303">
        <f t="shared" si="100"/>
        <v>24.068151365671838</v>
      </c>
      <c r="AP60" s="303">
        <f t="shared" si="100"/>
        <v>24.167633057983039</v>
      </c>
      <c r="AQ60" s="303">
        <f t="shared" si="100"/>
        <v>24.267525941289023</v>
      </c>
      <c r="AR60" s="303">
        <f t="shared" si="100"/>
        <v>24.367831715179818</v>
      </c>
      <c r="AS60" s="303">
        <f t="shared" si="100"/>
        <v>24.468552086269483</v>
      </c>
      <c r="AT60" s="303">
        <f t="shared" si="100"/>
        <v>24.569688768226115</v>
      </c>
      <c r="AU60" s="303">
        <f t="shared" si="100"/>
        <v>24.671243481800957</v>
      </c>
      <c r="AV60" s="303">
        <f t="shared" si="100"/>
        <v>24.773217954859319</v>
      </c>
      <c r="AW60" s="303">
        <f t="shared" si="100"/>
        <v>24.875613922406046</v>
      </c>
    </row>
    <row r="61" spans="1:49">
      <c r="A61" s="222" t="s">
        <v>339</v>
      </c>
      <c r="B61" s="151" t="s">
        <v>340</v>
      </c>
      <c r="C61" s="301"/>
      <c r="D61" s="303">
        <f t="shared" ref="D61:I61" si="101">SUM(D58:D59,D63:D64)*-0.21</f>
        <v>107430.3881250991</v>
      </c>
      <c r="E61" s="303">
        <f t="shared" si="101"/>
        <v>73608.518182570755</v>
      </c>
      <c r="F61" s="303">
        <f t="shared" si="101"/>
        <v>23937.146824696865</v>
      </c>
      <c r="G61" s="303">
        <f t="shared" si="101"/>
        <v>96181.061694096366</v>
      </c>
      <c r="H61" s="303">
        <f t="shared" si="101"/>
        <v>159352.35876561145</v>
      </c>
      <c r="I61" s="303">
        <f t="shared" si="101"/>
        <v>161829.45904785109</v>
      </c>
      <c r="J61" s="303">
        <f t="shared" ref="J61:AW61" si="102">SUM(J58:J59,J63:J64)*-0.21</f>
        <v>133356.56660726693</v>
      </c>
      <c r="K61" s="303">
        <f t="shared" si="102"/>
        <v>60407.150965142442</v>
      </c>
      <c r="L61" s="303">
        <f t="shared" si="102"/>
        <v>146799.70878737481</v>
      </c>
      <c r="M61" s="303">
        <f t="shared" si="102"/>
        <v>101828.6212958856</v>
      </c>
      <c r="N61" s="303">
        <f>SUM(N58:N59,N63:N64)*-0.21</f>
        <v>-146289.10069422793</v>
      </c>
      <c r="O61" s="303">
        <f t="shared" si="102"/>
        <v>349967.47692205012</v>
      </c>
      <c r="P61" s="303">
        <f t="shared" si="102"/>
        <v>-20345.40731147497</v>
      </c>
      <c r="Q61" s="303">
        <f t="shared" si="102"/>
        <v>-17965.675836006983</v>
      </c>
      <c r="R61" s="303">
        <f t="shared" si="102"/>
        <v>-19020.500847899584</v>
      </c>
      <c r="S61" s="303">
        <f t="shared" si="102"/>
        <v>-17734.647262391438</v>
      </c>
      <c r="T61" s="303">
        <f t="shared" si="102"/>
        <v>-18885.303191285471</v>
      </c>
      <c r="U61" s="303">
        <f t="shared" si="102"/>
        <v>-19280.804866707709</v>
      </c>
      <c r="V61" s="303">
        <f t="shared" si="102"/>
        <v>-23314.999010929052</v>
      </c>
      <c r="W61" s="303">
        <f t="shared" si="102"/>
        <v>-21927.113371006202</v>
      </c>
      <c r="X61" s="303">
        <f t="shared" si="102"/>
        <v>-19285.544959701307</v>
      </c>
      <c r="Y61" s="303">
        <f t="shared" si="102"/>
        <v>-19447.864314963048</v>
      </c>
      <c r="Z61" s="303">
        <f t="shared" si="102"/>
        <v>-129409.57787013636</v>
      </c>
      <c r="AA61" s="303">
        <f t="shared" si="102"/>
        <v>-138836.39930426507</v>
      </c>
      <c r="AB61" s="303">
        <f t="shared" si="102"/>
        <v>-135613.1428191358</v>
      </c>
      <c r="AC61" s="303">
        <f t="shared" si="102"/>
        <v>-119556.44433342683</v>
      </c>
      <c r="AD61" s="303">
        <f t="shared" si="102"/>
        <v>-127181.49126852235</v>
      </c>
      <c r="AE61" s="303">
        <f t="shared" si="102"/>
        <v>-118623.84921073733</v>
      </c>
      <c r="AF61" s="303">
        <f t="shared" si="102"/>
        <v>-125533.59802776075</v>
      </c>
      <c r="AG61" s="303">
        <f t="shared" si="102"/>
        <v>-129603.97666969444</v>
      </c>
      <c r="AH61" s="303">
        <f t="shared" si="102"/>
        <v>-154478.88733717406</v>
      </c>
      <c r="AI61" s="303">
        <f t="shared" si="102"/>
        <v>-147478.75884904203</v>
      </c>
      <c r="AJ61" s="303">
        <f t="shared" si="102"/>
        <v>-128480.91913571843</v>
      </c>
      <c r="AK61" s="303">
        <f t="shared" si="102"/>
        <v>-131240.62259895782</v>
      </c>
      <c r="AL61" s="303">
        <f t="shared" si="102"/>
        <v>0</v>
      </c>
      <c r="AM61" s="303">
        <f t="shared" si="102"/>
        <v>0</v>
      </c>
      <c r="AN61" s="303">
        <f t="shared" si="102"/>
        <v>0</v>
      </c>
      <c r="AO61" s="303">
        <f t="shared" si="102"/>
        <v>0</v>
      </c>
      <c r="AP61" s="303">
        <f t="shared" si="102"/>
        <v>0</v>
      </c>
      <c r="AQ61" s="303">
        <f t="shared" si="102"/>
        <v>0</v>
      </c>
      <c r="AR61" s="303">
        <f t="shared" si="102"/>
        <v>0</v>
      </c>
      <c r="AS61" s="303">
        <f t="shared" si="102"/>
        <v>0</v>
      </c>
      <c r="AT61" s="303">
        <f t="shared" si="102"/>
        <v>0</v>
      </c>
      <c r="AU61" s="303">
        <f t="shared" si="102"/>
        <v>0</v>
      </c>
      <c r="AV61" s="303">
        <f t="shared" si="102"/>
        <v>0</v>
      </c>
      <c r="AW61" s="303">
        <f t="shared" si="102"/>
        <v>0</v>
      </c>
    </row>
    <row r="62" spans="1:49">
      <c r="A62" s="222" t="s">
        <v>341</v>
      </c>
      <c r="B62" s="151" t="s">
        <v>342</v>
      </c>
      <c r="C62" s="301"/>
      <c r="D62" s="303">
        <f t="shared" ref="D62:I62" si="103">D60*-0.21</f>
        <v>1475.6011962423315</v>
      </c>
      <c r="E62" s="303">
        <f t="shared" si="103"/>
        <v>1801.4170137322903</v>
      </c>
      <c r="F62" s="303">
        <f t="shared" si="103"/>
        <v>1980.5341474395982</v>
      </c>
      <c r="G62" s="303">
        <f t="shared" si="103"/>
        <v>2314.1535681371302</v>
      </c>
      <c r="H62" s="303">
        <f t="shared" si="103"/>
        <v>2798.7047857847192</v>
      </c>
      <c r="I62" s="303">
        <f t="shared" si="103"/>
        <v>3407.3310967892362</v>
      </c>
      <c r="J62" s="303">
        <f t="shared" ref="J62:AW62" si="104">J60*-0.21</f>
        <v>4165.1893965070631</v>
      </c>
      <c r="K62" s="303">
        <f t="shared" si="104"/>
        <v>4560.1149431543354</v>
      </c>
      <c r="L62" s="303">
        <f t="shared" si="104"/>
        <v>4982.8541308236227</v>
      </c>
      <c r="M62" s="303">
        <f t="shared" si="104"/>
        <v>5804.141216322023</v>
      </c>
      <c r="N62" s="303">
        <f t="shared" si="104"/>
        <v>5736.2466759260824</v>
      </c>
      <c r="O62" s="303">
        <f t="shared" si="104"/>
        <v>6180.8918063909114</v>
      </c>
      <c r="P62" s="303">
        <f t="shared" si="104"/>
        <v>6887.6584363856255</v>
      </c>
      <c r="Q62" s="303">
        <f t="shared" si="104"/>
        <v>6836.9511860845732</v>
      </c>
      <c r="R62" s="303">
        <f t="shared" si="104"/>
        <v>6788.7724858403444</v>
      </c>
      <c r="S62" s="303">
        <f t="shared" si="104"/>
        <v>6740.8721060205435</v>
      </c>
      <c r="T62" s="303">
        <f t="shared" si="104"/>
        <v>6693.0531464546193</v>
      </c>
      <c r="U62" s="303">
        <f t="shared" si="104"/>
        <v>6641.841142806712</v>
      </c>
      <c r="V62" s="303">
        <f t="shared" si="104"/>
        <v>6581.262758183012</v>
      </c>
      <c r="W62" s="303">
        <f t="shared" si="104"/>
        <v>6514.9649453278435</v>
      </c>
      <c r="X62" s="303">
        <f t="shared" si="104"/>
        <v>6456.7206398849285</v>
      </c>
      <c r="Y62" s="303">
        <f t="shared" si="104"/>
        <v>6403.3593726952868</v>
      </c>
      <c r="Z62" s="303">
        <f t="shared" si="104"/>
        <v>6122.1878775868554</v>
      </c>
      <c r="AA62" s="303">
        <f t="shared" si="104"/>
        <v>5593.1179013203864</v>
      </c>
      <c r="AB62" s="303">
        <f t="shared" si="104"/>
        <v>5049.0404015907179</v>
      </c>
      <c r="AC62" s="303">
        <f t="shared" si="104"/>
        <v>4542.5592884687212</v>
      </c>
      <c r="AD62" s="303">
        <f t="shared" si="104"/>
        <v>4051.4101332836772</v>
      </c>
      <c r="AE62" s="303">
        <f t="shared" si="104"/>
        <v>3560.1582581774751</v>
      </c>
      <c r="AF62" s="303">
        <f t="shared" si="104"/>
        <v>3070.2815213516938</v>
      </c>
      <c r="AG62" s="303">
        <f t="shared" si="104"/>
        <v>2555.687697265148</v>
      </c>
      <c r="AH62" s="303">
        <f t="shared" si="104"/>
        <v>1979.1466207996511</v>
      </c>
      <c r="AI62" s="303">
        <f t="shared" si="104"/>
        <v>1363.28129138079</v>
      </c>
      <c r="AJ62" s="303">
        <f t="shared" si="104"/>
        <v>798.59951955000872</v>
      </c>
      <c r="AK62" s="303">
        <f t="shared" si="104"/>
        <v>265.14254464583473</v>
      </c>
      <c r="AL62" s="303">
        <f t="shared" si="104"/>
        <v>-4.9921528741518886</v>
      </c>
      <c r="AM62" s="303">
        <f t="shared" si="104"/>
        <v>-5.0127871060317464</v>
      </c>
      <c r="AN62" s="303">
        <f t="shared" si="104"/>
        <v>-5.0335066260698564</v>
      </c>
      <c r="AO62" s="303">
        <f t="shared" si="104"/>
        <v>-5.0543117867910858</v>
      </c>
      <c r="AP62" s="303">
        <f t="shared" si="104"/>
        <v>-5.0752029421764382</v>
      </c>
      <c r="AQ62" s="303">
        <f t="shared" si="104"/>
        <v>-5.0961804476706947</v>
      </c>
      <c r="AR62" s="303">
        <f t="shared" si="104"/>
        <v>-5.1172446601877617</v>
      </c>
      <c r="AS62" s="303">
        <f t="shared" si="104"/>
        <v>-5.1383959381165916</v>
      </c>
      <c r="AT62" s="303">
        <f t="shared" si="104"/>
        <v>-5.1596346413274841</v>
      </c>
      <c r="AU62" s="303">
        <f t="shared" si="104"/>
        <v>-5.1809611311782007</v>
      </c>
      <c r="AV62" s="303">
        <f t="shared" si="104"/>
        <v>-5.2023757705204572</v>
      </c>
      <c r="AW62" s="303">
        <f t="shared" si="104"/>
        <v>-5.2238789237052696</v>
      </c>
    </row>
    <row r="63" spans="1:49">
      <c r="A63" s="151">
        <v>456311</v>
      </c>
      <c r="B63" s="151" t="s">
        <v>343</v>
      </c>
      <c r="C63" s="301"/>
      <c r="D63" s="303">
        <f t="shared" ref="D63" si="105">-(SUM(D51:D52)-SUM(C51:C52))</f>
        <v>0</v>
      </c>
      <c r="E63" s="303">
        <f t="shared" ref="E63" si="106">-(SUM(E51:E52)-SUM(D51:D52))</f>
        <v>0</v>
      </c>
      <c r="F63" s="303">
        <f t="shared" ref="F63" si="107">-(SUM(F51:F52)-SUM(E51:E52))</f>
        <v>0</v>
      </c>
      <c r="G63" s="303">
        <f t="shared" ref="G63" si="108">-(SUM(G51:G52)-SUM(F51:F52))</f>
        <v>0</v>
      </c>
      <c r="H63" s="303">
        <f t="shared" ref="H63" si="109">-(SUM(H51:H52)-SUM(G51:G52))</f>
        <v>0</v>
      </c>
      <c r="I63" s="303">
        <f t="shared" ref="I63" si="110">-(SUM(I51:I52)-SUM(H51:H52))</f>
        <v>0</v>
      </c>
      <c r="J63" s="303">
        <f t="shared" ref="J63:AW63" si="111">-(SUM(J51:J52)-SUM(I51:I52))</f>
        <v>0</v>
      </c>
      <c r="K63" s="303">
        <f t="shared" si="111"/>
        <v>0</v>
      </c>
      <c r="L63" s="303">
        <f t="shared" si="111"/>
        <v>0</v>
      </c>
      <c r="M63" s="303">
        <f t="shared" si="111"/>
        <v>0</v>
      </c>
      <c r="N63" s="303">
        <f t="shared" si="111"/>
        <v>0</v>
      </c>
      <c r="O63" s="303">
        <f t="shared" si="111"/>
        <v>0</v>
      </c>
      <c r="P63" s="303">
        <f t="shared" si="111"/>
        <v>0</v>
      </c>
      <c r="Q63" s="303">
        <f t="shared" si="111"/>
        <v>0</v>
      </c>
      <c r="R63" s="303">
        <f t="shared" si="111"/>
        <v>0</v>
      </c>
      <c r="S63" s="303">
        <f t="shared" si="111"/>
        <v>0</v>
      </c>
      <c r="T63" s="303">
        <f t="shared" si="111"/>
        <v>0</v>
      </c>
      <c r="U63" s="303">
        <f t="shared" si="111"/>
        <v>0</v>
      </c>
      <c r="V63" s="303">
        <f t="shared" si="111"/>
        <v>0</v>
      </c>
      <c r="W63" s="303">
        <f t="shared" si="111"/>
        <v>0</v>
      </c>
      <c r="X63" s="303">
        <f t="shared" si="111"/>
        <v>0</v>
      </c>
      <c r="Y63" s="303">
        <f t="shared" si="111"/>
        <v>0</v>
      </c>
      <c r="Z63" s="303">
        <f t="shared" si="111"/>
        <v>0</v>
      </c>
      <c r="AA63" s="303">
        <f t="shared" si="111"/>
        <v>0</v>
      </c>
      <c r="AB63" s="303">
        <f t="shared" si="111"/>
        <v>0</v>
      </c>
      <c r="AC63" s="303">
        <f t="shared" si="111"/>
        <v>0</v>
      </c>
      <c r="AD63" s="303">
        <f t="shared" si="111"/>
        <v>0</v>
      </c>
      <c r="AE63" s="303">
        <f t="shared" si="111"/>
        <v>0</v>
      </c>
      <c r="AF63" s="303">
        <f t="shared" si="111"/>
        <v>0</v>
      </c>
      <c r="AG63" s="303">
        <f t="shared" si="111"/>
        <v>0</v>
      </c>
      <c r="AH63" s="303">
        <f t="shared" si="111"/>
        <v>0</v>
      </c>
      <c r="AI63" s="303">
        <f t="shared" si="111"/>
        <v>0</v>
      </c>
      <c r="AJ63" s="303">
        <f t="shared" si="111"/>
        <v>0</v>
      </c>
      <c r="AK63" s="303">
        <f t="shared" si="111"/>
        <v>0</v>
      </c>
      <c r="AL63" s="303">
        <f t="shared" si="111"/>
        <v>0</v>
      </c>
      <c r="AM63" s="303">
        <f t="shared" si="111"/>
        <v>0</v>
      </c>
      <c r="AN63" s="303">
        <f t="shared" si="111"/>
        <v>0</v>
      </c>
      <c r="AO63" s="303">
        <f t="shared" si="111"/>
        <v>0</v>
      </c>
      <c r="AP63" s="303">
        <f t="shared" si="111"/>
        <v>0</v>
      </c>
      <c r="AQ63" s="303">
        <f t="shared" si="111"/>
        <v>0</v>
      </c>
      <c r="AR63" s="303">
        <f t="shared" si="111"/>
        <v>0</v>
      </c>
      <c r="AS63" s="303">
        <f t="shared" si="111"/>
        <v>0</v>
      </c>
      <c r="AT63" s="303">
        <f t="shared" si="111"/>
        <v>0</v>
      </c>
      <c r="AU63" s="303">
        <f t="shared" si="111"/>
        <v>0</v>
      </c>
      <c r="AV63" s="303">
        <f t="shared" si="111"/>
        <v>0</v>
      </c>
      <c r="AW63" s="303">
        <f t="shared" si="111"/>
        <v>0</v>
      </c>
    </row>
    <row r="64" spans="1:49">
      <c r="A64" s="151">
        <v>449100</v>
      </c>
      <c r="B64" s="151" t="s">
        <v>331</v>
      </c>
      <c r="C64" s="310">
        <v>0</v>
      </c>
      <c r="D64" s="310"/>
      <c r="E64" s="310"/>
      <c r="F64" s="310"/>
      <c r="G64" s="310"/>
      <c r="H64" s="310"/>
      <c r="I64" s="310"/>
      <c r="K64" s="311"/>
      <c r="L64" s="310"/>
      <c r="N64" s="301"/>
      <c r="O64" s="310"/>
      <c r="P64" s="170"/>
      <c r="R64" s="310"/>
      <c r="U64" s="310"/>
      <c r="W64" s="311"/>
      <c r="X64" s="310"/>
      <c r="Z64" s="301"/>
      <c r="AA64" s="310"/>
      <c r="AB64" s="170"/>
      <c r="AD64" s="310"/>
      <c r="AG64" s="310"/>
      <c r="AI64" s="311"/>
      <c r="AJ64" s="310"/>
      <c r="AL64" s="301"/>
      <c r="AM64" s="310"/>
      <c r="AN64" s="170"/>
      <c r="AP64" s="310"/>
      <c r="AS64" s="310"/>
      <c r="AU64" s="311"/>
      <c r="AV64" s="310"/>
    </row>
    <row r="65" spans="3:8">
      <c r="C65" s="301"/>
      <c r="D65" s="301"/>
      <c r="E65" s="301"/>
      <c r="F65" s="301"/>
      <c r="G65" s="301"/>
      <c r="H65" s="301"/>
    </row>
    <row r="66" spans="3:8">
      <c r="C66" s="301"/>
      <c r="D66" s="301"/>
      <c r="E66" s="301"/>
      <c r="F66" s="301"/>
      <c r="G66" s="301"/>
      <c r="H66" s="301"/>
    </row>
    <row r="67" spans="3:8">
      <c r="C67" s="301"/>
      <c r="D67" s="301"/>
      <c r="E67" s="301"/>
      <c r="F67" s="301"/>
      <c r="G67" s="301"/>
      <c r="H67" s="301"/>
    </row>
  </sheetData>
  <mergeCells count="2">
    <mergeCell ref="A2:B2"/>
    <mergeCell ref="A34:B34"/>
  </mergeCells>
  <pageMargins left="0.32" right="0.32" top="0.41" bottom="0.62" header="0.3" footer="0.3"/>
  <pageSetup scale="59" fitToWidth="3" pageOrder="overThenDown" orientation="landscape" r:id="rId1"/>
  <headerFooter scaleWithDoc="0">
    <oddFooter>&amp;C&amp;F / &amp;A&amp;RPage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S85"/>
  <sheetViews>
    <sheetView zoomScaleNormal="100" workbookViewId="0">
      <selection sqref="A1:P1"/>
    </sheetView>
  </sheetViews>
  <sheetFormatPr defaultRowHeight="14.4"/>
  <cols>
    <col min="2" max="2" width="30.6640625" customWidth="1"/>
    <col min="3" max="3" width="14.6640625" customWidth="1"/>
    <col min="4" max="4" width="15" customWidth="1"/>
    <col min="5" max="5" width="17" customWidth="1"/>
    <col min="6" max="6" width="16" customWidth="1"/>
    <col min="7" max="14" width="15" customWidth="1"/>
    <col min="15" max="15" width="14.5546875" customWidth="1"/>
    <col min="16" max="16" width="15" customWidth="1"/>
    <col min="18" max="18" width="12" bestFit="1" customWidth="1"/>
  </cols>
  <sheetData>
    <row r="1" spans="1:19" ht="15.6">
      <c r="A1" s="394" t="s">
        <v>20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</row>
    <row r="2" spans="1:19" ht="15.6">
      <c r="A2" s="394" t="s">
        <v>309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</row>
    <row r="3" spans="1:19" ht="15.6">
      <c r="A3" s="398" t="s">
        <v>225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</row>
    <row r="4" spans="1:19" ht="15.6" hidden="1">
      <c r="A4" s="59"/>
      <c r="B4" s="60"/>
      <c r="C4" s="60"/>
      <c r="D4" s="61" t="str">
        <f>TEXT(D7,"YYYYMM")</f>
        <v>201801</v>
      </c>
      <c r="E4" s="61">
        <f>D4+1</f>
        <v>201802</v>
      </c>
      <c r="F4" s="61">
        <f t="shared" ref="F4:O4" si="0">E4+1</f>
        <v>201803</v>
      </c>
      <c r="G4" s="61">
        <f t="shared" si="0"/>
        <v>201804</v>
      </c>
      <c r="H4" s="61">
        <f t="shared" si="0"/>
        <v>201805</v>
      </c>
      <c r="I4" s="61">
        <f t="shared" si="0"/>
        <v>201806</v>
      </c>
      <c r="J4" s="61">
        <f t="shared" si="0"/>
        <v>201807</v>
      </c>
      <c r="K4" s="61">
        <f t="shared" si="0"/>
        <v>201808</v>
      </c>
      <c r="L4" s="61">
        <f t="shared" si="0"/>
        <v>201809</v>
      </c>
      <c r="M4" s="61">
        <f t="shared" si="0"/>
        <v>201810</v>
      </c>
      <c r="N4" s="61">
        <f t="shared" si="0"/>
        <v>201811</v>
      </c>
      <c r="O4" s="61">
        <f t="shared" si="0"/>
        <v>201812</v>
      </c>
      <c r="P4" s="20"/>
    </row>
    <row r="5" spans="1:19">
      <c r="A5" s="21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20"/>
    </row>
    <row r="6" spans="1:19">
      <c r="A6" s="20"/>
      <c r="B6" s="20"/>
      <c r="C6" s="20"/>
      <c r="D6" s="100"/>
      <c r="E6" s="20"/>
      <c r="F6" s="20"/>
      <c r="G6" s="20"/>
      <c r="H6" s="259"/>
      <c r="I6" s="20"/>
      <c r="J6" s="20"/>
      <c r="K6" s="20"/>
      <c r="L6" s="20"/>
      <c r="M6" s="20"/>
      <c r="N6" s="20"/>
      <c r="O6" s="20"/>
      <c r="P6" s="20"/>
    </row>
    <row r="7" spans="1:19">
      <c r="A7" s="64" t="s">
        <v>17</v>
      </c>
      <c r="B7" s="65"/>
      <c r="C7" s="66" t="s">
        <v>16</v>
      </c>
      <c r="D7" s="101">
        <v>43101</v>
      </c>
      <c r="E7" s="67">
        <f>EDATE(D7,1)</f>
        <v>43132</v>
      </c>
      <c r="F7" s="67">
        <f t="shared" ref="F7:O7" si="1">EDATE(E7,1)</f>
        <v>43160</v>
      </c>
      <c r="G7" s="67">
        <f t="shared" si="1"/>
        <v>43191</v>
      </c>
      <c r="H7" s="260">
        <f t="shared" si="1"/>
        <v>43221</v>
      </c>
      <c r="I7" s="67">
        <f t="shared" si="1"/>
        <v>43252</v>
      </c>
      <c r="J7" s="67">
        <f t="shared" si="1"/>
        <v>43282</v>
      </c>
      <c r="K7" s="67">
        <f t="shared" si="1"/>
        <v>43313</v>
      </c>
      <c r="L7" s="67">
        <f t="shared" si="1"/>
        <v>43344</v>
      </c>
      <c r="M7" s="67">
        <f t="shared" si="1"/>
        <v>43374</v>
      </c>
      <c r="N7" s="67">
        <f t="shared" si="1"/>
        <v>43405</v>
      </c>
      <c r="O7" s="67">
        <f t="shared" si="1"/>
        <v>43435</v>
      </c>
      <c r="P7" s="67" t="s">
        <v>15</v>
      </c>
    </row>
    <row r="8" spans="1:19">
      <c r="A8" s="21"/>
      <c r="B8" s="21" t="s">
        <v>14</v>
      </c>
      <c r="C8" s="21" t="s">
        <v>13</v>
      </c>
      <c r="D8" s="21" t="s">
        <v>12</v>
      </c>
      <c r="E8" s="21" t="s">
        <v>11</v>
      </c>
      <c r="F8" s="21" t="s">
        <v>10</v>
      </c>
      <c r="G8" s="21" t="s">
        <v>9</v>
      </c>
      <c r="H8" s="261" t="s">
        <v>8</v>
      </c>
      <c r="I8" s="21" t="s">
        <v>7</v>
      </c>
      <c r="J8" s="21" t="s">
        <v>6</v>
      </c>
      <c r="K8" s="21" t="s">
        <v>5</v>
      </c>
      <c r="L8" s="21" t="s">
        <v>4</v>
      </c>
      <c r="M8" s="21" t="s">
        <v>3</v>
      </c>
      <c r="N8" s="21" t="s">
        <v>2</v>
      </c>
      <c r="O8" s="21" t="s">
        <v>1</v>
      </c>
      <c r="P8" s="21" t="s">
        <v>0</v>
      </c>
    </row>
    <row r="9" spans="1:19" hidden="1">
      <c r="A9" s="68" t="s">
        <v>104</v>
      </c>
      <c r="B9" s="21"/>
      <c r="C9" s="21"/>
      <c r="D9" s="21"/>
      <c r="E9" s="21"/>
      <c r="F9" s="21"/>
      <c r="G9" s="21"/>
      <c r="H9" s="261"/>
      <c r="I9" s="21"/>
      <c r="J9" s="21"/>
      <c r="K9" s="21"/>
      <c r="L9" s="21"/>
      <c r="M9" s="21"/>
      <c r="N9" s="21"/>
      <c r="O9" s="21"/>
      <c r="P9" s="21"/>
    </row>
    <row r="10" spans="1:19" hidden="1">
      <c r="A10" s="58"/>
      <c r="B10" s="69" t="s">
        <v>105</v>
      </c>
      <c r="C10" s="58" t="s">
        <v>106</v>
      </c>
      <c r="D10" s="70"/>
      <c r="E10" s="70"/>
      <c r="F10" s="70"/>
      <c r="G10" s="70"/>
      <c r="H10" s="262"/>
      <c r="I10" s="70"/>
      <c r="J10" s="70"/>
      <c r="K10" s="70"/>
      <c r="L10" s="70"/>
      <c r="M10" s="70"/>
      <c r="N10" s="70"/>
      <c r="O10" s="70"/>
      <c r="P10" s="71"/>
    </row>
    <row r="11" spans="1:19" hidden="1">
      <c r="A11" s="21"/>
      <c r="B11" s="21"/>
      <c r="C11" s="21"/>
      <c r="D11" s="21"/>
      <c r="E11" s="21"/>
      <c r="F11" s="21"/>
      <c r="G11" s="21"/>
      <c r="H11" s="261"/>
      <c r="I11" s="21"/>
      <c r="J11" s="21"/>
      <c r="K11" s="21"/>
      <c r="L11" s="21"/>
      <c r="M11" s="21"/>
      <c r="N11" s="21"/>
      <c r="O11" s="21"/>
      <c r="P11" s="21"/>
    </row>
    <row r="12" spans="1:19">
      <c r="A12" s="21"/>
      <c r="B12" s="72" t="s">
        <v>107</v>
      </c>
      <c r="C12" s="21"/>
      <c r="D12" s="21"/>
      <c r="E12" s="21"/>
      <c r="F12" s="21"/>
      <c r="G12" s="21"/>
      <c r="H12" s="261"/>
      <c r="I12" s="21"/>
      <c r="J12" s="21"/>
      <c r="K12" s="21"/>
      <c r="L12" s="21"/>
      <c r="M12" s="21"/>
      <c r="N12" s="21"/>
      <c r="O12" s="21"/>
      <c r="P12" s="20"/>
    </row>
    <row r="13" spans="1:19" ht="15" customHeight="1">
      <c r="A13" s="21">
        <v>1</v>
      </c>
      <c r="B13" s="20" t="s">
        <v>108</v>
      </c>
      <c r="C13" s="21" t="s">
        <v>109</v>
      </c>
      <c r="D13" s="147">
        <f>'Jan Base Rate Revenue'!$C$19</f>
        <v>215198</v>
      </c>
      <c r="E13" s="147">
        <f>'Feb Base Rate Revenue'!$C$19</f>
        <v>214197</v>
      </c>
      <c r="F13" s="147">
        <f>'Mar Base Rate Revenue'!C19</f>
        <v>216045</v>
      </c>
      <c r="G13" s="147">
        <f>'Apr Base Rate Revenue'!C19</f>
        <v>214971</v>
      </c>
      <c r="H13" s="263">
        <f>'May Base Rate Revenue'!C19</f>
        <v>215099</v>
      </c>
      <c r="I13" s="147">
        <f>'June Base Rate Revenue'!C19</f>
        <v>214829</v>
      </c>
      <c r="J13" s="147">
        <f>'July Base Rate Revenue'!C19</f>
        <v>215408</v>
      </c>
      <c r="K13" s="147">
        <f>'August Base Rate Revenue'!$C19</f>
        <v>215648</v>
      </c>
      <c r="L13" s="147">
        <f>'September Base Rate Revenue'!$C19</f>
        <v>214122</v>
      </c>
      <c r="M13" s="147">
        <f>'October Base Rate Revenue'!$C19</f>
        <v>218388</v>
      </c>
      <c r="N13" s="147">
        <f>'November Base Rate Revenue'!$C19</f>
        <v>216943</v>
      </c>
      <c r="O13" s="147">
        <f>'December Base Rate Revenue'!$C19</f>
        <v>217126</v>
      </c>
      <c r="P13" s="96">
        <f>SUM(D13:O13)</f>
        <v>2587974</v>
      </c>
    </row>
    <row r="14" spans="1:19" ht="26.4">
      <c r="A14" s="73">
        <f>A13+1</f>
        <v>2</v>
      </c>
      <c r="B14" s="143" t="s">
        <v>110</v>
      </c>
      <c r="C14" s="143" t="s">
        <v>171</v>
      </c>
      <c r="D14" s="144">
        <f>'UE-150204 Decoupling Base'!V23</f>
        <v>88.322763278236906</v>
      </c>
      <c r="E14" s="144">
        <f>'UE-150204 Decoupling Base'!W23</f>
        <v>72.16516565702095</v>
      </c>
      <c r="F14" s="144">
        <f>'UE-150204 Decoupling Base'!X23</f>
        <v>70.972141606104245</v>
      </c>
      <c r="G14" s="144">
        <f>'UE-150204 Decoupling Base'!Y23</f>
        <v>53.464415602104843</v>
      </c>
      <c r="H14" s="264">
        <f>'Attachment 4, Page 3'!H24</f>
        <v>45.892124419392054</v>
      </c>
      <c r="I14" s="144">
        <f>'Attachment 4, Page 3'!I24</f>
        <v>42.548958852653399</v>
      </c>
      <c r="J14" s="144">
        <f>'Attachment 4, Page 3'!J24</f>
        <v>56.439626965764539</v>
      </c>
      <c r="K14" s="144">
        <f>'Attachment 4, Page 3'!K24</f>
        <v>50.945678742657662</v>
      </c>
      <c r="L14" s="144">
        <f>'Attachment 4, Page 3'!L24</f>
        <v>48.236457551145826</v>
      </c>
      <c r="M14" s="144">
        <f>'Attachment 4, Page 3'!M24</f>
        <v>47.127141167587858</v>
      </c>
      <c r="N14" s="144">
        <f>'Attachment 4, Page 3'!N24</f>
        <v>63.977202165489828</v>
      </c>
      <c r="O14" s="144">
        <f>'Attachment 4, Page 3'!O24</f>
        <v>78.404457665319498</v>
      </c>
      <c r="P14" s="74">
        <f>SUM(D14:O14)</f>
        <v>718.49613367347763</v>
      </c>
    </row>
    <row r="15" spans="1:19">
      <c r="A15" s="21">
        <f>A14+1</f>
        <v>3</v>
      </c>
      <c r="B15" s="20" t="s">
        <v>60</v>
      </c>
      <c r="C15" s="21" t="str">
        <f>"("&amp;A13&amp;") x ("&amp;A14&amp;")"</f>
        <v>(1) x (2)</v>
      </c>
      <c r="D15" s="75">
        <f>D13*D14</f>
        <v>19006882.011950027</v>
      </c>
      <c r="E15" s="75">
        <f>E13*E14</f>
        <v>15457561.988236917</v>
      </c>
      <c r="F15" s="75">
        <f>F13*F14</f>
        <v>15333176.333290791</v>
      </c>
      <c r="G15" s="75">
        <f t="shared" ref="G15:O15" si="2">G13*G14</f>
        <v>11493298.886400079</v>
      </c>
      <c r="H15" s="265">
        <f t="shared" si="2"/>
        <v>9871350.0704868119</v>
      </c>
      <c r="I15" s="75">
        <f t="shared" si="2"/>
        <v>9140750.2813566774</v>
      </c>
      <c r="J15" s="75">
        <f t="shared" si="2"/>
        <v>12157547.165441409</v>
      </c>
      <c r="K15" s="75">
        <f t="shared" si="2"/>
        <v>10986333.729496639</v>
      </c>
      <c r="L15" s="75">
        <f t="shared" si="2"/>
        <v>10328486.763766447</v>
      </c>
      <c r="M15" s="75">
        <f t="shared" si="2"/>
        <v>10292002.105307177</v>
      </c>
      <c r="N15" s="75">
        <f t="shared" si="2"/>
        <v>13879406.16938786</v>
      </c>
      <c r="O15" s="75">
        <f t="shared" si="2"/>
        <v>17023646.275040161</v>
      </c>
      <c r="P15" s="76">
        <f>SUM(D15:O15)</f>
        <v>154970441.78016099</v>
      </c>
      <c r="S15" s="303"/>
    </row>
    <row r="16" spans="1:19">
      <c r="A16" s="21"/>
      <c r="B16" s="20"/>
      <c r="C16" s="21"/>
      <c r="D16" s="39"/>
      <c r="E16" s="39"/>
      <c r="F16" s="39"/>
      <c r="G16" s="39"/>
      <c r="H16" s="266"/>
      <c r="I16" s="39"/>
      <c r="J16" s="39"/>
      <c r="K16" s="39"/>
      <c r="L16" s="39"/>
      <c r="M16" s="39"/>
      <c r="N16" s="39"/>
      <c r="O16" s="39"/>
      <c r="P16" s="20"/>
    </row>
    <row r="17" spans="1:16">
      <c r="A17" s="21">
        <v>4</v>
      </c>
      <c r="B17" s="20" t="s">
        <v>111</v>
      </c>
      <c r="C17" s="21" t="s">
        <v>109</v>
      </c>
      <c r="D17" s="148">
        <f>'Jan Base Rate Revenue'!$I$39</f>
        <v>25009939.587409999</v>
      </c>
      <c r="E17" s="148">
        <f>'Feb Base Rate Revenue'!$I$39</f>
        <v>19040388.028110001</v>
      </c>
      <c r="F17" s="148">
        <f>'Mar Base Rate Revenue'!I39</f>
        <v>20324942.72913</v>
      </c>
      <c r="G17" s="148">
        <f>'Apr Base Rate Revenue'!I39</f>
        <v>15377362.623589998</v>
      </c>
      <c r="H17" s="267">
        <f>'May Base Rate Revenue'!I39</f>
        <v>13472661.706909999</v>
      </c>
      <c r="I17" s="148">
        <f>'June Base Rate Revenue'!I39</f>
        <v>13244401.199929999</v>
      </c>
      <c r="J17" s="148">
        <f>'July Base Rate Revenue'!I39</f>
        <v>16644684.485580001</v>
      </c>
      <c r="K17" s="148">
        <f>'August Base Rate Revenue'!$I39</f>
        <v>18480178.1239</v>
      </c>
      <c r="L17" s="148">
        <f>'September Base Rate Revenue'!$I39</f>
        <v>13055161.18022</v>
      </c>
      <c r="M17" s="148">
        <f>'October Base Rate Revenue'!$I39</f>
        <v>14485470.039310001</v>
      </c>
      <c r="N17" s="148">
        <f>'November Base Rate Revenue'!$I39</f>
        <v>19035133.403039999</v>
      </c>
      <c r="O17" s="148">
        <f>'December Base Rate Revenue'!$I39</f>
        <v>23674422.079640001</v>
      </c>
      <c r="P17" s="97">
        <f>SUM(D17:O17)</f>
        <v>211844745.18676999</v>
      </c>
    </row>
    <row r="18" spans="1:16">
      <c r="A18" s="21">
        <v>5</v>
      </c>
      <c r="B18" s="20" t="s">
        <v>112</v>
      </c>
      <c r="C18" s="21" t="s">
        <v>109</v>
      </c>
      <c r="D18" s="148">
        <f>'Jan Base Rate Revenue'!$C$39</f>
        <v>1864092.5</v>
      </c>
      <c r="E18" s="148">
        <f>'Feb Base Rate Revenue'!$C$39</f>
        <v>1853017</v>
      </c>
      <c r="F18" s="148">
        <f>'Mar Base Rate Revenue'!C39</f>
        <v>1875006.5</v>
      </c>
      <c r="G18" s="148">
        <f>'Apr Base Rate Revenue'!C39</f>
        <v>1866672</v>
      </c>
      <c r="H18" s="267">
        <f>'May Base Rate Revenue'!C39</f>
        <v>1989944</v>
      </c>
      <c r="I18" s="148">
        <f>'June Base Rate Revenue'!C39</f>
        <v>1999769.5</v>
      </c>
      <c r="J18" s="148">
        <f>'July Base Rate Revenue'!C39</f>
        <v>2002580</v>
      </c>
      <c r="K18" s="148">
        <f>'August Base Rate Revenue'!$C39</f>
        <v>2009449</v>
      </c>
      <c r="L18" s="148">
        <f>'September Base Rate Revenue'!$C39</f>
        <v>1975533.5</v>
      </c>
      <c r="M18" s="148">
        <f>'October Base Rate Revenue'!$C39</f>
        <v>2016999</v>
      </c>
      <c r="N18" s="148">
        <f>'November Base Rate Revenue'!$C39</f>
        <v>1992500.5</v>
      </c>
      <c r="O18" s="148">
        <f>'December Base Rate Revenue'!$C39</f>
        <v>1993214.5</v>
      </c>
      <c r="P18" s="97">
        <f>SUM(D18:O18)</f>
        <v>23438778</v>
      </c>
    </row>
    <row r="19" spans="1:16">
      <c r="A19" s="21">
        <v>6</v>
      </c>
      <c r="B19" s="77" t="s">
        <v>212</v>
      </c>
      <c r="C19" s="21" t="s">
        <v>109</v>
      </c>
      <c r="D19" s="149">
        <f>'Jan Base Rate Revenue'!$I$19</f>
        <v>273974209.06200004</v>
      </c>
      <c r="E19" s="149">
        <f>'Feb Base Rate Revenue'!$I$19</f>
        <v>216157402.58499998</v>
      </c>
      <c r="F19" s="149">
        <f>'Mar Base Rate Revenue'!I19</f>
        <v>230597488.20699999</v>
      </c>
      <c r="G19" s="149">
        <f>'Apr Base Rate Revenue'!I19</f>
        <v>174488139.29800999</v>
      </c>
      <c r="H19" s="268">
        <f>'May Base Rate Revenue'!I19</f>
        <v>147804376.68922001</v>
      </c>
      <c r="I19" s="149">
        <f>'June Base Rate Revenue'!I19</f>
        <v>143108257.59101999</v>
      </c>
      <c r="J19" s="149">
        <f>'July Base Rate Revenue'!I19</f>
        <v>185234474.63099</v>
      </c>
      <c r="K19" s="149">
        <f>'August Base Rate Revenue'!$I19</f>
        <v>202225614.92300999</v>
      </c>
      <c r="L19" s="149">
        <f>'September Base Rate Revenue'!$I19</f>
        <v>139338821.60800001</v>
      </c>
      <c r="M19" s="149">
        <f>'October Base Rate Revenue'!$I19</f>
        <v>160184148.058</v>
      </c>
      <c r="N19" s="149">
        <f>'November Base Rate Revenue'!$I19</f>
        <v>213560314.46800002</v>
      </c>
      <c r="O19" s="149">
        <f>'December Base Rate Revenue'!$I19</f>
        <v>258445038.04300001</v>
      </c>
      <c r="P19" s="98">
        <f>SUM(D19:O19)</f>
        <v>2345118285.16325</v>
      </c>
    </row>
    <row r="20" spans="1:16" ht="27">
      <c r="A20" s="21">
        <v>7</v>
      </c>
      <c r="B20" s="84" t="s">
        <v>113</v>
      </c>
      <c r="C20" s="145" t="s">
        <v>151</v>
      </c>
      <c r="D20" s="146">
        <f>'UE-150204 Decoupling Base'!$E$14</f>
        <v>1.6410000000000001E-2</v>
      </c>
      <c r="E20" s="146">
        <f>'UE-150204 Decoupling Base'!$E$14</f>
        <v>1.6410000000000001E-2</v>
      </c>
      <c r="F20" s="146">
        <f>'UE-150204 Decoupling Base'!$E$14</f>
        <v>1.6410000000000001E-2</v>
      </c>
      <c r="G20" s="146">
        <f>'UE-150204 Decoupling Base'!$E$14</f>
        <v>1.6410000000000001E-2</v>
      </c>
      <c r="H20" s="269">
        <f>'Attachment 4, Page 1'!$E$27</f>
        <v>1.9E-2</v>
      </c>
      <c r="I20" s="146">
        <f>'Attachment 4, Page 1'!$E$27</f>
        <v>1.9E-2</v>
      </c>
      <c r="J20" s="146">
        <f>'Attachment 4, Page 1'!$E$27</f>
        <v>1.9E-2</v>
      </c>
      <c r="K20" s="146">
        <f>'Attachment 4, Page 1'!$E$27</f>
        <v>1.9E-2</v>
      </c>
      <c r="L20" s="146">
        <f>'Attachment 4, Page 1'!$E$27</f>
        <v>1.9E-2</v>
      </c>
      <c r="M20" s="146">
        <f>'Attachment 4, Page 1'!$E$27</f>
        <v>1.9E-2</v>
      </c>
      <c r="N20" s="146">
        <f>'Attachment 4, Page 1'!$E$27</f>
        <v>1.9E-2</v>
      </c>
      <c r="O20" s="146">
        <f>'Attachment 4, Page 1'!$E$27</f>
        <v>1.9E-2</v>
      </c>
      <c r="P20" s="78"/>
    </row>
    <row r="21" spans="1:16">
      <c r="A21" s="21">
        <v>8</v>
      </c>
      <c r="B21" s="20" t="s">
        <v>114</v>
      </c>
      <c r="C21" s="21" t="str">
        <f>"("&amp;A19&amp;") x ("&amp;A20&amp;")"</f>
        <v>(6) x (7)</v>
      </c>
      <c r="D21" s="75">
        <f>D19*D20</f>
        <v>4495916.770707421</v>
      </c>
      <c r="E21" s="75">
        <f>E19*E20</f>
        <v>3547142.9764198498</v>
      </c>
      <c r="F21" s="75">
        <f t="shared" ref="F21:O21" si="3">F19*F20</f>
        <v>3784104.7814768702</v>
      </c>
      <c r="G21" s="75">
        <f t="shared" si="3"/>
        <v>2863350.3658803441</v>
      </c>
      <c r="H21" s="265">
        <f t="shared" si="3"/>
        <v>2808283.1570951804</v>
      </c>
      <c r="I21" s="75">
        <f t="shared" si="3"/>
        <v>2719056.8942293795</v>
      </c>
      <c r="J21" s="75">
        <f t="shared" si="3"/>
        <v>3519455.0179888099</v>
      </c>
      <c r="K21" s="75">
        <f t="shared" si="3"/>
        <v>3842286.6835371898</v>
      </c>
      <c r="L21" s="75">
        <f t="shared" si="3"/>
        <v>2647437.6105520003</v>
      </c>
      <c r="M21" s="75">
        <f>M19*M20</f>
        <v>3043498.8131019999</v>
      </c>
      <c r="N21" s="75">
        <f t="shared" si="3"/>
        <v>4057645.9748920002</v>
      </c>
      <c r="O21" s="75">
        <f t="shared" si="3"/>
        <v>4910455.722817</v>
      </c>
      <c r="P21" s="76">
        <f>SUM(D21:O21)</f>
        <v>42238634.768698037</v>
      </c>
    </row>
    <row r="22" spans="1:16">
      <c r="A22" s="21">
        <v>9</v>
      </c>
      <c r="B22" s="20" t="s">
        <v>115</v>
      </c>
      <c r="C22" s="21" t="str">
        <f>"("&amp;A17&amp;") - ("&amp;A18&amp;") -("&amp;A21&amp;")"</f>
        <v>(4) - (5) -(8)</v>
      </c>
      <c r="D22" s="75">
        <f>D17-D18-D21</f>
        <v>18649930.316702578</v>
      </c>
      <c r="E22" s="75">
        <f>E17-E18-E21</f>
        <v>13640228.051690152</v>
      </c>
      <c r="F22" s="75">
        <f t="shared" ref="F22:O22" si="4">F17-F18-F21</f>
        <v>14665831.44765313</v>
      </c>
      <c r="G22" s="75">
        <f t="shared" si="4"/>
        <v>10647340.257709654</v>
      </c>
      <c r="H22" s="265">
        <f t="shared" si="4"/>
        <v>8674434.5498148184</v>
      </c>
      <c r="I22" s="75">
        <f t="shared" si="4"/>
        <v>8525574.8057006188</v>
      </c>
      <c r="J22" s="75">
        <f t="shared" si="4"/>
        <v>11122649.467591191</v>
      </c>
      <c r="K22" s="75">
        <f t="shared" si="4"/>
        <v>12628442.440362811</v>
      </c>
      <c r="L22" s="75">
        <f t="shared" si="4"/>
        <v>8432190.0696680006</v>
      </c>
      <c r="M22" s="75">
        <f t="shared" si="4"/>
        <v>9424972.2262080014</v>
      </c>
      <c r="N22" s="75">
        <f t="shared" si="4"/>
        <v>12984986.928148</v>
      </c>
      <c r="O22" s="75">
        <f t="shared" si="4"/>
        <v>16770751.856823001</v>
      </c>
      <c r="P22" s="76">
        <f>SUM(D22:O22)</f>
        <v>146167332.41807196</v>
      </c>
    </row>
    <row r="23" spans="1:16">
      <c r="A23" s="21"/>
      <c r="B23" s="79" t="s">
        <v>116</v>
      </c>
      <c r="C23" s="21"/>
      <c r="D23" s="74">
        <f>D22/D13</f>
        <v>86.664050394067687</v>
      </c>
      <c r="E23" s="74">
        <f>E22/E13</f>
        <v>63.680761409777688</v>
      </c>
      <c r="F23" s="74">
        <f t="shared" ref="F23:O23" si="5">F22/F13</f>
        <v>67.883225474568405</v>
      </c>
      <c r="G23" s="74">
        <f t="shared" si="5"/>
        <v>49.529193508471629</v>
      </c>
      <c r="H23" s="270">
        <f t="shared" si="5"/>
        <v>40.327637738040707</v>
      </c>
      <c r="I23" s="74">
        <f t="shared" si="5"/>
        <v>39.685400042362154</v>
      </c>
      <c r="J23" s="74">
        <f t="shared" si="5"/>
        <v>51.63526641346278</v>
      </c>
      <c r="K23" s="74">
        <f t="shared" si="5"/>
        <v>58.560443131226869</v>
      </c>
      <c r="L23" s="74">
        <f t="shared" si="5"/>
        <v>39.380306879573332</v>
      </c>
      <c r="M23" s="74">
        <f t="shared" si="5"/>
        <v>43.157005999450526</v>
      </c>
      <c r="N23" s="74">
        <f t="shared" si="5"/>
        <v>59.854371554500489</v>
      </c>
      <c r="O23" s="74">
        <f t="shared" si="5"/>
        <v>77.239721897990108</v>
      </c>
      <c r="P23" s="74">
        <f>P22/P13*12</f>
        <v>677.75332712649492</v>
      </c>
    </row>
    <row r="24" spans="1:16">
      <c r="A24" s="21">
        <v>10</v>
      </c>
      <c r="B24" s="20" t="s">
        <v>117</v>
      </c>
      <c r="C24" s="21" t="str">
        <f>"("&amp;A$15&amp;") - ("&amp;A22&amp;")"</f>
        <v>(3) - (9)</v>
      </c>
      <c r="D24" s="80">
        <f>IF(D10="",D15-D22,-D10)</f>
        <v>356951.69524744898</v>
      </c>
      <c r="E24" s="80">
        <f>IF(E10="",E15-E22,-E10)</f>
        <v>1817333.9365467653</v>
      </c>
      <c r="F24" s="80">
        <f t="shared" ref="F24:O24" si="6">IF(F10="",F15-F22,-F10)</f>
        <v>667344.88563766144</v>
      </c>
      <c r="G24" s="80">
        <f t="shared" si="6"/>
        <v>845958.62869042531</v>
      </c>
      <c r="H24" s="271">
        <f t="shared" si="6"/>
        <v>1196915.5206719935</v>
      </c>
      <c r="I24" s="80">
        <f t="shared" si="6"/>
        <v>615175.47565605864</v>
      </c>
      <c r="J24" s="80">
        <f t="shared" si="6"/>
        <v>1034897.697850218</v>
      </c>
      <c r="K24" s="80">
        <f t="shared" si="6"/>
        <v>-1642108.7108661719</v>
      </c>
      <c r="L24" s="80">
        <f t="shared" si="6"/>
        <v>1896296.6940984465</v>
      </c>
      <c r="M24" s="80">
        <f t="shared" si="6"/>
        <v>867029.87909917533</v>
      </c>
      <c r="N24" s="80">
        <f t="shared" si="6"/>
        <v>894419.24123986065</v>
      </c>
      <c r="O24" s="80">
        <f t="shared" si="6"/>
        <v>252894.41821715981</v>
      </c>
      <c r="P24" s="76">
        <f>SUM(D24:O24)</f>
        <v>8803109.3620890416</v>
      </c>
    </row>
    <row r="25" spans="1:16">
      <c r="A25" s="21">
        <v>11</v>
      </c>
      <c r="B25" s="20" t="s">
        <v>118</v>
      </c>
      <c r="C25" s="81" t="s">
        <v>119</v>
      </c>
      <c r="D25" s="80">
        <f>IF(D10="",D24*-'UE-150204 Decoupling Base'!$BE$18,0)</f>
        <v>-16376.943777952958</v>
      </c>
      <c r="E25" s="80">
        <f>IF(E10="",E24*-'UE-150204 Decoupling Base'!$BE$18,0)</f>
        <v>-83379.281008765582</v>
      </c>
      <c r="F25" s="80">
        <f>IF(F10="",F24*-'UE-150204 Decoupling Base'!$BE$18,0)</f>
        <v>-30617.783353055904</v>
      </c>
      <c r="G25" s="80">
        <f>IF(G10="",G24*-'UE-150204 Decoupling Base'!$BE$18,0)</f>
        <v>-38812.581884316707</v>
      </c>
      <c r="H25" s="271">
        <f>IF(H10="",H24*-'Attachment 4, Page 4'!$E$20,0)</f>
        <v>-55868.425758406636</v>
      </c>
      <c r="I25" s="80">
        <f t="shared" ref="I25:O25" si="7">IF(I10="",I24*-0.04588,0)</f>
        <v>-28224.25082309997</v>
      </c>
      <c r="J25" s="80">
        <f t="shared" si="7"/>
        <v>-47481.106377368</v>
      </c>
      <c r="K25" s="80">
        <f t="shared" si="7"/>
        <v>75339.947654539967</v>
      </c>
      <c r="L25" s="80">
        <f t="shared" si="7"/>
        <v>-87002.092325236721</v>
      </c>
      <c r="M25" s="80">
        <f t="shared" si="7"/>
        <v>-39779.330853070162</v>
      </c>
      <c r="N25" s="80">
        <f t="shared" si="7"/>
        <v>-41035.954788084804</v>
      </c>
      <c r="O25" s="80">
        <f t="shared" si="7"/>
        <v>-11602.795907803291</v>
      </c>
      <c r="P25" s="76">
        <f>SUM(D25:O25)</f>
        <v>-404840.59920262068</v>
      </c>
    </row>
    <row r="26" spans="1:16">
      <c r="A26" s="21"/>
      <c r="B26" s="20"/>
      <c r="C26" s="21" t="s">
        <v>120</v>
      </c>
      <c r="D26" s="82">
        <v>4.2500000000000003E-2</v>
      </c>
      <c r="E26" s="82">
        <f>D26</f>
        <v>4.2500000000000003E-2</v>
      </c>
      <c r="F26" s="82">
        <f>E26</f>
        <v>4.2500000000000003E-2</v>
      </c>
      <c r="G26" s="82">
        <v>4.4699999999999997E-2</v>
      </c>
      <c r="H26" s="272">
        <v>4.4699999999999997E-2</v>
      </c>
      <c r="I26" s="290">
        <v>4.4699999999999997E-2</v>
      </c>
      <c r="J26" s="290">
        <v>4.6899999999999997E-2</v>
      </c>
      <c r="K26" s="290">
        <v>4.6899999999999997E-2</v>
      </c>
      <c r="L26" s="290">
        <v>4.6899999999999997E-2</v>
      </c>
      <c r="M26" s="290">
        <v>4.9599999999999998E-2</v>
      </c>
      <c r="N26" s="290">
        <v>4.9599999999999998E-2</v>
      </c>
      <c r="O26" s="290">
        <v>4.9599999999999998E-2</v>
      </c>
      <c r="P26" s="76"/>
    </row>
    <row r="27" spans="1:16">
      <c r="A27" s="21">
        <v>12</v>
      </c>
      <c r="B27" s="20" t="s">
        <v>121</v>
      </c>
      <c r="C27" s="21" t="s">
        <v>122</v>
      </c>
      <c r="D27" s="83">
        <f>(D24+D25)/2*D26/12</f>
        <v>603.10112239389923</v>
      </c>
      <c r="E27" s="83">
        <f>(D29+(E24+E25)/2)*E26/12</f>
        <v>4278.8829304448182</v>
      </c>
      <c r="F27" s="83">
        <f t="shared" ref="F27:O27" si="8">(E29+(F24+F25)/2)*F26/12</f>
        <v>8492.1195869676721</v>
      </c>
      <c r="G27" s="83">
        <f t="shared" si="8"/>
        <v>11652.558545347732</v>
      </c>
      <c r="H27" s="273">
        <f t="shared" si="8"/>
        <v>15324.474052382087</v>
      </c>
      <c r="I27" s="83">
        <f t="shared" si="8"/>
        <v>18599.954588755154</v>
      </c>
      <c r="J27" s="83">
        <f t="shared" si="8"/>
        <v>22664.660525575866</v>
      </c>
      <c r="K27" s="83">
        <f t="shared" si="8"/>
        <v>21621.090871523793</v>
      </c>
      <c r="L27" s="83">
        <f t="shared" si="8"/>
        <v>22179.529211202414</v>
      </c>
      <c r="M27" s="83">
        <f t="shared" si="8"/>
        <v>28996.924465938897</v>
      </c>
      <c r="N27" s="83">
        <f t="shared" si="8"/>
        <v>32590.088345440396</v>
      </c>
      <c r="O27" s="83">
        <f t="shared" si="8"/>
        <v>34987.122188707886</v>
      </c>
      <c r="P27" s="76">
        <f>SUM(D27:O27)</f>
        <v>221990.5064346806</v>
      </c>
    </row>
    <row r="28" spans="1:16" ht="15" thickBot="1">
      <c r="A28" s="21"/>
      <c r="B28" s="85" t="s">
        <v>123</v>
      </c>
      <c r="C28" s="21"/>
      <c r="D28" s="86">
        <f>D24+D25+D27</f>
        <v>341177.85259188991</v>
      </c>
      <c r="E28" s="86">
        <f>E24+E25+E27</f>
        <v>1738233.5384684445</v>
      </c>
      <c r="F28" s="86">
        <f t="shared" ref="F28:O28" si="9">F24+F25+F27</f>
        <v>645219.22187157313</v>
      </c>
      <c r="G28" s="86">
        <f t="shared" si="9"/>
        <v>818798.60535145632</v>
      </c>
      <c r="H28" s="274">
        <f t="shared" si="9"/>
        <v>1156371.5689659691</v>
      </c>
      <c r="I28" s="86">
        <f t="shared" si="9"/>
        <v>605551.17942171381</v>
      </c>
      <c r="J28" s="86">
        <f t="shared" si="9"/>
        <v>1010081.2519984259</v>
      </c>
      <c r="K28" s="86">
        <f t="shared" si="9"/>
        <v>-1545147.6723401081</v>
      </c>
      <c r="L28" s="86">
        <f t="shared" si="9"/>
        <v>1831474.1309844123</v>
      </c>
      <c r="M28" s="86">
        <f t="shared" si="9"/>
        <v>856247.47271204414</v>
      </c>
      <c r="N28" s="86">
        <f t="shared" si="9"/>
        <v>885973.37479721615</v>
      </c>
      <c r="O28" s="86">
        <f t="shared" si="9"/>
        <v>276278.74449806439</v>
      </c>
      <c r="P28" s="87">
        <f>SUM(D28:O28)</f>
        <v>8620259.2693211008</v>
      </c>
    </row>
    <row r="29" spans="1:16" ht="27.6" thickBot="1">
      <c r="A29" s="21">
        <v>13</v>
      </c>
      <c r="B29" s="92" t="s">
        <v>129</v>
      </c>
      <c r="C29" s="21" t="str">
        <f>"Σ(("&amp;A$24&amp;") ~ ("&amp;A27&amp;"))"</f>
        <v>Σ((10) ~ (12))</v>
      </c>
      <c r="D29" s="75">
        <f>D24+D25+D27</f>
        <v>341177.85259188991</v>
      </c>
      <c r="E29" s="75">
        <f>D29+E24+E25+E27</f>
        <v>2079411.3910603344</v>
      </c>
      <c r="F29" s="75">
        <f t="shared" ref="F29:N29" si="10">E29+F24+F25+F27</f>
        <v>2724630.6129319081</v>
      </c>
      <c r="G29" s="75">
        <f t="shared" si="10"/>
        <v>3543429.2182833645</v>
      </c>
      <c r="H29" s="265">
        <f t="shared" si="10"/>
        <v>4699800.7872493332</v>
      </c>
      <c r="I29" s="75">
        <f t="shared" si="10"/>
        <v>5305351.9666710468</v>
      </c>
      <c r="J29" s="75">
        <f t="shared" si="10"/>
        <v>6315433.2186694732</v>
      </c>
      <c r="K29" s="75">
        <f t="shared" si="10"/>
        <v>4770285.5463293651</v>
      </c>
      <c r="L29" s="75">
        <f t="shared" si="10"/>
        <v>6601759.6773137776</v>
      </c>
      <c r="M29" s="75">
        <f t="shared" si="10"/>
        <v>7458007.1500258213</v>
      </c>
      <c r="N29" s="75">
        <f t="shared" si="10"/>
        <v>8343980.524823037</v>
      </c>
      <c r="O29" s="88">
        <f>N29+O24+O25+O27</f>
        <v>8620259.2693211008</v>
      </c>
      <c r="P29" s="76"/>
    </row>
    <row r="30" spans="1:16">
      <c r="A30" s="21"/>
      <c r="B30" s="85"/>
      <c r="C30" s="21"/>
      <c r="D30" s="39"/>
      <c r="E30" s="39"/>
      <c r="F30" s="39"/>
      <c r="G30" s="39"/>
      <c r="H30" s="266"/>
      <c r="I30" s="39"/>
      <c r="J30" s="39"/>
      <c r="K30" s="39"/>
      <c r="L30" s="39"/>
      <c r="M30" s="39"/>
      <c r="N30" s="39"/>
      <c r="O30" s="39"/>
    </row>
    <row r="31" spans="1:16" hidden="1">
      <c r="A31" s="68" t="s">
        <v>124</v>
      </c>
      <c r="B31" s="20"/>
      <c r="C31" s="21"/>
      <c r="D31" s="39"/>
      <c r="E31" s="39"/>
      <c r="F31" s="39"/>
      <c r="G31" s="39"/>
      <c r="H31" s="266"/>
      <c r="I31" s="39"/>
      <c r="J31" s="39"/>
      <c r="K31" s="39"/>
      <c r="L31" s="39"/>
      <c r="M31" s="39"/>
      <c r="N31" s="39"/>
      <c r="O31" s="39"/>
      <c r="P31" s="89"/>
    </row>
    <row r="32" spans="1:16" ht="9" hidden="1" customHeight="1">
      <c r="A32" s="58"/>
      <c r="B32" s="69" t="s">
        <v>125</v>
      </c>
      <c r="C32" s="58" t="s">
        <v>126</v>
      </c>
      <c r="D32" s="70"/>
      <c r="E32" s="70"/>
      <c r="F32" s="70"/>
      <c r="G32" s="70"/>
      <c r="H32" s="262"/>
      <c r="I32" s="70"/>
      <c r="J32" s="70"/>
      <c r="K32" s="70"/>
      <c r="L32" s="70"/>
      <c r="M32" s="70"/>
      <c r="N32" s="70"/>
      <c r="O32" s="70"/>
      <c r="P32" s="58"/>
    </row>
    <row r="33" spans="1:16" hidden="1">
      <c r="A33" s="21"/>
      <c r="B33" s="20"/>
      <c r="C33" s="21"/>
      <c r="D33" s="75"/>
      <c r="E33" s="75"/>
      <c r="F33" s="75"/>
      <c r="G33" s="75"/>
      <c r="H33" s="275"/>
      <c r="I33" s="75"/>
      <c r="J33" s="75"/>
      <c r="K33" s="75"/>
      <c r="L33" s="75"/>
      <c r="M33" s="75"/>
      <c r="N33" s="75"/>
      <c r="O33" s="75"/>
      <c r="P33" s="76"/>
    </row>
    <row r="34" spans="1:16">
      <c r="A34" s="21"/>
      <c r="B34" s="72" t="s">
        <v>57</v>
      </c>
      <c r="C34" s="21"/>
      <c r="D34" s="75"/>
      <c r="E34" s="75"/>
      <c r="F34" s="75"/>
      <c r="G34" s="75"/>
      <c r="H34" s="265"/>
      <c r="I34" s="75"/>
      <c r="J34" s="75"/>
      <c r="K34" s="75"/>
      <c r="L34" s="75"/>
      <c r="M34" s="75"/>
      <c r="N34" s="75"/>
      <c r="O34" s="75"/>
      <c r="P34" s="76"/>
    </row>
    <row r="35" spans="1:16" ht="15" customHeight="1">
      <c r="A35" s="21">
        <v>14</v>
      </c>
      <c r="B35" s="20" t="s">
        <v>108</v>
      </c>
      <c r="C35" s="21" t="s">
        <v>109</v>
      </c>
      <c r="D35" s="147">
        <f>'Jan Base Rate Revenue'!$C$21+'Jan Base Rate Revenue'!$B$87</f>
        <v>36869</v>
      </c>
      <c r="E35" s="147">
        <f>'Feb Base Rate Revenue'!$C$21+'Feb Base Rate Revenue'!$B$87</f>
        <v>36446</v>
      </c>
      <c r="F35" s="147">
        <f>'Mar Base Rate Revenue'!$C$21+'Mar Base Rate Revenue'!$B$87</f>
        <v>36553</v>
      </c>
      <c r="G35" s="147">
        <f>'Apr Base Rate Revenue'!$C$21+'Apr Base Rate Revenue'!$B$87</f>
        <v>36256</v>
      </c>
      <c r="H35" s="263">
        <f>'May Base Rate Revenue'!$C$21+'May Base Rate Revenue'!$B$84</f>
        <v>36545</v>
      </c>
      <c r="I35" s="147">
        <f>'June Base Rate Revenue'!$C$21+'June Base Rate Revenue'!$B$84</f>
        <v>36487</v>
      </c>
      <c r="J35" s="147">
        <f>'July Base Rate Revenue'!$C$21+'July Base Rate Revenue'!$B$84</f>
        <v>36645</v>
      </c>
      <c r="K35" s="147">
        <f>'August Base Rate Revenue'!$C$21+'August Base Rate Revenue'!$B$84</f>
        <v>36730</v>
      </c>
      <c r="L35" s="147">
        <f>'September Base Rate Revenue'!$C$21+'September Base Rate Revenue'!$B$84</f>
        <v>35719</v>
      </c>
      <c r="M35" s="147">
        <f>'October Base Rate Revenue'!$C$21+'October Base Rate Revenue'!$B$84</f>
        <v>37529</v>
      </c>
      <c r="N35" s="147">
        <f>'November Base Rate Revenue'!$C$21+'November Base Rate Revenue'!$B$85</f>
        <v>36614</v>
      </c>
      <c r="O35" s="147">
        <f>'December Base Rate Revenue'!$C$21+'December Base Rate Revenue'!$B$85</f>
        <v>36652</v>
      </c>
      <c r="P35" s="96">
        <f>SUM(D35:O35)</f>
        <v>439045</v>
      </c>
    </row>
    <row r="36" spans="1:16" ht="26.4">
      <c r="A36" s="73">
        <f>A35+1</f>
        <v>15</v>
      </c>
      <c r="B36" s="143" t="s">
        <v>110</v>
      </c>
      <c r="C36" s="143" t="s">
        <v>170</v>
      </c>
      <c r="D36" s="144">
        <f>'UE-150204 Decoupling Base'!V27</f>
        <v>362.51153702538215</v>
      </c>
      <c r="E36" s="144">
        <f>'UE-150204 Decoupling Base'!W27</f>
        <v>368.64634553355734</v>
      </c>
      <c r="F36" s="144">
        <f>'UE-150204 Decoupling Base'!X27</f>
        <v>345.3608332677303</v>
      </c>
      <c r="G36" s="144">
        <f>'UE-150204 Decoupling Base'!Y27</f>
        <v>343.55068665310012</v>
      </c>
      <c r="H36" s="264">
        <f>'Attachment 4, Page 3'!H28</f>
        <v>363.90367865128621</v>
      </c>
      <c r="I36" s="144">
        <f>'Attachment 4, Page 3'!I28</f>
        <v>372.7602018515484</v>
      </c>
      <c r="J36" s="144">
        <f>'Attachment 4, Page 3'!J28</f>
        <v>410.55493937029155</v>
      </c>
      <c r="K36" s="144">
        <f>'Attachment 4, Page 3'!K28</f>
        <v>386.60243468113521</v>
      </c>
      <c r="L36" s="144">
        <f>'Attachment 4, Page 3'!L28</f>
        <v>363.2493677121696</v>
      </c>
      <c r="M36" s="144">
        <f>'Attachment 4, Page 3'!M28</f>
        <v>367.48144990181908</v>
      </c>
      <c r="N36" s="144">
        <f>'Attachment 4, Page 3'!N28</f>
        <v>326.95588874638707</v>
      </c>
      <c r="O36" s="144">
        <f>'Attachment 4, Page 3'!O28</f>
        <v>388.87614359251808</v>
      </c>
      <c r="P36" s="74">
        <f>SUM(D36:O36)</f>
        <v>4400.4535069869253</v>
      </c>
    </row>
    <row r="37" spans="1:16">
      <c r="A37" s="21">
        <f>A36+1</f>
        <v>16</v>
      </c>
      <c r="B37" s="20" t="s">
        <v>60</v>
      </c>
      <c r="C37" s="21" t="str">
        <f>"("&amp;A35&amp;") x ("&amp;A36&amp;")"</f>
        <v>(14) x (15)</v>
      </c>
      <c r="D37" s="75">
        <f>D35*D36</f>
        <v>13365437.858588815</v>
      </c>
      <c r="E37" s="75">
        <f t="shared" ref="E37:O37" si="11">E35*E36</f>
        <v>13435684.70931603</v>
      </c>
      <c r="F37" s="75">
        <f t="shared" si="11"/>
        <v>12623974.538435346</v>
      </c>
      <c r="G37" s="75">
        <f t="shared" si="11"/>
        <v>12455773.695294797</v>
      </c>
      <c r="H37" s="265">
        <f t="shared" si="11"/>
        <v>13298859.936311254</v>
      </c>
      <c r="I37" s="75">
        <f t="shared" si="11"/>
        <v>13600901.484957447</v>
      </c>
      <c r="J37" s="75">
        <f t="shared" si="11"/>
        <v>15044785.753224334</v>
      </c>
      <c r="K37" s="75">
        <f t="shared" si="11"/>
        <v>14199907.425838096</v>
      </c>
      <c r="L37" s="75">
        <f t="shared" si="11"/>
        <v>12974904.165310986</v>
      </c>
      <c r="M37" s="75">
        <f t="shared" si="11"/>
        <v>13791211.333365368</v>
      </c>
      <c r="N37" s="75">
        <f t="shared" si="11"/>
        <v>11971162.910560217</v>
      </c>
      <c r="O37" s="75">
        <f t="shared" si="11"/>
        <v>14253088.414952973</v>
      </c>
      <c r="P37" s="76">
        <f>SUM(D37:O37)</f>
        <v>161015692.22615567</v>
      </c>
    </row>
    <row r="38" spans="1:16">
      <c r="A38" s="21"/>
      <c r="B38" s="20"/>
      <c r="C38" s="21"/>
      <c r="D38" s="39"/>
      <c r="E38" s="39"/>
      <c r="F38" s="39"/>
      <c r="G38" s="39"/>
      <c r="H38" s="266"/>
      <c r="I38" s="75"/>
      <c r="J38" s="39"/>
      <c r="K38" s="39"/>
      <c r="L38" s="39"/>
      <c r="M38" s="39"/>
      <c r="N38" s="39"/>
      <c r="O38" s="39"/>
      <c r="P38" s="20"/>
    </row>
    <row r="39" spans="1:16">
      <c r="A39" s="21">
        <v>17</v>
      </c>
      <c r="B39" s="20" t="s">
        <v>111</v>
      </c>
      <c r="C39" s="21" t="s">
        <v>109</v>
      </c>
      <c r="D39" s="148">
        <f>'Jan Base Rate Revenue'!$I$41+'Jan Base Rate Revenue'!$D$87</f>
        <v>17231332.135527994</v>
      </c>
      <c r="E39" s="148">
        <f>'Feb Base Rate Revenue'!$I$41+'Feb Base Rate Revenue'!$D$87</f>
        <v>17495590.564329997</v>
      </c>
      <c r="F39" s="148">
        <f>'Mar Base Rate Revenue'!$I$41+'Mar Base Rate Revenue'!$D$87</f>
        <v>16790327.355908003</v>
      </c>
      <c r="G39" s="148">
        <f>'Apr Base Rate Revenue'!$I$41+'Apr Base Rate Revenue'!$D$87</f>
        <v>16164293.03472</v>
      </c>
      <c r="H39" s="267">
        <f>'May Base Rate Revenue'!$I$41+'May Base Rate Revenue'!$D$84</f>
        <v>17424968.895579997</v>
      </c>
      <c r="I39" s="148">
        <f>'June Base Rate Revenue'!$I$41+'June Base Rate Revenue'!$D$84</f>
        <v>17807498.183899999</v>
      </c>
      <c r="J39" s="148">
        <f>'July Base Rate Revenue'!$I$41+'July Base Rate Revenue'!$D$84</f>
        <v>19859671.218349997</v>
      </c>
      <c r="K39" s="148">
        <f>'August Base Rate Revenue'!$I$41+'August Base Rate Revenue'!$D$84</f>
        <v>19182145.731759999</v>
      </c>
      <c r="L39" s="148">
        <f>'September Base Rate Revenue'!$I$41+'September Base Rate Revenue'!$D$84</f>
        <v>17009242.60385</v>
      </c>
      <c r="M39" s="148">
        <f>'October Base Rate Revenue'!$I$41+'October Base Rate Revenue'!$D$84</f>
        <v>18403642.661449999</v>
      </c>
      <c r="N39" s="148">
        <f>'November Base Rate Revenue'!$I$41+'November Base Rate Revenue'!$D$85</f>
        <v>17593112.825040001</v>
      </c>
      <c r="O39" s="148">
        <f>'December Base Rate Revenue'!$I$41+'December Base Rate Revenue'!$D$85</f>
        <v>17332612.114179999</v>
      </c>
      <c r="P39" s="97">
        <f>SUM(D39:O39)</f>
        <v>212294437.32459602</v>
      </c>
    </row>
    <row r="40" spans="1:16">
      <c r="A40" s="21">
        <f>A39+1</f>
        <v>18</v>
      </c>
      <c r="B40" s="20" t="s">
        <v>112</v>
      </c>
      <c r="C40" s="21" t="s">
        <v>109</v>
      </c>
      <c r="D40" s="148">
        <f>'Jan Base Rate Revenue'!$C$41+'Jan Base Rate Revenue'!$E$87</f>
        <v>1599353.29</v>
      </c>
      <c r="E40" s="148">
        <f>'Feb Base Rate Revenue'!$C$41+'Feb Base Rate Revenue'!$E$87</f>
        <v>1583614.6400000001</v>
      </c>
      <c r="F40" s="148">
        <f>'Mar Base Rate Revenue'!$C$41+'Mar Base Rate Revenue'!$E$87</f>
        <v>1592066.47</v>
      </c>
      <c r="G40" s="148">
        <f>'Apr Base Rate Revenue'!$C$41+'Apr Base Rate Revenue'!$E$87</f>
        <v>1579037.1199999999</v>
      </c>
      <c r="H40" s="267">
        <f>'May Base Rate Revenue'!$C$41+'May Base Rate Revenue'!$E$84</f>
        <v>1651131.66</v>
      </c>
      <c r="I40" s="148">
        <f>'June Base Rate Revenue'!$C$41+'June Base Rate Revenue'!$E$84</f>
        <v>1653528.8900000001</v>
      </c>
      <c r="J40" s="148">
        <f>'July Base Rate Revenue'!$C$41+'July Base Rate Revenue'!$E$84</f>
        <v>1651212.74</v>
      </c>
      <c r="K40" s="148">
        <f>'August Base Rate Revenue'!$C$41+'August Base Rate Revenue'!$E$84</f>
        <v>1662967.92</v>
      </c>
      <c r="L40" s="148">
        <f>'September Base Rate Revenue'!$C$41+'September Base Rate Revenue'!$E$84</f>
        <v>1619989.31</v>
      </c>
      <c r="M40" s="148">
        <f>'October Base Rate Revenue'!$C$41+'October Base Rate Revenue'!$E$84</f>
        <v>1698059.09</v>
      </c>
      <c r="N40" s="148">
        <f>'November Base Rate Revenue'!$C$41+'November Base Rate Revenue'!$E$85</f>
        <v>1643976.4699999997</v>
      </c>
      <c r="O40" s="148">
        <f>'December Base Rate Revenue'!$C$41+'December Base Rate Revenue'!$E$85</f>
        <v>1657604.51</v>
      </c>
      <c r="P40" s="97">
        <f>SUM(D40:O40)</f>
        <v>19592542.110000003</v>
      </c>
    </row>
    <row r="41" spans="1:16">
      <c r="A41" s="21">
        <f>A40+1</f>
        <v>19</v>
      </c>
      <c r="B41" s="77" t="s">
        <v>212</v>
      </c>
      <c r="C41" s="21" t="s">
        <v>109</v>
      </c>
      <c r="D41" s="149">
        <f>'Jan Base Rate Revenue'!$I$21+'Jan Base Rate Revenue'!$C$87</f>
        <v>175021622.33399999</v>
      </c>
      <c r="E41" s="149">
        <f>'Feb Base Rate Revenue'!$I$21+'Feb Base Rate Revenue'!$C$87</f>
        <v>177591618.72100002</v>
      </c>
      <c r="F41" s="149">
        <f>'Mar Base Rate Revenue'!$I$21+'Mar Base Rate Revenue'!$C$87</f>
        <v>168228412.38800001</v>
      </c>
      <c r="G41" s="149">
        <f>'Apr Base Rate Revenue'!$I$21+'Apr Base Rate Revenue'!$C$87</f>
        <v>162967105.72499999</v>
      </c>
      <c r="H41" s="268">
        <f>'May Base Rate Revenue'!$I$21+'May Base Rate Revenue'!$C$84</f>
        <v>175847456.97705001</v>
      </c>
      <c r="I41" s="149">
        <f>'June Base Rate Revenue'!$I$21+'June Base Rate Revenue'!$C$84</f>
        <v>180663410.56000003</v>
      </c>
      <c r="J41" s="149">
        <f>'July Base Rate Revenue'!$I$21+'July Base Rate Revenue'!$C$84</f>
        <v>205852512.12300003</v>
      </c>
      <c r="K41" s="149">
        <f>'August Base Rate Revenue'!$I$21+'August Base Rate Revenue'!$C$84</f>
        <v>194642804.248</v>
      </c>
      <c r="L41" s="149">
        <f>'September Base Rate Revenue'!$I$21+'September Base Rate Revenue'!$C$84</f>
        <v>169174117.23899999</v>
      </c>
      <c r="M41" s="149">
        <f>'October Base Rate Revenue'!$I$21+'October Base Rate Revenue'!$C$84</f>
        <v>183987851.15400001</v>
      </c>
      <c r="N41" s="149">
        <f>'November Base Rate Revenue'!$I$21+'November Base Rate Revenue'!$C$85</f>
        <v>175888754.928</v>
      </c>
      <c r="O41" s="149">
        <f>'December Base Rate Revenue'!$I$21+'December Base Rate Revenue'!$C$85</f>
        <v>171593218.984</v>
      </c>
      <c r="P41" s="98">
        <f>SUM(D41:O41)</f>
        <v>2141458885.3810501</v>
      </c>
    </row>
    <row r="42" spans="1:16" ht="27">
      <c r="A42" s="21">
        <f>A41+1</f>
        <v>20</v>
      </c>
      <c r="B42" s="84" t="s">
        <v>113</v>
      </c>
      <c r="C42" s="145" t="s">
        <v>151</v>
      </c>
      <c r="D42" s="146">
        <f>'UE-150204 Decoupling Base'!$E$14</f>
        <v>1.6410000000000001E-2</v>
      </c>
      <c r="E42" s="146">
        <f>'UE-150204 Decoupling Base'!$E$14</f>
        <v>1.6410000000000001E-2</v>
      </c>
      <c r="F42" s="146">
        <f>'UE-150204 Decoupling Base'!$E$14</f>
        <v>1.6410000000000001E-2</v>
      </c>
      <c r="G42" s="146">
        <f>'UE-150204 Decoupling Base'!$E$14</f>
        <v>1.6410000000000001E-2</v>
      </c>
      <c r="H42" s="269">
        <f>'Attachment 4, Page 1'!$E$27</f>
        <v>1.9E-2</v>
      </c>
      <c r="I42" s="146">
        <f>'Attachment 4, Page 1'!$E$27</f>
        <v>1.9E-2</v>
      </c>
      <c r="J42" s="146">
        <f>'Attachment 4, Page 1'!$E$27</f>
        <v>1.9E-2</v>
      </c>
      <c r="K42" s="146">
        <f>'Attachment 4, Page 1'!$E$27</f>
        <v>1.9E-2</v>
      </c>
      <c r="L42" s="146">
        <f>'Attachment 4, Page 1'!$E$27</f>
        <v>1.9E-2</v>
      </c>
      <c r="M42" s="146">
        <f>'Attachment 4, Page 1'!$E$27</f>
        <v>1.9E-2</v>
      </c>
      <c r="N42" s="146">
        <f>'Attachment 4, Page 1'!$E$27</f>
        <v>1.9E-2</v>
      </c>
      <c r="O42" s="146">
        <f>'Attachment 4, Page 1'!$E$27</f>
        <v>1.9E-2</v>
      </c>
      <c r="P42" s="78"/>
    </row>
    <row r="43" spans="1:16">
      <c r="A43" s="21">
        <f>A42+1</f>
        <v>21</v>
      </c>
      <c r="B43" s="20" t="s">
        <v>114</v>
      </c>
      <c r="C43" s="21" t="str">
        <f>"("&amp;A41&amp;") x ("&amp;A42&amp;")"</f>
        <v>(19) x (20)</v>
      </c>
      <c r="D43" s="75">
        <f>D41*D42</f>
        <v>2872104.8225009399</v>
      </c>
      <c r="E43" s="75">
        <f t="shared" ref="E43:O43" si="12">E41*E42</f>
        <v>2914278.4632116104</v>
      </c>
      <c r="F43" s="75">
        <f t="shared" si="12"/>
        <v>2760628.2472870802</v>
      </c>
      <c r="G43" s="75">
        <f t="shared" si="12"/>
        <v>2674290.20494725</v>
      </c>
      <c r="H43" s="265">
        <f t="shared" si="12"/>
        <v>3341101.6825639498</v>
      </c>
      <c r="I43" s="75">
        <f t="shared" si="12"/>
        <v>3432604.8006400005</v>
      </c>
      <c r="J43" s="75">
        <f t="shared" si="12"/>
        <v>3911197.7303370005</v>
      </c>
      <c r="K43" s="75">
        <f t="shared" si="12"/>
        <v>3698213.2807119996</v>
      </c>
      <c r="L43" s="75">
        <f t="shared" si="12"/>
        <v>3214308.2275409997</v>
      </c>
      <c r="M43" s="75">
        <f t="shared" si="12"/>
        <v>3495769.1719260002</v>
      </c>
      <c r="N43" s="75">
        <f t="shared" si="12"/>
        <v>3341886.343632</v>
      </c>
      <c r="O43" s="75">
        <f t="shared" si="12"/>
        <v>3260271.1606959999</v>
      </c>
      <c r="P43" s="76">
        <f>SUM(D43:O43)</f>
        <v>38916654.135994829</v>
      </c>
    </row>
    <row r="44" spans="1:16">
      <c r="A44" s="21">
        <f>A43+1</f>
        <v>22</v>
      </c>
      <c r="B44" s="20" t="s">
        <v>115</v>
      </c>
      <c r="C44" s="21" t="str">
        <f>"("&amp;A39&amp;") - ("&amp;A40&amp;") -("&amp;A43&amp;")"</f>
        <v>(17) - (18) -(21)</v>
      </c>
      <c r="D44" s="75">
        <f>D39-D40-D43</f>
        <v>12759874.023027055</v>
      </c>
      <c r="E44" s="75">
        <f t="shared" ref="E44:O44" si="13">E39-E40-E43</f>
        <v>12997697.461118385</v>
      </c>
      <c r="F44" s="75">
        <f t="shared" si="13"/>
        <v>12437632.638620922</v>
      </c>
      <c r="G44" s="75">
        <f t="shared" si="13"/>
        <v>11910965.709772751</v>
      </c>
      <c r="H44" s="265">
        <f t="shared" si="13"/>
        <v>12432735.553016048</v>
      </c>
      <c r="I44" s="75">
        <f t="shared" si="13"/>
        <v>12721364.493259998</v>
      </c>
      <c r="J44" s="75">
        <f t="shared" si="13"/>
        <v>14297260.748012997</v>
      </c>
      <c r="K44" s="75">
        <f t="shared" si="13"/>
        <v>13820964.531048002</v>
      </c>
      <c r="L44" s="75">
        <f t="shared" si="13"/>
        <v>12174945.066308999</v>
      </c>
      <c r="M44" s="75">
        <f t="shared" si="13"/>
        <v>13209814.399524</v>
      </c>
      <c r="N44" s="75">
        <f t="shared" si="13"/>
        <v>12607250.011408003</v>
      </c>
      <c r="O44" s="75">
        <f t="shared" si="13"/>
        <v>12414736.443483999</v>
      </c>
      <c r="P44" s="76">
        <f>SUM(D44:O44)</f>
        <v>153785241.07860118</v>
      </c>
    </row>
    <row r="45" spans="1:16">
      <c r="A45" s="21"/>
      <c r="B45" s="21" t="s">
        <v>127</v>
      </c>
      <c r="C45" s="21"/>
      <c r="D45" s="74">
        <f>D44/D35</f>
        <v>346.08679440795942</v>
      </c>
      <c r="E45" s="74">
        <f t="shared" ref="E45:O45" si="14">E44/E35</f>
        <v>356.62891568672518</v>
      </c>
      <c r="F45" s="74">
        <f t="shared" si="14"/>
        <v>340.26297810360086</v>
      </c>
      <c r="G45" s="74">
        <f t="shared" si="14"/>
        <v>328.52398802329964</v>
      </c>
      <c r="H45" s="270">
        <f t="shared" si="14"/>
        <v>340.20346293654529</v>
      </c>
      <c r="I45" s="74">
        <f t="shared" si="14"/>
        <v>348.65471245265434</v>
      </c>
      <c r="J45" s="74">
        <f t="shared" si="14"/>
        <v>390.15583976021276</v>
      </c>
      <c r="K45" s="74">
        <f t="shared" si="14"/>
        <v>376.28544870808611</v>
      </c>
      <c r="L45" s="74">
        <f t="shared" si="14"/>
        <v>340.85346919871773</v>
      </c>
      <c r="M45" s="74">
        <f t="shared" si="14"/>
        <v>351.98951209795092</v>
      </c>
      <c r="N45" s="74">
        <f t="shared" si="14"/>
        <v>344.32867240421706</v>
      </c>
      <c r="O45" s="74">
        <f t="shared" si="14"/>
        <v>338.71920886947504</v>
      </c>
      <c r="P45" s="74">
        <f>P44/P35*12</f>
        <v>4203.2659361642072</v>
      </c>
    </row>
    <row r="46" spans="1:16">
      <c r="A46" s="21">
        <v>23</v>
      </c>
      <c r="B46" s="20" t="s">
        <v>117</v>
      </c>
      <c r="C46" s="21" t="str">
        <f>"("&amp;A$37&amp;") - ("&amp;A44&amp;")"</f>
        <v>(16) - (22)</v>
      </c>
      <c r="D46" s="80">
        <f>IF(D32="",D37-D44,-D32)</f>
        <v>605563.83556175977</v>
      </c>
      <c r="E46" s="80">
        <f>IF(E32="",E37-E44,-E32)</f>
        <v>437987.24819764495</v>
      </c>
      <c r="F46" s="80">
        <f t="shared" ref="F46:O46" si="15">IF(F32="",F37-F44,-F32)</f>
        <v>186341.89981442317</v>
      </c>
      <c r="G46" s="80">
        <f t="shared" si="15"/>
        <v>544807.98552204669</v>
      </c>
      <c r="H46" s="271">
        <f t="shared" si="15"/>
        <v>866124.38329520635</v>
      </c>
      <c r="I46" s="80">
        <f t="shared" si="15"/>
        <v>879536.99169744924</v>
      </c>
      <c r="J46" s="80">
        <f t="shared" si="15"/>
        <v>747525.00521133654</v>
      </c>
      <c r="K46" s="80">
        <f t="shared" si="15"/>
        <v>378942.89479009435</v>
      </c>
      <c r="L46" s="80">
        <f t="shared" si="15"/>
        <v>799959.09900198691</v>
      </c>
      <c r="M46" s="80">
        <f t="shared" si="15"/>
        <v>581396.93384136818</v>
      </c>
      <c r="N46" s="80">
        <f t="shared" si="15"/>
        <v>-636087.10084778629</v>
      </c>
      <c r="O46" s="80">
        <f t="shared" si="15"/>
        <v>1838351.9714689739</v>
      </c>
      <c r="P46" s="76">
        <f>SUM(D46:O46)</f>
        <v>7230451.1475545038</v>
      </c>
    </row>
    <row r="47" spans="1:16">
      <c r="A47" s="21">
        <v>24</v>
      </c>
      <c r="B47" s="20" t="s">
        <v>118</v>
      </c>
      <c r="C47" s="81" t="s">
        <v>119</v>
      </c>
      <c r="D47" s="80">
        <f>IF(D32="",D46*-'UE-150204 Decoupling Base'!$BE$18,0)</f>
        <v>-27783.268775573535</v>
      </c>
      <c r="E47" s="80">
        <f>IF(E32="",E46*-'UE-150204 Decoupling Base'!$BE$18,0)</f>
        <v>-20094.854947307947</v>
      </c>
      <c r="F47" s="80">
        <f>IF(F32="",F46*-'UE-150204 Decoupling Base'!$BE$18,0)</f>
        <v>-8549.3663634857348</v>
      </c>
      <c r="G47" s="80">
        <f>IF(G32="",G46*-'UE-150204 Decoupling Base'!$BE$18,0)</f>
        <v>-24995.790375751501</v>
      </c>
      <c r="H47" s="271">
        <f>IF(H32="",H46*-'Attachment 4, Page 4'!$E$20,0)</f>
        <v>-40428.087839070344</v>
      </c>
      <c r="I47" s="80">
        <f t="shared" ref="I47:O47" si="16">IF(I32="",I46*-0.04588,0)</f>
        <v>-40353.157179078968</v>
      </c>
      <c r="J47" s="80">
        <f t="shared" si="16"/>
        <v>-34296.447239096116</v>
      </c>
      <c r="K47" s="80">
        <f t="shared" si="16"/>
        <v>-17385.900012969527</v>
      </c>
      <c r="L47" s="80">
        <f t="shared" si="16"/>
        <v>-36702.123462211159</v>
      </c>
      <c r="M47" s="80">
        <f t="shared" si="16"/>
        <v>-26674.491324641971</v>
      </c>
      <c r="N47" s="80">
        <f t="shared" si="16"/>
        <v>29183.676186896435</v>
      </c>
      <c r="O47" s="80">
        <f t="shared" si="16"/>
        <v>-84343.588450996511</v>
      </c>
      <c r="P47" s="76">
        <f>SUM(D47:O47)</f>
        <v>-332423.39978328691</v>
      </c>
    </row>
    <row r="48" spans="1:16">
      <c r="A48" s="21"/>
      <c r="B48" s="20"/>
      <c r="C48" s="21" t="s">
        <v>120</v>
      </c>
      <c r="D48" s="82">
        <f>D26</f>
        <v>4.2500000000000003E-2</v>
      </c>
      <c r="E48" s="82">
        <f t="shared" ref="E48:O48" si="17">E26</f>
        <v>4.2500000000000003E-2</v>
      </c>
      <c r="F48" s="82">
        <f t="shared" si="17"/>
        <v>4.2500000000000003E-2</v>
      </c>
      <c r="G48" s="82">
        <f t="shared" si="17"/>
        <v>4.4699999999999997E-2</v>
      </c>
      <c r="H48" s="272">
        <f>H26</f>
        <v>4.4699999999999997E-2</v>
      </c>
      <c r="I48" s="82">
        <f t="shared" si="17"/>
        <v>4.4699999999999997E-2</v>
      </c>
      <c r="J48" s="82">
        <f t="shared" si="17"/>
        <v>4.6899999999999997E-2</v>
      </c>
      <c r="K48" s="82">
        <f t="shared" si="17"/>
        <v>4.6899999999999997E-2</v>
      </c>
      <c r="L48" s="82">
        <f t="shared" si="17"/>
        <v>4.6899999999999997E-2</v>
      </c>
      <c r="M48" s="82">
        <f t="shared" si="17"/>
        <v>4.9599999999999998E-2</v>
      </c>
      <c r="N48" s="82">
        <f t="shared" si="17"/>
        <v>4.9599999999999998E-2</v>
      </c>
      <c r="O48" s="82">
        <f t="shared" si="17"/>
        <v>4.9599999999999998E-2</v>
      </c>
      <c r="P48" s="76"/>
    </row>
    <row r="49" spans="1:16">
      <c r="A49" s="21">
        <v>25</v>
      </c>
      <c r="B49" s="20" t="s">
        <v>121</v>
      </c>
      <c r="C49" s="21" t="s">
        <v>122</v>
      </c>
      <c r="D49" s="83">
        <f>(D46+D47)/2*D48/12</f>
        <v>1023.1530870172047</v>
      </c>
      <c r="E49" s="83">
        <f>(D51+(E46+E47)/2)*E48/12</f>
        <v>2789.947620931734</v>
      </c>
      <c r="F49" s="83">
        <f t="shared" ref="F49:O49" si="18">(E51+(F46+F47)/2)*F48/12</f>
        <v>3854.6874097893747</v>
      </c>
      <c r="G49" s="83">
        <f t="shared" si="18"/>
        <v>5367.8716874393403</v>
      </c>
      <c r="H49" s="273">
        <f t="shared" si="18"/>
        <v>7893.8765732220791</v>
      </c>
      <c r="I49" s="83">
        <f t="shared" si="18"/>
        <v>11024.120505534849</v>
      </c>
      <c r="J49" s="83">
        <f t="shared" si="18"/>
        <v>14643.453157086087</v>
      </c>
      <c r="K49" s="83">
        <f t="shared" si="18"/>
        <v>16800.994754172749</v>
      </c>
      <c r="L49" s="83">
        <f t="shared" si="18"/>
        <v>19064.732608997918</v>
      </c>
      <c r="M49" s="83">
        <f t="shared" si="18"/>
        <v>22964.900876314485</v>
      </c>
      <c r="N49" s="83">
        <f t="shared" si="18"/>
        <v>22951.981770171988</v>
      </c>
      <c r="O49" s="83">
        <f t="shared" si="18"/>
        <v>25417.533542093344</v>
      </c>
      <c r="P49" s="76">
        <f>SUM(D49:O49)</f>
        <v>153797.25359277116</v>
      </c>
    </row>
    <row r="50" spans="1:16" ht="15" thickBot="1">
      <c r="A50" s="21"/>
      <c r="B50" s="85" t="s">
        <v>128</v>
      </c>
      <c r="C50" s="21"/>
      <c r="D50" s="86">
        <f>D46+D47+D49</f>
        <v>578803.71987320343</v>
      </c>
      <c r="E50" s="86">
        <f>E46+E47+E49</f>
        <v>420682.34087126871</v>
      </c>
      <c r="F50" s="86">
        <f t="shared" ref="F50:P50" si="19">F46+F47+F49</f>
        <v>181647.22086072684</v>
      </c>
      <c r="G50" s="86">
        <f t="shared" si="19"/>
        <v>525180.06683373451</v>
      </c>
      <c r="H50" s="274">
        <f t="shared" si="19"/>
        <v>833590.1720293581</v>
      </c>
      <c r="I50" s="86">
        <f t="shared" si="19"/>
        <v>850207.95502390503</v>
      </c>
      <c r="J50" s="86">
        <f t="shared" si="19"/>
        <v>727872.01112932642</v>
      </c>
      <c r="K50" s="86">
        <f t="shared" si="19"/>
        <v>378357.98953129759</v>
      </c>
      <c r="L50" s="86">
        <f t="shared" si="19"/>
        <v>782321.70814877376</v>
      </c>
      <c r="M50" s="86">
        <f t="shared" si="19"/>
        <v>577687.3433930407</v>
      </c>
      <c r="N50" s="86">
        <f t="shared" si="19"/>
        <v>-583951.44289071788</v>
      </c>
      <c r="O50" s="86">
        <f t="shared" si="19"/>
        <v>1779425.9165600708</v>
      </c>
      <c r="P50" s="86">
        <f t="shared" si="19"/>
        <v>7051825.001363988</v>
      </c>
    </row>
    <row r="51" spans="1:16" ht="27.6" thickBot="1">
      <c r="A51" s="21">
        <v>26</v>
      </c>
      <c r="B51" s="92" t="s">
        <v>129</v>
      </c>
      <c r="C51" s="21" t="str">
        <f>"Σ(("&amp;A$46&amp;") ~ ("&amp;A49&amp;"))"</f>
        <v>Σ((23) ~ (25))</v>
      </c>
      <c r="D51" s="75">
        <f>D46+D47+D49</f>
        <v>578803.71987320343</v>
      </c>
      <c r="E51" s="75">
        <f>D51+E46+E47+E49</f>
        <v>999486.0607444722</v>
      </c>
      <c r="F51" s="75">
        <f t="shared" ref="F51:N51" si="20">E51+F46+F47+F49</f>
        <v>1181133.281605199</v>
      </c>
      <c r="G51" s="75">
        <f t="shared" si="20"/>
        <v>1706313.3484389335</v>
      </c>
      <c r="H51" s="265">
        <f t="shared" si="20"/>
        <v>2539903.5204682918</v>
      </c>
      <c r="I51" s="75">
        <f t="shared" si="20"/>
        <v>3390111.4754921971</v>
      </c>
      <c r="J51" s="75">
        <f t="shared" si="20"/>
        <v>4117983.4866215233</v>
      </c>
      <c r="K51" s="75">
        <f t="shared" si="20"/>
        <v>4496341.4761528205</v>
      </c>
      <c r="L51" s="75">
        <f t="shared" si="20"/>
        <v>5278663.1843015943</v>
      </c>
      <c r="M51" s="75">
        <f t="shared" si="20"/>
        <v>5856350.5276946351</v>
      </c>
      <c r="N51" s="75">
        <f t="shared" si="20"/>
        <v>5272399.0848039174</v>
      </c>
      <c r="O51" s="88">
        <f>N51+O46+O47+O49</f>
        <v>7051825.001363988</v>
      </c>
      <c r="P51" s="76"/>
    </row>
    <row r="52" spans="1:16" ht="15" thickBot="1">
      <c r="A52" s="21"/>
      <c r="B52" s="20"/>
      <c r="C52" s="21"/>
      <c r="D52" s="75"/>
      <c r="E52" s="75"/>
      <c r="F52" s="75"/>
      <c r="G52" s="75"/>
      <c r="H52" s="265"/>
      <c r="I52" s="75"/>
      <c r="J52" s="75"/>
      <c r="K52" s="75"/>
      <c r="L52" s="75"/>
      <c r="M52" s="75"/>
      <c r="N52" s="75"/>
      <c r="O52" s="90"/>
    </row>
    <row r="53" spans="1:16" ht="28.95" customHeight="1" thickBot="1">
      <c r="A53" s="72">
        <v>27</v>
      </c>
      <c r="B53" s="93" t="s">
        <v>130</v>
      </c>
      <c r="C53" s="72" t="str">
        <f>"("&amp;A$29&amp;") + ("&amp;A51&amp;")"</f>
        <v>(13) + (26)</v>
      </c>
      <c r="D53" s="76">
        <f t="shared" ref="D53:O53" si="21">D29+D51</f>
        <v>919981.57246509334</v>
      </c>
      <c r="E53" s="76">
        <f t="shared" si="21"/>
        <v>3078897.4518048065</v>
      </c>
      <c r="F53" s="76">
        <f t="shared" si="21"/>
        <v>3905763.8945371071</v>
      </c>
      <c r="G53" s="76">
        <f t="shared" si="21"/>
        <v>5249742.566722298</v>
      </c>
      <c r="H53" s="276">
        <f t="shared" si="21"/>
        <v>7239704.3077176251</v>
      </c>
      <c r="I53" s="76">
        <f t="shared" si="21"/>
        <v>8695463.4421632439</v>
      </c>
      <c r="J53" s="76">
        <f t="shared" si="21"/>
        <v>10433416.705290996</v>
      </c>
      <c r="K53" s="76">
        <f t="shared" si="21"/>
        <v>9266627.0224821866</v>
      </c>
      <c r="L53" s="76">
        <f t="shared" si="21"/>
        <v>11880422.861615371</v>
      </c>
      <c r="M53" s="76">
        <f t="shared" si="21"/>
        <v>13314357.677720457</v>
      </c>
      <c r="N53" s="76">
        <f t="shared" si="21"/>
        <v>13616379.609626954</v>
      </c>
      <c r="O53" s="91">
        <f t="shared" si="21"/>
        <v>15672084.270685088</v>
      </c>
      <c r="P53" s="85"/>
    </row>
    <row r="54" spans="1:16">
      <c r="A54" s="20"/>
      <c r="B54" s="20"/>
      <c r="C54" s="20"/>
      <c r="D54" s="20"/>
      <c r="E54" s="20"/>
      <c r="F54" s="20"/>
      <c r="G54" s="20"/>
      <c r="H54" s="259"/>
      <c r="I54" s="20"/>
      <c r="J54" s="20"/>
      <c r="K54" s="20"/>
      <c r="L54" s="20"/>
      <c r="M54" s="20"/>
      <c r="N54" s="20"/>
      <c r="O54" s="20"/>
      <c r="P54" s="20"/>
    </row>
    <row r="55" spans="1:16" ht="70.95" customHeight="1">
      <c r="B55" s="99" t="s">
        <v>139</v>
      </c>
      <c r="C55" s="94" t="s">
        <v>362</v>
      </c>
      <c r="D55" s="234">
        <f t="shared" ref="D55:E55" si="22">D7</f>
        <v>43101</v>
      </c>
      <c r="E55" s="234">
        <f t="shared" si="22"/>
        <v>43132</v>
      </c>
      <c r="F55" s="234">
        <f>F7</f>
        <v>43160</v>
      </c>
      <c r="G55" s="234">
        <f>G7</f>
        <v>43191</v>
      </c>
      <c r="H55" s="284">
        <f>H7</f>
        <v>43221</v>
      </c>
      <c r="I55" s="234">
        <f t="shared" ref="I55:N55" si="23">I7</f>
        <v>43252</v>
      </c>
      <c r="J55" s="284">
        <f t="shared" si="23"/>
        <v>43282</v>
      </c>
      <c r="K55" s="234">
        <f t="shared" si="23"/>
        <v>43313</v>
      </c>
      <c r="L55" s="284">
        <f t="shared" si="23"/>
        <v>43344</v>
      </c>
      <c r="M55" s="234">
        <f t="shared" si="23"/>
        <v>43374</v>
      </c>
      <c r="N55" s="284">
        <f t="shared" si="23"/>
        <v>43405</v>
      </c>
      <c r="O55" s="234">
        <f>O7</f>
        <v>43435</v>
      </c>
    </row>
    <row r="56" spans="1:16">
      <c r="B56" s="84"/>
      <c r="H56" s="285"/>
    </row>
    <row r="57" spans="1:16">
      <c r="A57" s="84" t="s">
        <v>142</v>
      </c>
      <c r="B57" s="84" t="s">
        <v>210</v>
      </c>
      <c r="D57" s="150">
        <f t="shared" ref="D57:K57" si="24">-D24-D25</f>
        <v>-340574.751469496</v>
      </c>
      <c r="E57" s="150">
        <f t="shared" si="24"/>
        <v>-1733954.6555379997</v>
      </c>
      <c r="F57" s="150">
        <f t="shared" si="24"/>
        <v>-636727.1022846055</v>
      </c>
      <c r="G57" s="150">
        <f>ROUND(-G24-G25,2)</f>
        <v>-807146.05</v>
      </c>
      <c r="H57" s="286">
        <f t="shared" si="24"/>
        <v>-1141047.094913587</v>
      </c>
      <c r="I57" s="150">
        <f t="shared" si="24"/>
        <v>-586951.22483295866</v>
      </c>
      <c r="J57" s="150">
        <f t="shared" si="24"/>
        <v>-987416.59147285006</v>
      </c>
      <c r="K57" s="150">
        <f t="shared" si="24"/>
        <v>1566768.7632116319</v>
      </c>
      <c r="L57" s="150">
        <f>ROUND(-L24-L25,2)</f>
        <v>-1809294.6</v>
      </c>
      <c r="M57" s="150">
        <f t="shared" ref="M57:O57" si="25">ROUND(-M24-M25,2)</f>
        <v>-827250.55</v>
      </c>
      <c r="N57" s="150">
        <f t="shared" si="25"/>
        <v>-853383.29</v>
      </c>
      <c r="O57" s="150">
        <f t="shared" si="25"/>
        <v>-241291.62</v>
      </c>
      <c r="P57" s="150"/>
    </row>
    <row r="58" spans="1:16">
      <c r="A58" s="84" t="s">
        <v>142</v>
      </c>
      <c r="B58" s="84" t="s">
        <v>365</v>
      </c>
      <c r="D58" s="150">
        <f t="shared" ref="D58:K58" si="26">IF(D27&lt;0,-D27,0)</f>
        <v>0</v>
      </c>
      <c r="E58" s="150">
        <f t="shared" si="26"/>
        <v>0</v>
      </c>
      <c r="F58" s="150">
        <f t="shared" si="26"/>
        <v>0</v>
      </c>
      <c r="G58" s="150">
        <f>ROUND(IF(G27&lt;0,-G27,0),2)</f>
        <v>0</v>
      </c>
      <c r="H58" s="286">
        <f t="shared" si="26"/>
        <v>0</v>
      </c>
      <c r="I58" s="150">
        <f t="shared" si="26"/>
        <v>0</v>
      </c>
      <c r="J58" s="150">
        <f t="shared" si="26"/>
        <v>0</v>
      </c>
      <c r="K58" s="150">
        <f t="shared" si="26"/>
        <v>0</v>
      </c>
      <c r="L58" s="150">
        <f>ROUND(IF(L27&lt;0,-L27,0),2)</f>
        <v>0</v>
      </c>
      <c r="M58" s="150">
        <f t="shared" ref="M58:O58" si="27">ROUND(IF(M27&lt;0,-M27,0),2)</f>
        <v>0</v>
      </c>
      <c r="N58" s="150">
        <f t="shared" si="27"/>
        <v>0</v>
      </c>
      <c r="O58" s="150">
        <f t="shared" si="27"/>
        <v>0</v>
      </c>
      <c r="P58" s="150"/>
    </row>
    <row r="59" spans="1:16">
      <c r="A59" s="84" t="s">
        <v>142</v>
      </c>
      <c r="B59" s="84" t="s">
        <v>366</v>
      </c>
      <c r="D59" s="150">
        <f t="shared" ref="D59:K59" si="28">IF(D27&gt;0,-D27,0)</f>
        <v>-603.10112239389923</v>
      </c>
      <c r="E59" s="150">
        <f t="shared" si="28"/>
        <v>-4278.8829304448182</v>
      </c>
      <c r="F59" s="150">
        <f t="shared" si="28"/>
        <v>-8492.1195869676721</v>
      </c>
      <c r="G59" s="150">
        <f>ROUND(IF(G27&gt;0,-G27,0),2)</f>
        <v>-11652.56</v>
      </c>
      <c r="H59" s="286">
        <f t="shared" si="28"/>
        <v>-15324.474052382087</v>
      </c>
      <c r="I59" s="150">
        <f t="shared" si="28"/>
        <v>-18599.954588755154</v>
      </c>
      <c r="J59" s="150">
        <f t="shared" si="28"/>
        <v>-22664.660525575866</v>
      </c>
      <c r="K59" s="150">
        <f t="shared" si="28"/>
        <v>-21621.090871523793</v>
      </c>
      <c r="L59" s="150">
        <f>ROUND(IF(L27&gt;0,-L27,0),2)</f>
        <v>-22179.53</v>
      </c>
      <c r="M59" s="150">
        <f t="shared" ref="M59:O59" si="29">ROUND(IF(M27&gt;0,-M27,0),2)</f>
        <v>-28996.92</v>
      </c>
      <c r="N59" s="150">
        <f t="shared" si="29"/>
        <v>-32590.09</v>
      </c>
      <c r="O59" s="150">
        <f t="shared" si="29"/>
        <v>-34987.120000000003</v>
      </c>
      <c r="P59" s="150"/>
    </row>
    <row r="60" spans="1:16" ht="15" thickBot="1">
      <c r="A60" s="84" t="s">
        <v>142</v>
      </c>
      <c r="B60" s="84" t="s">
        <v>140</v>
      </c>
      <c r="D60" s="150">
        <f t="shared" ref="D60:F60" si="30">-SUM(D57:D59)</f>
        <v>341177.85259188991</v>
      </c>
      <c r="E60" s="150">
        <f t="shared" si="30"/>
        <v>1738233.5384684445</v>
      </c>
      <c r="F60" s="150">
        <f t="shared" si="30"/>
        <v>645219.22187157313</v>
      </c>
      <c r="G60" s="150">
        <f>-SUM(G57:G59)</f>
        <v>818798.6100000001</v>
      </c>
      <c r="H60" s="150">
        <f t="shared" ref="H60:O60" si="31">-SUM(H57:H59)</f>
        <v>1156371.5689659691</v>
      </c>
      <c r="I60" s="150">
        <f t="shared" si="31"/>
        <v>605551.17942171381</v>
      </c>
      <c r="J60" s="150">
        <f t="shared" si="31"/>
        <v>1010081.2519984259</v>
      </c>
      <c r="K60" s="150">
        <f t="shared" si="31"/>
        <v>-1545147.6723401081</v>
      </c>
      <c r="L60" s="150">
        <f t="shared" si="31"/>
        <v>1831474.1300000001</v>
      </c>
      <c r="M60" s="150">
        <f t="shared" si="31"/>
        <v>856247.47000000009</v>
      </c>
      <c r="N60" s="150">
        <f t="shared" si="31"/>
        <v>885973.38</v>
      </c>
      <c r="O60" s="150">
        <f t="shared" si="31"/>
        <v>276278.74</v>
      </c>
      <c r="P60" s="150"/>
    </row>
    <row r="61" spans="1:16" s="151" customFormat="1">
      <c r="A61" s="84" t="s">
        <v>142</v>
      </c>
      <c r="B61" s="226" t="s">
        <v>259</v>
      </c>
      <c r="C61" s="229"/>
      <c r="D61" s="150">
        <f t="shared" ref="D61:F61" si="32">-D62-D63</f>
        <v>1162250.77</v>
      </c>
      <c r="E61" s="150">
        <f t="shared" si="32"/>
        <v>916951.19</v>
      </c>
      <c r="F61" s="150">
        <f t="shared" si="32"/>
        <v>978281.24</v>
      </c>
      <c r="G61" s="150">
        <f>-G62-G63</f>
        <v>740255.3719426567</v>
      </c>
      <c r="H61" s="286">
        <f>-H62-H63</f>
        <v>627047.86129303998</v>
      </c>
      <c r="I61" s="286">
        <f t="shared" ref="I61:O61" si="33">-I62-I63</f>
        <v>607128.45038274571</v>
      </c>
      <c r="J61" s="286">
        <f t="shared" si="33"/>
        <v>785864.3964810787</v>
      </c>
      <c r="K61" s="286">
        <f t="shared" si="33"/>
        <v>857921.78690196818</v>
      </c>
      <c r="L61" s="286">
        <f t="shared" si="33"/>
        <v>591138.76653037919</v>
      </c>
      <c r="M61" s="286">
        <f t="shared" si="33"/>
        <v>679574.22845479345</v>
      </c>
      <c r="N61" s="286">
        <f t="shared" si="33"/>
        <v>-120323.53077317961</v>
      </c>
      <c r="O61" s="286">
        <f t="shared" si="33"/>
        <v>-280725.70929970534</v>
      </c>
      <c r="P61" s="150"/>
    </row>
    <row r="62" spans="1:16" s="151" customFormat="1">
      <c r="A62" s="84" t="s">
        <v>142</v>
      </c>
      <c r="B62" s="227" t="s">
        <v>260</v>
      </c>
      <c r="C62" s="230"/>
      <c r="D62" s="316">
        <v>-1162250.77</v>
      </c>
      <c r="E62" s="316">
        <v>-916951.19</v>
      </c>
      <c r="F62" s="316">
        <v>-978281.24</v>
      </c>
      <c r="G62" s="150">
        <f>-'Apr Base Rate Revenue'!$X$15</f>
        <v>-740255.3719426567</v>
      </c>
      <c r="H62" s="286">
        <f>-'May Base Rate Revenue'!$X$15</f>
        <v>-627047.86129303998</v>
      </c>
      <c r="I62" s="286">
        <f>-'June Base Rate Revenue'!$X$15</f>
        <v>-607128.45038274571</v>
      </c>
      <c r="J62" s="286">
        <f>-'July Base Rate Revenue'!$X$15</f>
        <v>-785864.3964810787</v>
      </c>
      <c r="K62" s="286">
        <f>-'August Base Rate Revenue'!$X$15</f>
        <v>-857921.78690196818</v>
      </c>
      <c r="L62" s="286">
        <f>-'September Base Rate Revenue'!$X$15</f>
        <v>-591138.76653037919</v>
      </c>
      <c r="M62" s="286">
        <f>-'October Base Rate Revenue'!$X$36</f>
        <v>-679574.22845479345</v>
      </c>
      <c r="N62" s="286">
        <v>0</v>
      </c>
      <c r="O62" s="286">
        <f>-'December Base Rate Revenue'!$X$15</f>
        <v>0</v>
      </c>
      <c r="P62" s="150"/>
    </row>
    <row r="63" spans="1:16" s="151" customFormat="1" ht="15" thickBot="1">
      <c r="A63" s="84" t="s">
        <v>142</v>
      </c>
      <c r="B63" s="228" t="s">
        <v>261</v>
      </c>
      <c r="C63" s="231"/>
      <c r="D63" s="150">
        <v>0</v>
      </c>
      <c r="E63" s="150">
        <v>0</v>
      </c>
      <c r="F63" s="150">
        <v>0</v>
      </c>
      <c r="G63" s="150">
        <v>0</v>
      </c>
      <c r="H63" s="286">
        <v>0</v>
      </c>
      <c r="I63" s="286">
        <v>0</v>
      </c>
      <c r="J63" s="286">
        <v>0</v>
      </c>
      <c r="K63" s="286">
        <v>0</v>
      </c>
      <c r="L63" s="286">
        <v>0</v>
      </c>
      <c r="M63" s="150">
        <v>0</v>
      </c>
      <c r="N63" s="150">
        <f>-'November Base Rate Revenue'!$X$36</f>
        <v>120323.53077317961</v>
      </c>
      <c r="O63" s="150">
        <f>-'December Base Rate Revenue'!$X$36</f>
        <v>280725.70929970534</v>
      </c>
      <c r="P63" s="150"/>
    </row>
    <row r="64" spans="1:16">
      <c r="A64" s="84"/>
      <c r="B64" s="84"/>
      <c r="D64" s="150"/>
      <c r="E64" s="150"/>
      <c r="F64" s="150"/>
      <c r="G64" s="150"/>
      <c r="H64" s="286"/>
      <c r="I64" s="150"/>
      <c r="J64" s="150"/>
      <c r="K64" s="150"/>
      <c r="L64" s="150"/>
      <c r="M64" s="150"/>
      <c r="N64" s="150"/>
      <c r="O64" s="150"/>
      <c r="P64" s="150"/>
    </row>
    <row r="65" spans="1:16">
      <c r="A65" s="84" t="s">
        <v>142</v>
      </c>
      <c r="B65" s="84" t="s">
        <v>211</v>
      </c>
      <c r="D65" s="150">
        <f t="shared" ref="D65:K65" si="34">-D46-D47</f>
        <v>-577780.56678618619</v>
      </c>
      <c r="E65" s="150">
        <f t="shared" si="34"/>
        <v>-417892.39325033699</v>
      </c>
      <c r="F65" s="150">
        <f t="shared" si="34"/>
        <v>-177792.53345093745</v>
      </c>
      <c r="G65" s="150">
        <f>ROUND(-G46-G47,2)</f>
        <v>-519812.2</v>
      </c>
      <c r="H65" s="286">
        <f t="shared" si="34"/>
        <v>-825696.29545613599</v>
      </c>
      <c r="I65" s="150">
        <f t="shared" si="34"/>
        <v>-839183.83451837022</v>
      </c>
      <c r="J65" s="150">
        <f t="shared" si="34"/>
        <v>-713228.55797224038</v>
      </c>
      <c r="K65" s="150">
        <f t="shared" si="34"/>
        <v>-361556.99477712484</v>
      </c>
      <c r="L65" s="150">
        <f>ROUND(-L46-L47,2)</f>
        <v>-763256.98</v>
      </c>
      <c r="M65" s="150">
        <f t="shared" ref="M65:O65" si="35">ROUND(-M46-M47,2)</f>
        <v>-554722.43999999994</v>
      </c>
      <c r="N65" s="150">
        <f t="shared" si="35"/>
        <v>606903.42000000004</v>
      </c>
      <c r="O65" s="150">
        <f t="shared" si="35"/>
        <v>-1754008.38</v>
      </c>
      <c r="P65" s="150"/>
    </row>
    <row r="66" spans="1:16">
      <c r="A66" s="84" t="s">
        <v>142</v>
      </c>
      <c r="B66" s="84" t="s">
        <v>365</v>
      </c>
      <c r="D66" s="150">
        <f t="shared" ref="D66:K66" si="36">IF(D49&lt;0,-D49,0)</f>
        <v>0</v>
      </c>
      <c r="E66" s="150">
        <f t="shared" si="36"/>
        <v>0</v>
      </c>
      <c r="F66" s="150">
        <f t="shared" si="36"/>
        <v>0</v>
      </c>
      <c r="G66" s="150">
        <f>ROUND(IF(G49&lt;0,-G49,0),2)</f>
        <v>0</v>
      </c>
      <c r="H66" s="286">
        <f t="shared" si="36"/>
        <v>0</v>
      </c>
      <c r="I66" s="150">
        <f t="shared" si="36"/>
        <v>0</v>
      </c>
      <c r="J66" s="150">
        <f t="shared" si="36"/>
        <v>0</v>
      </c>
      <c r="K66" s="150">
        <f t="shared" si="36"/>
        <v>0</v>
      </c>
      <c r="L66" s="150">
        <f>ROUND(IF(L49&lt;0,-L49,0),2)</f>
        <v>0</v>
      </c>
      <c r="M66" s="150">
        <f t="shared" ref="M66:O66" si="37">ROUND(IF(M49&lt;0,-M49,0),2)</f>
        <v>0</v>
      </c>
      <c r="N66" s="150">
        <f t="shared" si="37"/>
        <v>0</v>
      </c>
      <c r="O66" s="150">
        <f t="shared" si="37"/>
        <v>0</v>
      </c>
      <c r="P66" s="150"/>
    </row>
    <row r="67" spans="1:16">
      <c r="A67" s="84" t="s">
        <v>142</v>
      </c>
      <c r="B67" s="84" t="s">
        <v>366</v>
      </c>
      <c r="D67" s="150">
        <f t="shared" ref="D67:K67" si="38">IF(D49&gt;0,-D49,0)</f>
        <v>-1023.1530870172047</v>
      </c>
      <c r="E67" s="150">
        <f t="shared" si="38"/>
        <v>-2789.947620931734</v>
      </c>
      <c r="F67" s="150">
        <f t="shared" si="38"/>
        <v>-3854.6874097893747</v>
      </c>
      <c r="G67" s="150">
        <f>ROUND(IF(G49&gt;0,-G49,0),2)</f>
        <v>-5367.87</v>
      </c>
      <c r="H67" s="286">
        <f t="shared" si="38"/>
        <v>-7893.8765732220791</v>
      </c>
      <c r="I67" s="150">
        <f t="shared" si="38"/>
        <v>-11024.120505534849</v>
      </c>
      <c r="J67" s="150">
        <f t="shared" si="38"/>
        <v>-14643.453157086087</v>
      </c>
      <c r="K67" s="150">
        <f t="shared" si="38"/>
        <v>-16800.994754172749</v>
      </c>
      <c r="L67" s="150">
        <f>ROUND(IF(L49&gt;0,-L49,0),2)</f>
        <v>-19064.73</v>
      </c>
      <c r="M67" s="150">
        <f t="shared" ref="M67:O67" si="39">ROUND(IF(M49&gt;0,-M49,0),2)</f>
        <v>-22964.9</v>
      </c>
      <c r="N67" s="150">
        <f t="shared" si="39"/>
        <v>-22951.98</v>
      </c>
      <c r="O67" s="150">
        <f t="shared" si="39"/>
        <v>-25417.53</v>
      </c>
      <c r="P67" s="150"/>
    </row>
    <row r="68" spans="1:16" ht="15" thickBot="1">
      <c r="A68" s="84" t="s">
        <v>142</v>
      </c>
      <c r="B68" s="84" t="s">
        <v>141</v>
      </c>
      <c r="D68" s="150">
        <f t="shared" ref="D68:F68" si="40">-SUM(D65:D67)</f>
        <v>578803.71987320343</v>
      </c>
      <c r="E68" s="150">
        <f t="shared" si="40"/>
        <v>420682.34087126871</v>
      </c>
      <c r="F68" s="150">
        <f t="shared" si="40"/>
        <v>181647.22086072684</v>
      </c>
      <c r="G68" s="150">
        <f>-SUM(G65:G67)</f>
        <v>525180.07000000007</v>
      </c>
      <c r="H68" s="150">
        <f t="shared" ref="H68:I68" si="41">-SUM(H65:H67)</f>
        <v>833590.1720293581</v>
      </c>
      <c r="I68" s="150">
        <f t="shared" si="41"/>
        <v>850207.95502390503</v>
      </c>
      <c r="J68" s="150">
        <f t="shared" ref="J68" si="42">-SUM(J65:J67)</f>
        <v>727872.01112932642</v>
      </c>
      <c r="K68" s="150">
        <f t="shared" ref="K68" si="43">-SUM(K65:K67)</f>
        <v>378357.98953129759</v>
      </c>
      <c r="L68" s="150">
        <f t="shared" ref="L68" si="44">-SUM(L65:L67)</f>
        <v>782321.71</v>
      </c>
      <c r="M68" s="150">
        <f t="shared" ref="M68" si="45">-SUM(M65:M67)</f>
        <v>577687.34</v>
      </c>
      <c r="N68" s="150">
        <f t="shared" ref="N68" si="46">-SUM(N65:N67)</f>
        <v>-583951.44000000006</v>
      </c>
      <c r="O68" s="150">
        <f t="shared" ref="O68" si="47">-SUM(O65:O67)</f>
        <v>1779425.91</v>
      </c>
      <c r="P68" s="150"/>
    </row>
    <row r="69" spans="1:16">
      <c r="A69" s="84" t="s">
        <v>142</v>
      </c>
      <c r="B69" s="226" t="s">
        <v>262</v>
      </c>
      <c r="C69" s="229"/>
      <c r="D69" s="150">
        <f>-D70-D71</f>
        <v>66207.289999999994</v>
      </c>
      <c r="E69" s="150">
        <f t="shared" ref="E69:F69" si="48">-E70-E71</f>
        <v>67375.64</v>
      </c>
      <c r="F69" s="150">
        <f t="shared" si="48"/>
        <v>63806.12</v>
      </c>
      <c r="G69" s="150">
        <f>-G70-G71</f>
        <v>61807.1443138268</v>
      </c>
      <c r="H69" s="286">
        <f>-H70-H71</f>
        <v>66875.539429414814</v>
      </c>
      <c r="I69" s="286">
        <f t="shared" ref="I69:O69" si="49">-I70-I71</f>
        <v>68567.362861936403</v>
      </c>
      <c r="J69" s="286">
        <f t="shared" si="49"/>
        <v>78197.288413826405</v>
      </c>
      <c r="K69" s="286">
        <f t="shared" si="49"/>
        <v>73903.894943113177</v>
      </c>
      <c r="L69" s="286">
        <f t="shared" si="49"/>
        <v>64210.747679167587</v>
      </c>
      <c r="M69" s="286">
        <f t="shared" si="49"/>
        <v>69824.243352925609</v>
      </c>
      <c r="N69" s="286">
        <f t="shared" si="49"/>
        <v>89711.34521060923</v>
      </c>
      <c r="O69" s="286">
        <f t="shared" si="49"/>
        <v>87496.585133094544</v>
      </c>
    </row>
    <row r="70" spans="1:16">
      <c r="A70" s="84" t="s">
        <v>142</v>
      </c>
      <c r="B70" s="227" t="s">
        <v>263</v>
      </c>
      <c r="C70" s="232"/>
      <c r="D70" s="316">
        <v>-66207.289999999994</v>
      </c>
      <c r="E70" s="316">
        <v>-67375.64</v>
      </c>
      <c r="F70" s="316">
        <v>-63806.12</v>
      </c>
      <c r="G70" s="150">
        <f>-'Apr Base Rate Revenue'!$X$16</f>
        <v>-61807.1443138268</v>
      </c>
      <c r="H70" s="286">
        <f>-'May Base Rate Revenue'!$X$16</f>
        <v>-66875.539429414814</v>
      </c>
      <c r="I70" s="286">
        <f>-'June Base Rate Revenue'!$X$16</f>
        <v>-68567.362861936403</v>
      </c>
      <c r="J70" s="286">
        <f>-'July Base Rate Revenue'!$X$16</f>
        <v>-78197.288413826405</v>
      </c>
      <c r="K70" s="286">
        <f>-'August Base Rate Revenue'!$X$16</f>
        <v>-73903.894943113177</v>
      </c>
      <c r="L70" s="286">
        <f>-'September Base Rate Revenue'!$X$16</f>
        <v>-64210.747679167587</v>
      </c>
      <c r="M70" s="286">
        <f>-'October Base Rate Revenue'!$X$37</f>
        <v>-69824.243352925609</v>
      </c>
      <c r="N70" s="286">
        <f>-'November Base Rate Revenue'!$X$37</f>
        <v>-89711.34521060923</v>
      </c>
      <c r="O70" s="286">
        <f>-'December Base Rate Revenue'!$X$37</f>
        <v>-87496.585133094544</v>
      </c>
    </row>
    <row r="71" spans="1:16" ht="15" thickBot="1">
      <c r="A71" s="84" t="s">
        <v>142</v>
      </c>
      <c r="B71" s="228" t="s">
        <v>264</v>
      </c>
      <c r="C71" s="233"/>
      <c r="D71" s="150">
        <v>0</v>
      </c>
      <c r="E71" s="150">
        <v>0</v>
      </c>
      <c r="F71" s="150">
        <v>0</v>
      </c>
      <c r="G71" s="150">
        <v>0</v>
      </c>
      <c r="H71" s="286">
        <v>0</v>
      </c>
      <c r="I71" s="286">
        <v>0</v>
      </c>
      <c r="J71" s="286">
        <v>0</v>
      </c>
      <c r="K71" s="286">
        <v>0</v>
      </c>
      <c r="L71" s="286">
        <v>0</v>
      </c>
    </row>
    <row r="72" spans="1:16">
      <c r="A72" s="170"/>
      <c r="B72" s="84"/>
      <c r="C72" s="170"/>
      <c r="D72" s="184"/>
      <c r="E72" s="170"/>
      <c r="H72" s="285"/>
    </row>
    <row r="73" spans="1:16">
      <c r="A73" s="84" t="s">
        <v>142</v>
      </c>
      <c r="B73" s="84" t="s">
        <v>348</v>
      </c>
      <c r="C73" s="150"/>
      <c r="D73" s="150">
        <f>-D74-D75</f>
        <v>0</v>
      </c>
      <c r="E73" s="150">
        <f t="shared" ref="E73:O73" si="50">-E74-E75</f>
        <v>0</v>
      </c>
      <c r="F73" s="150">
        <f t="shared" si="50"/>
        <v>0</v>
      </c>
      <c r="G73" s="150">
        <f t="shared" si="50"/>
        <v>0</v>
      </c>
      <c r="H73" s="150">
        <f t="shared" si="50"/>
        <v>0</v>
      </c>
      <c r="I73" s="150">
        <f t="shared" si="50"/>
        <v>0</v>
      </c>
      <c r="J73" s="150">
        <f t="shared" si="50"/>
        <v>0</v>
      </c>
      <c r="K73" s="150">
        <f t="shared" si="50"/>
        <v>0</v>
      </c>
      <c r="L73" s="150">
        <f t="shared" si="50"/>
        <v>0</v>
      </c>
      <c r="M73" s="150">
        <f t="shared" si="50"/>
        <v>545266.37</v>
      </c>
      <c r="N73" s="150">
        <f t="shared" si="50"/>
        <v>665692.86</v>
      </c>
      <c r="O73" s="150">
        <f t="shared" si="50"/>
        <v>185925.14558323054</v>
      </c>
    </row>
    <row r="74" spans="1:16">
      <c r="A74" s="84" t="s">
        <v>142</v>
      </c>
      <c r="B74" s="84" t="s">
        <v>349</v>
      </c>
      <c r="C74" s="150"/>
      <c r="D74" s="150">
        <f>D85</f>
        <v>0</v>
      </c>
      <c r="E74" s="150">
        <f t="shared" ref="E74:O74" si="51">E85</f>
        <v>0</v>
      </c>
      <c r="F74" s="150">
        <f t="shared" si="51"/>
        <v>0</v>
      </c>
      <c r="G74" s="150">
        <f t="shared" si="51"/>
        <v>0</v>
      </c>
      <c r="H74" s="150">
        <f t="shared" si="51"/>
        <v>0</v>
      </c>
      <c r="I74" s="150">
        <f t="shared" si="51"/>
        <v>0</v>
      </c>
      <c r="J74" s="150">
        <f t="shared" si="51"/>
        <v>0</v>
      </c>
      <c r="K74" s="150">
        <f t="shared" si="51"/>
        <v>0</v>
      </c>
      <c r="L74" s="150">
        <f t="shared" si="51"/>
        <v>0</v>
      </c>
      <c r="M74" s="150">
        <f t="shared" si="51"/>
        <v>-545266.37</v>
      </c>
      <c r="N74" s="150">
        <f t="shared" si="51"/>
        <v>-665692.86</v>
      </c>
      <c r="O74" s="150">
        <f t="shared" si="51"/>
        <v>-185925.14558323054</v>
      </c>
    </row>
    <row r="75" spans="1:16">
      <c r="A75" s="84" t="s">
        <v>142</v>
      </c>
      <c r="B75" s="84" t="s">
        <v>350</v>
      </c>
      <c r="C75" s="318"/>
      <c r="D75" s="318">
        <f>D81</f>
        <v>0</v>
      </c>
      <c r="E75" s="318">
        <f t="shared" ref="E75:O75" si="52">E81</f>
        <v>0</v>
      </c>
      <c r="F75" s="318">
        <f t="shared" si="52"/>
        <v>0</v>
      </c>
      <c r="G75" s="318">
        <f t="shared" si="52"/>
        <v>0</v>
      </c>
      <c r="H75" s="318">
        <f t="shared" si="52"/>
        <v>0</v>
      </c>
      <c r="I75" s="318">
        <f t="shared" si="52"/>
        <v>0</v>
      </c>
      <c r="J75" s="318">
        <f t="shared" si="52"/>
        <v>0</v>
      </c>
      <c r="K75" s="318">
        <f t="shared" si="52"/>
        <v>0</v>
      </c>
      <c r="L75" s="318">
        <f t="shared" si="52"/>
        <v>0</v>
      </c>
      <c r="M75" s="318">
        <f t="shared" si="52"/>
        <v>0</v>
      </c>
      <c r="N75" s="318">
        <f t="shared" si="52"/>
        <v>0</v>
      </c>
      <c r="O75" s="318">
        <f t="shared" si="52"/>
        <v>0</v>
      </c>
    </row>
    <row r="76" spans="1:16" ht="15" thickBot="1">
      <c r="B76" s="319"/>
      <c r="C76" s="320"/>
      <c r="D76" s="320" t="str">
        <f t="shared" ref="D76:O76" si="53">IF(SUM(D73:D75)=0,"",SUM(D73:D75))</f>
        <v/>
      </c>
      <c r="E76" s="320" t="str">
        <f t="shared" si="53"/>
        <v/>
      </c>
      <c r="F76" s="320" t="str">
        <f t="shared" si="53"/>
        <v/>
      </c>
      <c r="G76" s="320" t="str">
        <f t="shared" si="53"/>
        <v/>
      </c>
      <c r="H76" s="320" t="str">
        <f t="shared" si="53"/>
        <v/>
      </c>
      <c r="I76" s="320" t="str">
        <f t="shared" si="53"/>
        <v/>
      </c>
      <c r="J76" s="320" t="str">
        <f t="shared" si="53"/>
        <v/>
      </c>
      <c r="K76" s="320" t="str">
        <f t="shared" si="53"/>
        <v/>
      </c>
      <c r="L76" s="320" t="str">
        <f t="shared" si="53"/>
        <v/>
      </c>
      <c r="M76" s="320" t="str">
        <f t="shared" si="53"/>
        <v/>
      </c>
      <c r="N76" s="320" t="str">
        <f t="shared" si="53"/>
        <v/>
      </c>
      <c r="O76" s="320" t="str">
        <f t="shared" si="53"/>
        <v/>
      </c>
    </row>
    <row r="77" spans="1:16">
      <c r="B77" s="285"/>
      <c r="C77" s="321"/>
      <c r="D77" s="321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</row>
    <row r="78" spans="1:16">
      <c r="A78" s="84" t="s">
        <v>142</v>
      </c>
      <c r="B78" s="322" t="s">
        <v>351</v>
      </c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</row>
    <row r="79" spans="1:16">
      <c r="A79" s="84" t="s">
        <v>142</v>
      </c>
      <c r="B79" s="170" t="s">
        <v>355</v>
      </c>
      <c r="C79" s="323"/>
      <c r="D79" s="323">
        <f>'EDWA 3% test'!D20+'EDWA 3% test'!D52</f>
        <v>0</v>
      </c>
      <c r="E79" s="323">
        <f>'EDWA 3% test'!E20+'EDWA 3% test'!E52</f>
        <v>0</v>
      </c>
      <c r="F79" s="323">
        <f>'EDWA 3% test'!F20+'EDWA 3% test'!F52</f>
        <v>0</v>
      </c>
      <c r="G79" s="323">
        <f>'EDWA 3% test'!G20+'EDWA 3% test'!G52</f>
        <v>0</v>
      </c>
      <c r="H79" s="323">
        <f>'EDWA 3% test'!H20+'EDWA 3% test'!H52</f>
        <v>0</v>
      </c>
      <c r="I79" s="323">
        <f>'EDWA 3% test'!I20+'EDWA 3% test'!I52</f>
        <v>0</v>
      </c>
      <c r="J79" s="323">
        <f>'EDWA 3% test'!J20+'EDWA 3% test'!J52</f>
        <v>0</v>
      </c>
      <c r="K79" s="323">
        <f>'EDWA 3% test'!K20+'EDWA 3% test'!K52</f>
        <v>0</v>
      </c>
      <c r="L79" s="323">
        <f>'EDWA 3% test'!L20+'EDWA 3% test'!L52</f>
        <v>0</v>
      </c>
      <c r="M79" s="323">
        <f>'EDWA 3% test'!M20+'EDWA 3% test'!M52</f>
        <v>0</v>
      </c>
      <c r="N79" s="323">
        <f>'EDWA 3% test'!N20+'EDWA 3% test'!N52</f>
        <v>0</v>
      </c>
      <c r="O79" s="323">
        <f>'EDWA 3% test'!O20+'EDWA 3% test'!O52</f>
        <v>0</v>
      </c>
    </row>
    <row r="80" spans="1:16">
      <c r="A80" s="84" t="s">
        <v>142</v>
      </c>
      <c r="B80" s="170" t="s">
        <v>352</v>
      </c>
      <c r="C80" s="324"/>
      <c r="D80" s="324">
        <f>'EDWA 3% test'!C20+'EDWA 3% test'!C52</f>
        <v>0</v>
      </c>
      <c r="E80" s="324">
        <f>'EDWA 3% test'!D20+'EDWA 3% test'!D52</f>
        <v>0</v>
      </c>
      <c r="F80" s="324">
        <f>'EDWA 3% test'!E20+'EDWA 3% test'!E52</f>
        <v>0</v>
      </c>
      <c r="G80" s="324">
        <f>'EDWA 3% test'!F20+'EDWA 3% test'!F52</f>
        <v>0</v>
      </c>
      <c r="H80" s="324">
        <f>'EDWA 3% test'!G20+'EDWA 3% test'!G52</f>
        <v>0</v>
      </c>
      <c r="I80" s="324">
        <f>'EDWA 3% test'!H20+'EDWA 3% test'!H52</f>
        <v>0</v>
      </c>
      <c r="J80" s="324">
        <f>'EDWA 3% test'!I20+'EDWA 3% test'!I52</f>
        <v>0</v>
      </c>
      <c r="K80" s="324">
        <f>'EDWA 3% test'!J20+'EDWA 3% test'!J52</f>
        <v>0</v>
      </c>
      <c r="L80" s="324">
        <f>'EDWA 3% test'!K20+'EDWA 3% test'!K52</f>
        <v>0</v>
      </c>
      <c r="M80" s="324">
        <f>'EDWA 3% test'!L20+'EDWA 3% test'!L52</f>
        <v>0</v>
      </c>
      <c r="N80" s="324">
        <f>'EDWA 3% test'!M20+'EDWA 3% test'!M52</f>
        <v>0</v>
      </c>
      <c r="O80" s="324">
        <f>'EDWA 3% test'!N20+'EDWA 3% test'!N52</f>
        <v>0</v>
      </c>
    </row>
    <row r="81" spans="1:15">
      <c r="A81" s="84" t="s">
        <v>142</v>
      </c>
      <c r="B81" s="151" t="s">
        <v>356</v>
      </c>
      <c r="C81" s="150"/>
      <c r="D81" s="150">
        <f>D79-D80</f>
        <v>0</v>
      </c>
      <c r="E81" s="150">
        <f t="shared" ref="E81:O81" si="54">E79-E80</f>
        <v>0</v>
      </c>
      <c r="F81" s="150">
        <f t="shared" si="54"/>
        <v>0</v>
      </c>
      <c r="G81" s="150">
        <f t="shared" si="54"/>
        <v>0</v>
      </c>
      <c r="H81" s="150">
        <f t="shared" si="54"/>
        <v>0</v>
      </c>
      <c r="I81" s="150">
        <f t="shared" si="54"/>
        <v>0</v>
      </c>
      <c r="J81" s="150">
        <f t="shared" si="54"/>
        <v>0</v>
      </c>
      <c r="K81" s="150">
        <f t="shared" si="54"/>
        <v>0</v>
      </c>
      <c r="L81" s="150">
        <f t="shared" si="54"/>
        <v>0</v>
      </c>
      <c r="M81" s="150">
        <f t="shared" si="54"/>
        <v>0</v>
      </c>
      <c r="N81" s="150">
        <f t="shared" si="54"/>
        <v>0</v>
      </c>
      <c r="O81" s="150">
        <f t="shared" si="54"/>
        <v>0</v>
      </c>
    </row>
    <row r="82" spans="1:15">
      <c r="A82" s="84" t="s">
        <v>142</v>
      </c>
      <c r="B82" s="322" t="s">
        <v>353</v>
      </c>
      <c r="C82" s="325"/>
      <c r="D82" s="325"/>
      <c r="E82" s="325"/>
      <c r="F82" s="325"/>
      <c r="G82" s="325"/>
      <c r="H82" s="325"/>
      <c r="I82" s="325"/>
      <c r="J82" s="325"/>
      <c r="K82" s="325"/>
      <c r="L82" s="325"/>
      <c r="M82" s="325"/>
      <c r="N82" s="325"/>
      <c r="O82" s="325"/>
    </row>
    <row r="83" spans="1:15">
      <c r="A83" s="84" t="s">
        <v>142</v>
      </c>
      <c r="B83" s="170" t="s">
        <v>357</v>
      </c>
      <c r="C83" s="323"/>
      <c r="D83" s="323">
        <v>0</v>
      </c>
      <c r="E83" s="323">
        <v>0</v>
      </c>
      <c r="F83" s="323">
        <v>0</v>
      </c>
      <c r="G83" s="323">
        <v>0</v>
      </c>
      <c r="H83" s="323">
        <v>0</v>
      </c>
      <c r="I83" s="323">
        <v>0</v>
      </c>
      <c r="J83" s="323">
        <v>0</v>
      </c>
      <c r="K83" s="323">
        <v>0</v>
      </c>
      <c r="L83" s="323">
        <v>0</v>
      </c>
      <c r="M83" s="323">
        <v>-545266.37</v>
      </c>
      <c r="N83" s="323">
        <v>-1210959.23</v>
      </c>
      <c r="O83" s="323">
        <f>'EDWA 3% test'!$O$19+'EDWA 3% test'!$O$51</f>
        <v>-1396884.3755832305</v>
      </c>
    </row>
    <row r="84" spans="1:15">
      <c r="A84" s="84" t="s">
        <v>142</v>
      </c>
      <c r="B84" s="170" t="s">
        <v>354</v>
      </c>
      <c r="C84" s="185"/>
      <c r="D84" s="185">
        <v>0</v>
      </c>
      <c r="E84" s="185">
        <f>D83</f>
        <v>0</v>
      </c>
      <c r="F84" s="185">
        <f t="shared" ref="F84:O84" si="55">E83</f>
        <v>0</v>
      </c>
      <c r="G84" s="185">
        <f t="shared" si="55"/>
        <v>0</v>
      </c>
      <c r="H84" s="185">
        <f t="shared" si="55"/>
        <v>0</v>
      </c>
      <c r="I84" s="185">
        <f t="shared" si="55"/>
        <v>0</v>
      </c>
      <c r="J84" s="185">
        <f t="shared" si="55"/>
        <v>0</v>
      </c>
      <c r="K84" s="185">
        <f t="shared" si="55"/>
        <v>0</v>
      </c>
      <c r="L84" s="185">
        <f t="shared" si="55"/>
        <v>0</v>
      </c>
      <c r="M84" s="185">
        <f t="shared" si="55"/>
        <v>0</v>
      </c>
      <c r="N84" s="185">
        <f t="shared" si="55"/>
        <v>-545266.37</v>
      </c>
      <c r="O84" s="185">
        <f t="shared" si="55"/>
        <v>-1210959.23</v>
      </c>
    </row>
    <row r="85" spans="1:15">
      <c r="A85" s="84" t="s">
        <v>142</v>
      </c>
      <c r="B85" s="151" t="s">
        <v>356</v>
      </c>
      <c r="C85" s="150"/>
      <c r="D85" s="150">
        <f>D83-D84</f>
        <v>0</v>
      </c>
      <c r="E85" s="150">
        <f t="shared" ref="E85:O85" si="56">E83-E84</f>
        <v>0</v>
      </c>
      <c r="F85" s="150">
        <f t="shared" si="56"/>
        <v>0</v>
      </c>
      <c r="G85" s="150">
        <f t="shared" si="56"/>
        <v>0</v>
      </c>
      <c r="H85" s="150">
        <f t="shared" si="56"/>
        <v>0</v>
      </c>
      <c r="I85" s="150">
        <f t="shared" si="56"/>
        <v>0</v>
      </c>
      <c r="J85" s="150">
        <f t="shared" si="56"/>
        <v>0</v>
      </c>
      <c r="K85" s="150">
        <f t="shared" si="56"/>
        <v>0</v>
      </c>
      <c r="L85" s="150">
        <f t="shared" si="56"/>
        <v>0</v>
      </c>
      <c r="M85" s="150">
        <f t="shared" si="56"/>
        <v>-545266.37</v>
      </c>
      <c r="N85" s="150">
        <f t="shared" si="56"/>
        <v>-665692.86</v>
      </c>
      <c r="O85" s="150">
        <f t="shared" si="56"/>
        <v>-185925.14558323054</v>
      </c>
    </row>
  </sheetData>
  <mergeCells count="3">
    <mergeCell ref="A1:P1"/>
    <mergeCell ref="A2:P2"/>
    <mergeCell ref="A3:P3"/>
  </mergeCells>
  <printOptions horizontalCentered="1"/>
  <pageMargins left="0.17" right="0.16" top="0.42" bottom="0.46" header="0.3" footer="0.3"/>
  <pageSetup scale="90" orientation="portrait" r:id="rId1"/>
  <headerFooter>
    <oddFooter>&amp;L&amp;F / &amp;A</oddFooter>
  </headerFooter>
  <rowBreaks count="1" manualBreakCount="1">
    <brk id="54" max="15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5E2AA379E88449A4F511BF799667C" ma:contentTypeVersion="119" ma:contentTypeDescription="" ma:contentTypeScope="" ma:versionID="bb6eb7831c5f97d5faa43925b617fe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2015-11-25T08:00:00+00:00</OpenedDate>
    <SignificantOrder xmlns="dc463f71-b30c-4ab2-9473-d307f9d35888">false</SignificantOrder>
    <Date1 xmlns="dc463f71-b30c-4ab2-9473-d307f9d35888">2021-08-10T07:00:00+00:00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152253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231E04-F425-49A2-9E04-6AB735EB20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2DF4D3-CF26-4DDF-8766-8BFF6BDDDB4C}"/>
</file>

<file path=customXml/itemProps3.xml><?xml version="1.0" encoding="utf-8"?>
<ds:datastoreItem xmlns:ds="http://schemas.openxmlformats.org/officeDocument/2006/customXml" ds:itemID="{DA75528C-4110-4315-B263-A9C770FBF7A4}"/>
</file>

<file path=customXml/itemProps4.xml><?xml version="1.0" encoding="utf-8"?>
<ds:datastoreItem xmlns:ds="http://schemas.openxmlformats.org/officeDocument/2006/customXml" ds:itemID="{1C155AC4-DE3E-478D-93E0-15F570B1117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UE-150204 Decoupling Base</vt:lpstr>
      <vt:lpstr>TY Normalized Usage by Month</vt:lpstr>
      <vt:lpstr>Attachment 4, Page 1</vt:lpstr>
      <vt:lpstr>Attachment 4, Page 2</vt:lpstr>
      <vt:lpstr>Attachment 4, Page 3</vt:lpstr>
      <vt:lpstr>Attachment 4, Page 4</vt:lpstr>
      <vt:lpstr>EDWA 3% test</vt:lpstr>
      <vt:lpstr>Deferral Calc</vt:lpstr>
      <vt:lpstr>December Base Rate Revenue</vt:lpstr>
      <vt:lpstr>November Base Rate Revenue</vt:lpstr>
      <vt:lpstr>October Base Rate Revenue</vt:lpstr>
      <vt:lpstr>September Base Rate Revenue</vt:lpstr>
      <vt:lpstr>August Base Rate Revenue</vt:lpstr>
      <vt:lpstr>July Base Rate Revenue</vt:lpstr>
      <vt:lpstr>June Base Rate Revenue</vt:lpstr>
      <vt:lpstr>May Base Rate Revenue</vt:lpstr>
      <vt:lpstr>Apr Base Rate Revenue</vt:lpstr>
      <vt:lpstr>Mar Base Rate Revenue</vt:lpstr>
      <vt:lpstr>Feb Base Rate Revenue</vt:lpstr>
      <vt:lpstr>Jan Base Rate Revenue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Meredith, Robert</cp:lastModifiedBy>
  <cp:lastPrinted>2019-01-03T22:26:29Z</cp:lastPrinted>
  <dcterms:created xsi:type="dcterms:W3CDTF">2013-02-28T17:31:50Z</dcterms:created>
  <dcterms:modified xsi:type="dcterms:W3CDTF">2021-02-12T23:56:12Z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0x0101006E56B4D1795A2E4DB2F0B01679ED314A007595E2AA379E88449A4F511BF799667C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