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91EB7776-21FD-4C12-A77A-DABA2A49207C}" xr6:coauthVersionLast="45" xr6:coauthVersionMax="45" xr10:uidLastSave="{00000000-0000-0000-0000-000000000000}"/>
  <bookViews>
    <workbookView xWindow="-108" yWindow="-108" windowWidth="19416" windowHeight="10416" firstSheet="2" activeTab="2" xr2:uid="{00000000-000D-0000-FFFF-FFFF00000000}"/>
  </bookViews>
  <sheets>
    <sheet name="TY Normalized Usage by Month" sheetId="20" r:id="rId1"/>
    <sheet name="Conversion Factor" sheetId="23" r:id="rId2"/>
    <sheet name="Attachment 4, Page 1" sheetId="15" r:id="rId3"/>
    <sheet name="Attachment 4, Page 2" sheetId="16" r:id="rId4"/>
    <sheet name="Attachment 4, Page 3" sheetId="18" r:id="rId5"/>
    <sheet name="Acerno_Cache_XXXXX" sheetId="36" state="veryHidden" r:id="rId6"/>
    <sheet name="Deferral Calc" sheetId="24" r:id="rId7"/>
    <sheet name="December Base Rate Revenue" sheetId="37" r:id="rId8"/>
    <sheet name="November Base Rate Revenue" sheetId="35" r:id="rId9"/>
    <sheet name="October Base Rate Revenue" sheetId="34" r:id="rId10"/>
    <sheet name="September Base Rate Revenue" sheetId="33" r:id="rId11"/>
    <sheet name="August Base Rate Revenue" sheetId="32" r:id="rId12"/>
    <sheet name="July Base Rate Revenue" sheetId="31" r:id="rId13"/>
    <sheet name="June Base Rate Revenue" sheetId="30" r:id="rId14"/>
    <sheet name="May Base Rate Revenue" sheetId="29" r:id="rId15"/>
    <sheet name="Apr Base Rate Revenue" sheetId="28" r:id="rId16"/>
    <sheet name="Mar Base Rate Revenue" sheetId="27" r:id="rId17"/>
    <sheet name="Feb Base Rate Revenue" sheetId="26" r:id="rId18"/>
    <sheet name="Jan Base Rate Revenue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6" hidden="1">#REF!</definedName>
    <definedName name="__123Graph_D" localSheetId="17" hidden="1">#REF!</definedName>
    <definedName name="__123Graph_D" hidden="1">#REF!</definedName>
    <definedName name="__123Graph_ECURRENT" localSheetId="6" hidden="1">[1]ConsolidatingPL!#REF!</definedName>
    <definedName name="__123Graph_ECURRENT" localSheetId="1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6">[4]BS!#REF!</definedName>
    <definedName name="__Feb04" localSheetId="17">[4]BS!#REF!</definedName>
    <definedName name="__Feb04">[4]BS!#REF!</definedName>
    <definedName name="__Jan04" localSheetId="6">[4]BS!#REF!</definedName>
    <definedName name="__Jan04" localSheetId="17">[4]BS!#REF!</definedName>
    <definedName name="__Jan04">[4]BS!#REF!</definedName>
    <definedName name="__Jul04">[3]BS!$X$7:$X$3582</definedName>
    <definedName name="__Jun04">[3]BS!$W$7:$W$3582</definedName>
    <definedName name="__Mar04" localSheetId="6">[4]BS!#REF!</definedName>
    <definedName name="__Mar04" localSheetId="17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6">[5]DT_A_DOL93!#REF!</definedName>
    <definedName name="_1_94_12_94" localSheetId="17">[5]DT_A_DOL93!#REF!</definedName>
    <definedName name="_1_94_12_94">[5]DT_A_DOL93!#REF!</definedName>
    <definedName name="_1_95_12_95" localSheetId="6">[5]DT_A_DOL93!#REF!</definedName>
    <definedName name="_1_95_12_95" localSheetId="17">[5]DT_A_DOL93!#REF!</definedName>
    <definedName name="_1_95_12_95">[5]DT_A_DOL93!#REF!</definedName>
    <definedName name="_1_96_12_96" localSheetId="6">[5]DT_A_DOL93!#REF!</definedName>
    <definedName name="_1_96_12_96" localSheetId="17">[5]DT_A_DOL93!#REF!</definedName>
    <definedName name="_1_96_12_96">[5]DT_A_DOL93!#REF!</definedName>
    <definedName name="_1_97_12_97" localSheetId="6">[5]DT_A_DOL93!#REF!</definedName>
    <definedName name="_1_97_12_97" localSheetId="17">[5]DT_A_DOL93!#REF!</definedName>
    <definedName name="_1_97_12_97">[5]DT_A_DOL93!#REF!</definedName>
    <definedName name="_1_98_12_98" localSheetId="6">[5]DT_A_DOL93!#REF!</definedName>
    <definedName name="_1_98_12_98" localSheetId="17">[5]DT_A_DOL93!#REF!</definedName>
    <definedName name="_1_98_12_98">[5]DT_A_DOL93!#REF!</definedName>
    <definedName name="_Apr04">[3]BS!$U$7:$U$3582</definedName>
    <definedName name="_Apr05" localSheetId="6">[6]BS!#REF!</definedName>
    <definedName name="_Apr05" localSheetId="17">[6]BS!#REF!</definedName>
    <definedName name="_Apr05">[6]BS!#REF!</definedName>
    <definedName name="_Aug04">[3]BS!$Y$7:$Y$3582</definedName>
    <definedName name="_Aug05" localSheetId="6">[6]BS!#REF!</definedName>
    <definedName name="_Aug05" localSheetId="17">[6]BS!#REF!</definedName>
    <definedName name="_Aug05">[6]BS!#REF!</definedName>
    <definedName name="_Dec03">[2]BS!$T$7:$T$3582</definedName>
    <definedName name="_Dec04">[3]BS!$AC$7:$AC$3580</definedName>
    <definedName name="_End" localSheetId="6">[6]BS!#REF!</definedName>
    <definedName name="_End" localSheetId="17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6">[6]BS!#REF!</definedName>
    <definedName name="_Feb05" localSheetId="17">[6]BS!#REF!</definedName>
    <definedName name="_Feb05">[6]BS!#REF!</definedName>
    <definedName name="_Fill" localSheetId="6">[7]model!#REF!</definedName>
    <definedName name="_Fill" localSheetId="17">[7]model!#REF!</definedName>
    <definedName name="_Fill">[7]model!#REF!</definedName>
    <definedName name="_Jan04">[3]BS!$R$7:$R$3582</definedName>
    <definedName name="_Jan05" localSheetId="6">[6]BS!#REF!</definedName>
    <definedName name="_Jan05" localSheetId="17">[6]BS!#REF!</definedName>
    <definedName name="_Jan05">[6]BS!#REF!</definedName>
    <definedName name="_Jul04">[3]BS!$X$7:$X$3582</definedName>
    <definedName name="_Jul05" localSheetId="6">[6]BS!#REF!</definedName>
    <definedName name="_Jul05" localSheetId="17">[6]BS!#REF!</definedName>
    <definedName name="_Jul05">[6]BS!#REF!</definedName>
    <definedName name="_Jun04">[3]BS!$W$7:$W$3582</definedName>
    <definedName name="_Jun05" localSheetId="6">[6]BS!#REF!</definedName>
    <definedName name="_Jun05" localSheetId="17">[6]BS!#REF!</definedName>
    <definedName name="_Jun05">[6]BS!#REF!</definedName>
    <definedName name="_Key1" localSheetId="6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17" hidden="1">#REF!</definedName>
    <definedName name="_Key2" hidden="1">#REF!</definedName>
    <definedName name="_Mar04">[3]BS!$T$7:$T$3582</definedName>
    <definedName name="_Mar05" localSheetId="6">[6]BS!#REF!</definedName>
    <definedName name="_Mar05" localSheetId="17">[6]BS!#REF!</definedName>
    <definedName name="_Mar05">[6]BS!#REF!</definedName>
    <definedName name="_May04">[3]BS!$V$7:$V$3582</definedName>
    <definedName name="_May05" localSheetId="6">[6]BS!#REF!</definedName>
    <definedName name="_May05" localSheetId="17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6">[6]BS!#REF!</definedName>
    <definedName name="_Sep05" localSheetId="17">[6]BS!#REF!</definedName>
    <definedName name="_Sep05">[6]BS!#REF!</definedName>
    <definedName name="_six6" hidden="1">{#N/A,#N/A,FALSE,"CRPT";#N/A,#N/A,FALSE,"TREND";#N/A,#N/A,FALSE,"%Curve"}</definedName>
    <definedName name="_Sort" localSheetId="6" hidden="1">#REF!</definedName>
    <definedName name="_Sort" localSheetId="1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6">#REF!</definedName>
    <definedName name="apeek" localSheetId="17">#REF!</definedName>
    <definedName name="apeek">#REF!</definedName>
    <definedName name="Apr03AMA" localSheetId="6">[4]BS!#REF!</definedName>
    <definedName name="Apr03AMA" localSheetId="17">[4]BS!#REF!</definedName>
    <definedName name="Apr03AMA">[4]BS!#REF!</definedName>
    <definedName name="Apr04AMA">[3]BS!$AG$7:$AG$3582</definedName>
    <definedName name="Apr05AMA" localSheetId="6">[6]BS!#REF!</definedName>
    <definedName name="Apr05AMA" localSheetId="17">[6]BS!#REF!</definedName>
    <definedName name="Apr05AMA">[6]BS!#REF!</definedName>
    <definedName name="AS2DocOpenMode" hidden="1">"AS2DocumentEdit"</definedName>
    <definedName name="Aug03AMA" localSheetId="6">[4]BS!#REF!</definedName>
    <definedName name="Aug03AMA" localSheetId="17">[4]BS!#REF!</definedName>
    <definedName name="Aug03AMA">[4]BS!#REF!</definedName>
    <definedName name="Aug04AMA">[3]BS!$AK$7:$AK$3582</definedName>
    <definedName name="Aug05AMA" localSheetId="6">[6]BS!#REF!</definedName>
    <definedName name="Aug05AMA" localSheetId="17">[6]BS!#REF!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 localSheetId="6">[7]model!#REF!</definedName>
    <definedName name="BADDEBT" localSheetId="17">[7]model!#REF!</definedName>
    <definedName name="BADDEBT">[7]model!#REF!</definedName>
    <definedName name="Base1_Billing2">'[9]2013'!$N$8</definedName>
    <definedName name="BD" localSheetId="6">[10]model!#REF!</definedName>
    <definedName name="BD" localSheetId="17">[10]model!#REF!</definedName>
    <definedName name="BD">[10]model!#REF!</definedName>
    <definedName name="BEP" localSheetId="6">[7]model!#REF!</definedName>
    <definedName name="BEP" localSheetId="17">[7]model!#REF!</definedName>
    <definedName name="BEP">[7]model!#REF!</definedName>
    <definedName name="BEx0017DGUEDPCFJUPUZOOLJCS2B" localSheetId="6" hidden="1">#REF!</definedName>
    <definedName name="BEx0017DGUEDPCFJUPUZOOLJCS2B" localSheetId="1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1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17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17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17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17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17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17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17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17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17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17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17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17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17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17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17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17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17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17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17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17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17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17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17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17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17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17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17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17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17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17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17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17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17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17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17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17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17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17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17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17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17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17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17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17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17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17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17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17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17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17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17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17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17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17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17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17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17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17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17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17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17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17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17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17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17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17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17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17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17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17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17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17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17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17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17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17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17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17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17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17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17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17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17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17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17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17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17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17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17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17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17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17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17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17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17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17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17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17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17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17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17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17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17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17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17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17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17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17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17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17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17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17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17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17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17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17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17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17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17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17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17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17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17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17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17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17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17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17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17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17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17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17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17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17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17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17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17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17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17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17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17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17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17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17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17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17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17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17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17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17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17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17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17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17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17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17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17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17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17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17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17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17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17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17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17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17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17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17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17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17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17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17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17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17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17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17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17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17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17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17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17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17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17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17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17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17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17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17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17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17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17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17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17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17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17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17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17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17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17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17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17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17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17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17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17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17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17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17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17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17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17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17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17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17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17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17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17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17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17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17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17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17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17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17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17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17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17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17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17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17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17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17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17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17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17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17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17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17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17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17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17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17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17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17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17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17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17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17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17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17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17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17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17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17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17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17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17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17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17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17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17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17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17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17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17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17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17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17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17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17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17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17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17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17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17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17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17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17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17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17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17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17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17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17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17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17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17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17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17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17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17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17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17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17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17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17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17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17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17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17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17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17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17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17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17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17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17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17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17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17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17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17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17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17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17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17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17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17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17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17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17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17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17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17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17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17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17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17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17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17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17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17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17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17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17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17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17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17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17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17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17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17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17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17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17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17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17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17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17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17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17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17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17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17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17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17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17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17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17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17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17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17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17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17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17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17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17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17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17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17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17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17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17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17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17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17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17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17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17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17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17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17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17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17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17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17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17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17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17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17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17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17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17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17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17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17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17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17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17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17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17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17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17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17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17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17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17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17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17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17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17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17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17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17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17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17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17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17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17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17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17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17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17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17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17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17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17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17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17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17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17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17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17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17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17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17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17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17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17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17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17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17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17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17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17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17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17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17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17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17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17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17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17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17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17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17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17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17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17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17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17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17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17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17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17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17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17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17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17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17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17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17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17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17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17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17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17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17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17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17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17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17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17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17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17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17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17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17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17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17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17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17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17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17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17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17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17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17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17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17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17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17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17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17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17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17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17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17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17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17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17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17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17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17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17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17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17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17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17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17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17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17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17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17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17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17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17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17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17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17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17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17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17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17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17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17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17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17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17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17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17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17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17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17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17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17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17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17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17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17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17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17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17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17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17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17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17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17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17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17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17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17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17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17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17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17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17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17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17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17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17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17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17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17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17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17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17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17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17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17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17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17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17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17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17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17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17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17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17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17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17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17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17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17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17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17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17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17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17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17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17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17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17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17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17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17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17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17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17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17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17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17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17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17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17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17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17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17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17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17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17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17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17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17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17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17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17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17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17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17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17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17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17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17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17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17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17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17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17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17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17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17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17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17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17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17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17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17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17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17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17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17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17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17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17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17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17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17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17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17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17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17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17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17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17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17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17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17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17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17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17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17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17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17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17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17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17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17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17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17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17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17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17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17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17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17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17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17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17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17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17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17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17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17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17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17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17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17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17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17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17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17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17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17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17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17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17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17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17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17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17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17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17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17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17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17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17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17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17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17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17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17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17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17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17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17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17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17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17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17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17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17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17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17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17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17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17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17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17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17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17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17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17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17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17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17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17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17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17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17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17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17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17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17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17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17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17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17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17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17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17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17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17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17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17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17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17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17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17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17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17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17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17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17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17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17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17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17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17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17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17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17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17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17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17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17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17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17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17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17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17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17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17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17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17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17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17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17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17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17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17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17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17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17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17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17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17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17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17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17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17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17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17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17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17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17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17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17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17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17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17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17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17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17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17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17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17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17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17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17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17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17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17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17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17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17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17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17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17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17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17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17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17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17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17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17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17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17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17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17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17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17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17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17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17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17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17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17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17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17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17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17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17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17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17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17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17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17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17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17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17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17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17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17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17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17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17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17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17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17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17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17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17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17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17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17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17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17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17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17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17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17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17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17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17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17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17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17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17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17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17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17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17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17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17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17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17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17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17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17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17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17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17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17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17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17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17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17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17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17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17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17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17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17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17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17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17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17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17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17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17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17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17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17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17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17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17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17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17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17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17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17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17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17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17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17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17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17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17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17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17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17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17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17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17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17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17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17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17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17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17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17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17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17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17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17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17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17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17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17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17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17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17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17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17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17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17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17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17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17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17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17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17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17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17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17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17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17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17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17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17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17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17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17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17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17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17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17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17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17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17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17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17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17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17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17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17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17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17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17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17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17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17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17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17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17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17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17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17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17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17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17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17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17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17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17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17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17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17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17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17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17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17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17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17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17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17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17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17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17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17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17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17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17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17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17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17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17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17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17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17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17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17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17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17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17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17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17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17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17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17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17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17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17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17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17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17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17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17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17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17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17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17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17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17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17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17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17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17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17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17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17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17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17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17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17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17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17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17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17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17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17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17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17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17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17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17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17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17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17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17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17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17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17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17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17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17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17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17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17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17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17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17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17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17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17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17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17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17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17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17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17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17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17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17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17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17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17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17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17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17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17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17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17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17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17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17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17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17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17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17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17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17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17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17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17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17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17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17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17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17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17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17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17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17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17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17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17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17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17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17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17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17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17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17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17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17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17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17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17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17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17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17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17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17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17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17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17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17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17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17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17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17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17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17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17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17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17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17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17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17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17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17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17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17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17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17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17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17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17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17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17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17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17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17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17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17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17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17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17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17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17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17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17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17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17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17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17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17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17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17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17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17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17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17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17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17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17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17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17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17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17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17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17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17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17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17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17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17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17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17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17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17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17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17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17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17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17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17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17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17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17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17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17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17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17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17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17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17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17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17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17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17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17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17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17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17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17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17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17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17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17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17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17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17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17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17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17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17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17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17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17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17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17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17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17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17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17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17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17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17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17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17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17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17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17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17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17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17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17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17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17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17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17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17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17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17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17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17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17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17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17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17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17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17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17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17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17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17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17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17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17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17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17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17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17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17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17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17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17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17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17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17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17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17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17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17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17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17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17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17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17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17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17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17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17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17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17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17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17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17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17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17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17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17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17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17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17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17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17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17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17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17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17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17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17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17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17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17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17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17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17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17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17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17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17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17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17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17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17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17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17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17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17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17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17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17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17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17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17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17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17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17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17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17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17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17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17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17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17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17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17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17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17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17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17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17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17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17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17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17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17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17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17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17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17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17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17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17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17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17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17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17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17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17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17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17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17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17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17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17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17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17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17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17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17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17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17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17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17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17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17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17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17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17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17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17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17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17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17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17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17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17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17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17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17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17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17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17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17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17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17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17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17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17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17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17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17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17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17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17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17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17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17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17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17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17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17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17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17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17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17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17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17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17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17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17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17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17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17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17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17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17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17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17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17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17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17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17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17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17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17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17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17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17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17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17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17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17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17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17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17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17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17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17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17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17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17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17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17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17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17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17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17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17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17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17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17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17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17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17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17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17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17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17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17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17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17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17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17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17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17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17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17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17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17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17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17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17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17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17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17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17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17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17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17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17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17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17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17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17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17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17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17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17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17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17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17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17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17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17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17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17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17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17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17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17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17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17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17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17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17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17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17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17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17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17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17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17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17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17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17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17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17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17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17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17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17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17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17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17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17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17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17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17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17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17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17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17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17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17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17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17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17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17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17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17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17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17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17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17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17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17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17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17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17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17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17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17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17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17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17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17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17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17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17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17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17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17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17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17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17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17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17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17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17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17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17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17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17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17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17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17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17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17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17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17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17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17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17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17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17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17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17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17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17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17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17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17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17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17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17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17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17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17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17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17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17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17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17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17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17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17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17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17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17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17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17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17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17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17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17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17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17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17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17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17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17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17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17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17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17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17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17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17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17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17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17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17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17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17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17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17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17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17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17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17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17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17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17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17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17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17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17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17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17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17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17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17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17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17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17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17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17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17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17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17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17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17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17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17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17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17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17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17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17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17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17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17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17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17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17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17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17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17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17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17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17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17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17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17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17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17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17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17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17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17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17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17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17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17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17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17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17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17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17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17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17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17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17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17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17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17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17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17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17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17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17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17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17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17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17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17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17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17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17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17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17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17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17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17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17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17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17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17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17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17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17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17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17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17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17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17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17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17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17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17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17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17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17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17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17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17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17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17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17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17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17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17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17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17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17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17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17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17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17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17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17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17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17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17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17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17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17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17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17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17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17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17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17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17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17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17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17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17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17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17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17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17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17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17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17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17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17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17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17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17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17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17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17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17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17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17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17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17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17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17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17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17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17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17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17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17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17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17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17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17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17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17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17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17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17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17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17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17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17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17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17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17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17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17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17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17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17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17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17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17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17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17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17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17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17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17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17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17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17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17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17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17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17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17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17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17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17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17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17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17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17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17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17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17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17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17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17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17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17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17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17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17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17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17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17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17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17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17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17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17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17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17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17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17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17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17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17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17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17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17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17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17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17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17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17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17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17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17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17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17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17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17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17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17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17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17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17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17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17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17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17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17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17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17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17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17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17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17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17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17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17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17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17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17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17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17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17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17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17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17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17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17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17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17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17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17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17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17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17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17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17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17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17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17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17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17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17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17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17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17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17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17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17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17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17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17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17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17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17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17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17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17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17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17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17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17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17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17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17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17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17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17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17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17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17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17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17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17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17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17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17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17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17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17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17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17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17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17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17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17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17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17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17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17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17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17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17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17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17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17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17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17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17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17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17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17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17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17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17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17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17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17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17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17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17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17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17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17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17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17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17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17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17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17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17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17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17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17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17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17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17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17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17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17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17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17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17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17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17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17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17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17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17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17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17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17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17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17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17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17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17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17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17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17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17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17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17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17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17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17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17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17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17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17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17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17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17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17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17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17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17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17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17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17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17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17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17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17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17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17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17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17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17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17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17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17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17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17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17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17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17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17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17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17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17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17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17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17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17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17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17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17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17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17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17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17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17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17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17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17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17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17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17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17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17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17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17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17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17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17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17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17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17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17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17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17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17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17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17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17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17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17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17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17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17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17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17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17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17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17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17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17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17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17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17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17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17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17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17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17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17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17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17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17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17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17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17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17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17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17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17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17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17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17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17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17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17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17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17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17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17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17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17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17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17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17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17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17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17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17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17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17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17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17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17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17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17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17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17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17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17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17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17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17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17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17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17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17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17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17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17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17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17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17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17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17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17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17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17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17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17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17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17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17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17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17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17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17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17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17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17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17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17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17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17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17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17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17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17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17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17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17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17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17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17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17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17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17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17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17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17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17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17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17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17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17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17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17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17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17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17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17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17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17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17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17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17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17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17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17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17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17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17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17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17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17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17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17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17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17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17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17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17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17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17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17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17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17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17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17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17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17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17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17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17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17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17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17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17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17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17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17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17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17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17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17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17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17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17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17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17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17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17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17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17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17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17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17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17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17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17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17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17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17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17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17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17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17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17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17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17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17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17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17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17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17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17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17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17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17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17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17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17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17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17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17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17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17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17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17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17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17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17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17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17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17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17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17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17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17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17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17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17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17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17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17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17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17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17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17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17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17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17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17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17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17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17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17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17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17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17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17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17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17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17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17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17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17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17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17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17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17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17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17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17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17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17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17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17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17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17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17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17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17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17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17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17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17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17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17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17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17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17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17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17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17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17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17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17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17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17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17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17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17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17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17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17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17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17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17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17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17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17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17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17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17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17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17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17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17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17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17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17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17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17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17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17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17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17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17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17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17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17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17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17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17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17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17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17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17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17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17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17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17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17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17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17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17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17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17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17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17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17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17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17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17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17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17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17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17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17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17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17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17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17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17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17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17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17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17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17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17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17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17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17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17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17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17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17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17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17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17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17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17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17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17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17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17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17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17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17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17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17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17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17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17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17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17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17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17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17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17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17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17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17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17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17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17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17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17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17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17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17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17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17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17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17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17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17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17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17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17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17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17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17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17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17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17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17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17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17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17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17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17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17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17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17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17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17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17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17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17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17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17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17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17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17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17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17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17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17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17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17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17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17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17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17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17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17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17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17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17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17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17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17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17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17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17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17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17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17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17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17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17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17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17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17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17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17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17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17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17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17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17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17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17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17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17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17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17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17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17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17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17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17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17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17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17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17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17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17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17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17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17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17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17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17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17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17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17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17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17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17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17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17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17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17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17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17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17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17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17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17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17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17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17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17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17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17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17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17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17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17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17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17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17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17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17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17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17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17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17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17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17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17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17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17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17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17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17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17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17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17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17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17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17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17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17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17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17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17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17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17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17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17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17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17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17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17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17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17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17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17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17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17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17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17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17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17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17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17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17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17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17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17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17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17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17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17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17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17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17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17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17" hidden="1">#REF!</definedName>
    <definedName name="BExZZZEMIIFKMLLV4DJKX5TB9R5V" hidden="1">#REF!</definedName>
    <definedName name="BottomRight" localSheetId="6">#REF!</definedName>
    <definedName name="BottomRight" localSheetId="17">#REF!</definedName>
    <definedName name="BottomRight">#REF!</definedName>
    <definedName name="Capacity" localSheetId="6">#REF!</definedName>
    <definedName name="Capacity" localSheetId="17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6">#REF!</definedName>
    <definedName name="CL_RT" localSheetId="17">#REF!</definedName>
    <definedName name="CL_RT">#REF!</definedName>
    <definedName name="CL_RT2">'[11]Transp Data'!$A$6:$C$81</definedName>
    <definedName name="COLHOUSE" localSheetId="6">[7]model!#REF!</definedName>
    <definedName name="COLHOUSE" localSheetId="17">[7]model!#REF!</definedName>
    <definedName name="COLHOUSE">[7]model!#REF!</definedName>
    <definedName name="COLXFER" localSheetId="6">[7]model!#REF!</definedName>
    <definedName name="COLXFER" localSheetId="17">[7]model!#REF!</definedName>
    <definedName name="COLXFER">[7]model!#REF!</definedName>
    <definedName name="CombWC_LineItem" localSheetId="6">[6]BS!#REF!</definedName>
    <definedName name="CombWC_LineItem" localSheetId="17">[6]BS!#REF!</definedName>
    <definedName name="CombWC_LineItem">[6]BS!#REF!</definedName>
    <definedName name="COMMON_ADMIN_ALLOCATED" localSheetId="6">#REF!</definedName>
    <definedName name="COMMON_ADMIN_ALLOCATED" localSheetId="17">#REF!</definedName>
    <definedName name="COMMON_ADMIN_ALLOCATED">#REF!</definedName>
    <definedName name="COMPINSR" localSheetId="6">#REF!</definedName>
    <definedName name="COMPINSR" localSheetId="17">#REF!</definedName>
    <definedName name="COMPINSR">#REF!</definedName>
    <definedName name="CONSERV" localSheetId="6">#REF!</definedName>
    <definedName name="CONSERV" localSheetId="17">#REF!</definedName>
    <definedName name="CONSERV">#REF!</definedName>
    <definedName name="Consv_Rdr_Rt" localSheetId="6">[12]Sch_120!#REF!</definedName>
    <definedName name="Consv_Rdr_Rt" localSheetId="17">[12]Sch_120!#REF!</definedName>
    <definedName name="Consv_Rdr_Rt">[12]Sch_120!#REF!</definedName>
    <definedName name="ContractDate" localSheetId="6">'[13]Dispatch Cases'!#REF!</definedName>
    <definedName name="ContractDate" localSheetId="17">'[13]Dispatch Cases'!#REF!</definedName>
    <definedName name="ContractDate">'[13]Dispatch Cases'!#REF!</definedName>
    <definedName name="Conv_Factor" localSheetId="6">[12]Sch_120!#REF!</definedName>
    <definedName name="Conv_Factor" localSheetId="17">[12]Sch_120!#REF!</definedName>
    <definedName name="Conv_Factor">[12]Sch_120!#REF!</definedName>
    <definedName name="ConversionFactor">[8]Assumptions!$I$65</definedName>
    <definedName name="CONVFACT" localSheetId="6">#REF!</definedName>
    <definedName name="CONVFACT" localSheetId="17">#REF!</definedName>
    <definedName name="CONVFACT">#REF!</definedName>
    <definedName name="CurrQtr">'[14]Inc Stmt'!$AJ$222</definedName>
    <definedName name="cust" localSheetId="6">#REF!</definedName>
    <definedName name="cust" localSheetId="17">#REF!</definedName>
    <definedName name="cust">#REF!</definedName>
    <definedName name="CUSTDEP" localSheetId="6">#REF!</definedName>
    <definedName name="CUSTDEP" localSheetId="17">#REF!</definedName>
    <definedName name="CUSTDEP">#REF!</definedName>
    <definedName name="Data" localSheetId="6">#REF!</definedName>
    <definedName name="Data" localSheetId="17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 localSheetId="6">[4]BS!#REF!</definedName>
    <definedName name="Dec02AMA" localSheetId="17">[4]BS!#REF!</definedName>
    <definedName name="Dec02AMA">[4]BS!#REF!</definedName>
    <definedName name="Dec03AMA">[2]BS!$AJ$7:$AJ$3582</definedName>
    <definedName name="Dec04AMA">[3]BS!$AO$7:$AO$3582</definedName>
    <definedName name="Degree_Days" localSheetId="6">#REF!</definedName>
    <definedName name="Degree_Days" localSheetId="17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 localSheetId="17">#REF!</definedName>
    <definedName name="DEPRECIATION">#REF!</definedName>
    <definedName name="DF_HeatRate">[8]Assumptions!$L$23</definedName>
    <definedName name="DFIT" hidden="1">{#N/A,#N/A,FALSE,"Coversheet";#N/A,#N/A,FALSE,"QA"}</definedName>
    <definedName name="Disc" localSheetId="6">'[13]Debt Amortization'!#REF!</definedName>
    <definedName name="Disc" localSheetId="17">'[13]Debt Amortization'!#REF!</definedName>
    <definedName name="Disc">'[13]Debt Amortization'!#REF!</definedName>
    <definedName name="DOCKET" localSheetId="6">#REF!</definedName>
    <definedName name="DOCKET" localSheetId="17">#REF!</definedName>
    <definedName name="DOCKET">#REF!</definedName>
    <definedName name="ee" hidden="1">{#N/A,#N/A,FALSE,"Month ";#N/A,#N/A,FALSE,"YTD";#N/A,#N/A,FALSE,"12 mo ended"}</definedName>
    <definedName name="Electp1" localSheetId="6">#REF!</definedName>
    <definedName name="Electp1" localSheetId="17">#REF!</definedName>
    <definedName name="Electp1">#REF!</definedName>
    <definedName name="Electp2" localSheetId="6">#REF!</definedName>
    <definedName name="Electp2" localSheetId="17">#REF!</definedName>
    <definedName name="Electp2">#REF!</definedName>
    <definedName name="Electric_Prices">'[15]Monthly Price Summary'!$B$4:$E$27</definedName>
    <definedName name="ElecWC_LineItems" localSheetId="6">[6]BS!#REF!</definedName>
    <definedName name="ElecWC_LineItems" localSheetId="17">[6]BS!#REF!</definedName>
    <definedName name="ElecWC_LineItems">[6]BS!#REF!</definedName>
    <definedName name="ElRBLine">[3]BS!$AQ$7:$AQ$3303</definedName>
    <definedName name="EMPLBENE" localSheetId="6">#REF!</definedName>
    <definedName name="EMPLBENE" localSheetId="17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 localSheetId="6">#REF!</definedName>
    <definedName name="FACTORS" localSheetId="17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[4]BS!#REF!</definedName>
    <definedName name="Feb03AMA" localSheetId="17">[4]BS!#REF!</definedName>
    <definedName name="Feb03AMA">[4]BS!#REF!</definedName>
    <definedName name="Feb04AMA">[3]BS!$AE$7:$AE$3582</definedName>
    <definedName name="Feb05AMA" localSheetId="6">[6]BS!#REF!</definedName>
    <definedName name="Feb05AMA" localSheetId="17">[6]BS!#REF!</definedName>
    <definedName name="Feb05AMA">[6]BS!#REF!</definedName>
    <definedName name="Fed_Cap_Tax">[16]Inputs!$E$112</definedName>
    <definedName name="FEDERAL_INCOME_TAX" localSheetId="6">#REF!</definedName>
    <definedName name="FEDERAL_INCOME_TAX" localSheetId="17">#REF!</definedName>
    <definedName name="FEDERAL_INCOME_TAX">#REF!</definedName>
    <definedName name="FedTaxRate">[8]Assumptions!$C$33</definedName>
    <definedName name="FF" localSheetId="6">#REF!</definedName>
    <definedName name="FF" localSheetId="1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7">#REF!</definedName>
    <definedName name="FIELDCHRG">#REF!</definedName>
    <definedName name="Final" localSheetId="6">#REF!</definedName>
    <definedName name="Final" localSheetId="17">#REF!</definedName>
    <definedName name="Final">#REF!</definedName>
    <definedName name="FIT" localSheetId="6">'[17]2.29'!#REF!</definedName>
    <definedName name="FIT" localSheetId="17">'[17]2.29'!#REF!</definedName>
    <definedName name="FIT">'[17]2.29'!#REF!</definedName>
    <definedName name="Fuel" localSheetId="6">#REF!</definedName>
    <definedName name="Fuel" localSheetId="17">#REF!</definedName>
    <definedName name="Fuel">#REF!</definedName>
    <definedName name="GasRBLine">[3]BS!$AS$7:$AS$3631</definedName>
    <definedName name="GasWC_LineItem">[3]BS!$AR$7:$AR$3631</definedName>
    <definedName name="GeoDate" localSheetId="6">'[13]Dispatch Cases'!#REF!</definedName>
    <definedName name="GeoDate" localSheetId="17">'[13]Dispatch Cases'!#REF!</definedName>
    <definedName name="GeoDate">'[13]Dispatch Cases'!#REF!</definedName>
    <definedName name="graph" localSheetId="6">#REF!</definedName>
    <definedName name="graph" localSheetId="1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6">#REF!</definedName>
    <definedName name="HydroCap" localSheetId="17">#REF!</definedName>
    <definedName name="HydroCap">#REF!</definedName>
    <definedName name="HydroGen" localSheetId="6">[13]Dispatch!#REF!</definedName>
    <definedName name="HydroGen" localSheetId="17">[13]Dispatch!#REF!</definedName>
    <definedName name="HydroGen">[13]Dispatch!#REF!</definedName>
    <definedName name="inact" localSheetId="6">#REF!</definedName>
    <definedName name="inact" localSheetId="17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6">#REF!</definedName>
    <definedName name="INCSTMNT" localSheetId="17">#REF!</definedName>
    <definedName name="INCSTMNT">#REF!</definedName>
    <definedName name="INCSTMT" localSheetId="6">#REF!</definedName>
    <definedName name="INCSTMT" localSheetId="17">#REF!</definedName>
    <definedName name="INCSTMT">#REF!</definedName>
    <definedName name="Inputs" localSheetId="6">'[18]Daily Calc'!#REF!</definedName>
    <definedName name="Inputs" localSheetId="17">'[18]Daily Calc'!#REF!</definedName>
    <definedName name="Inputs">'[18]Daily Calc'!#REF!</definedName>
    <definedName name="INTRESEXCH" localSheetId="6">#REF!</definedName>
    <definedName name="INTRESEXCH" localSheetId="17">#REF!</definedName>
    <definedName name="INTRESEXCH">#REF!</definedName>
    <definedName name="INVPLAN" localSheetId="6">#REF!</definedName>
    <definedName name="INVPLAN" localSheetId="17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[4]BS!#REF!</definedName>
    <definedName name="Jan03AMA" localSheetId="17">[4]BS!#REF!</definedName>
    <definedName name="Jan03AMA">[4]BS!#REF!</definedName>
    <definedName name="Jan04AMA">[3]BS!$AD$7:$AD$3582</definedName>
    <definedName name="Jan05AMA" localSheetId="6">[6]BS!#REF!</definedName>
    <definedName name="Jan05AMA" localSheetId="17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[4]BS!#REF!</definedName>
    <definedName name="Jul03AMA" localSheetId="17">[4]BS!#REF!</definedName>
    <definedName name="Jul03AMA">[4]BS!#REF!</definedName>
    <definedName name="Jul04AMA">[3]BS!$AJ$7:$AJ$3582</definedName>
    <definedName name="Jul05AMA" localSheetId="6">[6]BS!#REF!</definedName>
    <definedName name="Jul05AMA" localSheetId="17">[6]BS!#REF!</definedName>
    <definedName name="Jul05AMA">[6]BS!#REF!</definedName>
    <definedName name="Jun03AMA" localSheetId="6">[4]BS!#REF!</definedName>
    <definedName name="Jun03AMA" localSheetId="17">[4]BS!#REF!</definedName>
    <definedName name="Jun03AMA">[4]BS!#REF!</definedName>
    <definedName name="Jun04AMA">[3]BS!$AI$7:$AI$3582</definedName>
    <definedName name="Jun05AMA" localSheetId="6">[6]BS!#REF!</definedName>
    <definedName name="Jun05AMA" localSheetId="17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6">#REF!</definedName>
    <definedName name="LATEPAY" localSheetId="17">#REF!</definedName>
    <definedName name="LATEPAY">#REF!</definedName>
    <definedName name="Line_10" localSheetId="6">#REF!</definedName>
    <definedName name="Line_10" localSheetId="17">#REF!</definedName>
    <definedName name="Line_10">#REF!</definedName>
    <definedName name="Line_11" localSheetId="6">#REF!</definedName>
    <definedName name="Line_11" localSheetId="17">#REF!</definedName>
    <definedName name="Line_11">#REF!</definedName>
    <definedName name="Line_12" localSheetId="6">#REF!</definedName>
    <definedName name="Line_12" localSheetId="17">#REF!</definedName>
    <definedName name="Line_12">#REF!</definedName>
    <definedName name="line_14" localSheetId="6">#REF!</definedName>
    <definedName name="line_14" localSheetId="17">#REF!</definedName>
    <definedName name="line_14">#REF!</definedName>
    <definedName name="Line_15" localSheetId="6">#REF!</definedName>
    <definedName name="Line_15" localSheetId="17">#REF!</definedName>
    <definedName name="Line_15">#REF!</definedName>
    <definedName name="Line_19" localSheetId="6">#REF!</definedName>
    <definedName name="Line_19" localSheetId="17">#REF!</definedName>
    <definedName name="Line_19">#REF!</definedName>
    <definedName name="Line_22" localSheetId="6">#REF!</definedName>
    <definedName name="Line_22" localSheetId="17">#REF!</definedName>
    <definedName name="Line_22">#REF!</definedName>
    <definedName name="Line_23" localSheetId="6">#REF!</definedName>
    <definedName name="Line_23" localSheetId="17">#REF!</definedName>
    <definedName name="Line_23">#REF!</definedName>
    <definedName name="Line_25" localSheetId="6">#REF!</definedName>
    <definedName name="Line_25" localSheetId="17">#REF!</definedName>
    <definedName name="Line_25">#REF!</definedName>
    <definedName name="LoadArray">'[19]Load Source Data'!$C$78:$X$89</definedName>
    <definedName name="LoadGrowthAdder" localSheetId="6">#REF!</definedName>
    <definedName name="LoadGrowthAdder" localSheetId="17">#REF!</definedName>
    <definedName name="LoadGrowthAdder">#REF!</definedName>
    <definedName name="lookup" hidden="1">{#N/A,#N/A,FALSE,"Coversheet";#N/A,#N/A,FALSE,"QA"}</definedName>
    <definedName name="Mar03AMA" localSheetId="6">[4]BS!#REF!</definedName>
    <definedName name="Mar03AMA" localSheetId="17">[4]BS!#REF!</definedName>
    <definedName name="Mar03AMA">[4]BS!#REF!</definedName>
    <definedName name="Mar04AMA">[3]BS!$AF$7:$AF$3582</definedName>
    <definedName name="Mar05AMA" localSheetId="6">[6]BS!#REF!</definedName>
    <definedName name="Mar05AMA" localSheetId="17">[6]BS!#REF!</definedName>
    <definedName name="Mar05AMA">[6]BS!#REF!</definedName>
    <definedName name="May03AMA" localSheetId="6">[4]BS!#REF!</definedName>
    <definedName name="May03AMA" localSheetId="17">[4]BS!#REF!</definedName>
    <definedName name="May03AMA">[4]BS!#REF!</definedName>
    <definedName name="May04AMA">[3]BS!$AH$7:$AH$3582</definedName>
    <definedName name="May05AMA" localSheetId="6">[6]BS!#REF!</definedName>
    <definedName name="May05AMA" localSheetId="17">[6]BS!#REF!</definedName>
    <definedName name="May05AMA">[6]BS!#REF!</definedName>
    <definedName name="MERGER_COST">[20]Sheet1!$AF$3:$AJ$28</definedName>
    <definedName name="MERGERCOSTS" localSheetId="6">[21]model!#REF!</definedName>
    <definedName name="MERGERCOSTS" localSheetId="17">[21]model!#REF!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 localSheetId="6">#REF!</definedName>
    <definedName name="MISCELLANEOUS" localSheetId="17">#REF!</definedName>
    <definedName name="MISCELLANEOUS">#REF!</definedName>
    <definedName name="MonTotalDispatch" localSheetId="6">[13]Dispatch!#REF!</definedName>
    <definedName name="MonTotalDispatch" localSheetId="17">[13]Dispatch!#REF!</definedName>
    <definedName name="MonTotalDispatch">[13]Dispatch!#REF!</definedName>
    <definedName name="MT" localSheetId="6">#REF!</definedName>
    <definedName name="MT" localSheetId="17">#REF!</definedName>
    <definedName name="MT">#REF!</definedName>
    <definedName name="MTD_Format">[22]Mthly!$B$11:$D$11,[22]Mthly!$B$32:$D$32</definedName>
    <definedName name="MustRunGen" localSheetId="6">[13]Dispatch!#REF!</definedName>
    <definedName name="MustRunGen" localSheetId="17">[13]Dispatch!#REF!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6">[5]DT_A_AMW93!#REF!</definedName>
    <definedName name="NWSales_MWH" localSheetId="17">[5]DT_A_AMW93!#REF!</definedName>
    <definedName name="NWSales_MWH">[5]DT_A_AMW93!#REF!</definedName>
    <definedName name="OBCLEASE" localSheetId="6">#REF!</definedName>
    <definedName name="OBCLEASE" localSheetId="17">#REF!</definedName>
    <definedName name="OBCLEASE">#REF!</definedName>
    <definedName name="Oct03AMA">[2]BS!$AH$7:$AH$3582</definedName>
    <definedName name="Oct04AMA">[3]BS!$AM$7:$AM$3582</definedName>
    <definedName name="OPEXPPF" localSheetId="6">#REF!</definedName>
    <definedName name="OPEXPPF" localSheetId="17">#REF!</definedName>
    <definedName name="OPEXPPF">#REF!</definedName>
    <definedName name="OPEXPRS" localSheetId="6">#REF!</definedName>
    <definedName name="OPEXPRS" localSheetId="17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 localSheetId="17">#REF!</definedName>
    <definedName name="Page1">#REF!</definedName>
    <definedName name="Page2" localSheetId="6">#REF!</definedName>
    <definedName name="Page2" localSheetId="17">#REF!</definedName>
    <definedName name="Page2">#REF!</definedName>
    <definedName name="PEBBLE" localSheetId="6">#REF!</definedName>
    <definedName name="PEBBLE" localSheetId="17">#REF!</definedName>
    <definedName name="PEBBLE">#REF!</definedName>
    <definedName name="Percent_debt">[16]Inputs!$E$129</definedName>
    <definedName name="PERCENTAGES_CALCULATED" localSheetId="6">#REF!</definedName>
    <definedName name="PERCENTAGES_CALCULATED" localSheetId="17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6">#REF!</definedName>
    <definedName name="PriceCaseTable" localSheetId="17">#REF!</definedName>
    <definedName name="PriceCaseTable">#REF!</definedName>
    <definedName name="Prices_Aurora">'[15]Monthly Price Summary'!$C$4:$H$63</definedName>
    <definedName name="_xlnm.Print_Area" localSheetId="2">'Attachment 4, Page 1'!$A$1:$K$34</definedName>
    <definedName name="_xlnm.Print_Area" localSheetId="3">'Attachment 4, Page 2'!$A$1:$E$17</definedName>
    <definedName name="_xlnm.Print_Area" localSheetId="6">'Deferral Calc'!$A$1:$P$65</definedName>
    <definedName name="_xlnm.Print_Area" localSheetId="17">'Feb Base Rate Revenue'!$A$1:$J$78</definedName>
    <definedName name="_xlnm.Print_Area" localSheetId="18">'Jan Base Rate Revenue'!$A$1:$J$78</definedName>
    <definedName name="_xlnm.Print_Area" localSheetId="9">'October Base Rate Revenue'!$A$1:$J$78</definedName>
    <definedName name="PRO_FORMA" localSheetId="6">#REF!</definedName>
    <definedName name="PRO_FORMA" localSheetId="17">#REF!</definedName>
    <definedName name="PRO_FORMA">#REF!</definedName>
    <definedName name="PRODADJ" localSheetId="6">#REF!</definedName>
    <definedName name="PRODADJ" localSheetId="17">#REF!</definedName>
    <definedName name="PRODADJ">#REF!</definedName>
    <definedName name="Prodprop" localSheetId="6">#REF!</definedName>
    <definedName name="Prodprop" localSheetId="17">#REF!</definedName>
    <definedName name="Prodprop">#REF!</definedName>
    <definedName name="Production_Factor" localSheetId="6">#REF!</definedName>
    <definedName name="Production_Factor" localSheetId="17">#REF!</definedName>
    <definedName name="Production_Factor">#REF!</definedName>
    <definedName name="PROPSALES" localSheetId="6">#REF!</definedName>
    <definedName name="PROPSALES" localSheetId="17">#REF!</definedName>
    <definedName name="PROPSALES">#REF!</definedName>
    <definedName name="Prov_Cap_Tax">[16]Inputs!$E$111</definedName>
    <definedName name="PSPL" localSheetId="6">#REF!</definedName>
    <definedName name="PSPL" localSheetId="17">#REF!</definedName>
    <definedName name="PSPL">#REF!</definedName>
    <definedName name="PWRCSTPF" localSheetId="6">#REF!</definedName>
    <definedName name="PWRCSTPF" localSheetId="17">#REF!</definedName>
    <definedName name="PWRCSTPF">#REF!</definedName>
    <definedName name="PWRCSTRS" localSheetId="6">#REF!</definedName>
    <definedName name="PWRCSTRS" localSheetId="17">#REF!</definedName>
    <definedName name="PWRCSTRS">#REF!</definedName>
    <definedName name="PWRCSTWP" localSheetId="6">#REF!</definedName>
    <definedName name="PWRCSTWP" localSheetId="17">#REF!</definedName>
    <definedName name="PWRCSTWP">#REF!</definedName>
    <definedName name="PWRCSTWR" localSheetId="6">#REF!</definedName>
    <definedName name="PWRCSTWR" localSheetId="17">#REF!</definedName>
    <definedName name="PWRCSTWR">#REF!</definedName>
    <definedName name="PXPACC1_ALL_MERGE" localSheetId="6">#REF!</definedName>
    <definedName name="PXPACC1_ALL_MERGE" localSheetId="17">#REF!</definedName>
    <definedName name="PXPACC1_ALL_MERGE">#REF!</definedName>
    <definedName name="q" hidden="1">{#N/A,#N/A,FALSE,"Coversheet";#N/A,#N/A,FALSE,"QA"}</definedName>
    <definedName name="QA" localSheetId="6">[24]IPOA2002!#REF!</definedName>
    <definedName name="QA" localSheetId="17">[24]IPOA2002!#REF!</definedName>
    <definedName name="QA">[24]IPOA2002!#REF!</definedName>
    <definedName name="qqq" hidden="1">{#N/A,#N/A,FALSE,"schA"}</definedName>
    <definedName name="RATE" localSheetId="6">#REF!</definedName>
    <definedName name="RATE" localSheetId="17">#REF!</definedName>
    <definedName name="RATE">#REF!</definedName>
    <definedName name="RATE2">'[11]Transp Data'!$A$8:$I$112</definedName>
    <definedName name="RATEBASE" localSheetId="6">#REF!</definedName>
    <definedName name="RATEBASE" localSheetId="17">#REF!</definedName>
    <definedName name="RATEBASE">#REF!</definedName>
    <definedName name="RATEBASE_U95" localSheetId="6">#REF!</definedName>
    <definedName name="RATEBASE_U95" localSheetId="17">#REF!</definedName>
    <definedName name="RATEBASE_U95">#REF!</definedName>
    <definedName name="RATECASE" localSheetId="6">#REF!</definedName>
    <definedName name="RATECASE" localSheetId="17">#REF!</definedName>
    <definedName name="RATECASE">#REF!</definedName>
    <definedName name="regasset" localSheetId="6">#REF!</definedName>
    <definedName name="regasset" localSheetId="17">#REF!</definedName>
    <definedName name="regasset">#REF!</definedName>
    <definedName name="resource_lookup">'[25]#REF'!$B$3:$C$112</definedName>
    <definedName name="RESTATING" localSheetId="6">#REF!</definedName>
    <definedName name="RESTATING" localSheetId="17">#REF!</definedName>
    <definedName name="RESTATING">#REF!</definedName>
    <definedName name="Results" localSheetId="6">#REF!</definedName>
    <definedName name="Results" localSheetId="17">#REF!</definedName>
    <definedName name="Results">#REF!</definedName>
    <definedName name="RETIREPLAN" localSheetId="6">#REF!</definedName>
    <definedName name="RETIREPLAN" localSheetId="17">#REF!</definedName>
    <definedName name="RETIREPLAN">#REF!</definedName>
    <definedName name="REV" localSheetId="6">#REF!</definedName>
    <definedName name="REV" localSheetId="17">#REF!</definedName>
    <definedName name="REV">#REF!</definedName>
    <definedName name="REVADJ" localSheetId="6">#REF!</definedName>
    <definedName name="REVADJ" localSheetId="17">#REF!</definedName>
    <definedName name="REVADJ">#REF!</definedName>
    <definedName name="REVREQ" localSheetId="6">#REF!</definedName>
    <definedName name="REVREQ" localSheetId="17">#REF!</definedName>
    <definedName name="REVREQ">#REF!</definedName>
    <definedName name="ROE" localSheetId="6">#REF!</definedName>
    <definedName name="ROE" localSheetId="17">#REF!</definedName>
    <definedName name="ROE">#REF!</definedName>
    <definedName name="ROR" localSheetId="6">#REF!</definedName>
    <definedName name="ROR" localSheetId="17">#REF!</definedName>
    <definedName name="ROR">#REF!</definedName>
    <definedName name="SALESRESALEP" localSheetId="6">#REF!</definedName>
    <definedName name="SALESRESALEP" localSheetId="17">#REF!</definedName>
    <definedName name="SALESRESALEP">#REF!</definedName>
    <definedName name="SALESRESALER" localSheetId="6">#REF!</definedName>
    <definedName name="SALESRESALER" localSheetId="1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6">[5]DT_A_AMW93!#REF!</definedName>
    <definedName name="SecSSW_MWH" localSheetId="17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 localSheetId="17">#REF!</definedName>
    <definedName name="SKAGIT">#REF!</definedName>
    <definedName name="SLFINSURANCE" localSheetId="6">#REF!</definedName>
    <definedName name="SLFINSURANCE" localSheetId="17">#REF!</definedName>
    <definedName name="SLFINSURANCE">#REF!</definedName>
    <definedName name="SolarDate" localSheetId="6">'[13]Dispatch Cases'!#REF!</definedName>
    <definedName name="SolarDate" localSheetId="17">'[13]Dispatch Cases'!#REF!</definedName>
    <definedName name="SolarDate">'[13]Dispatch Cases'!#REF!</definedName>
    <definedName name="STAFFREDUC" localSheetId="6">#REF!</definedName>
    <definedName name="STAFFREDUC" localSheetId="17">#REF!</definedName>
    <definedName name="STAFFREDUC">#REF!</definedName>
    <definedName name="StartDate">[8]Assumptions!$C$9</definedName>
    <definedName name="STORM" localSheetId="6">#REF!</definedName>
    <definedName name="STORM" localSheetId="17">#REF!</definedName>
    <definedName name="STORM">#REF!</definedName>
    <definedName name="SUMMARY" localSheetId="6">#REF!</definedName>
    <definedName name="SUMMARY" localSheetId="17">#REF!</definedName>
    <definedName name="SUMMARY">#REF!</definedName>
    <definedName name="SWSales_MWH" localSheetId="6">[5]DT_A_AMW93!#REF!</definedName>
    <definedName name="SWSales_MWH" localSheetId="17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6">#REF!</definedName>
    <definedName name="TAXCORPLIC" localSheetId="17">#REF!</definedName>
    <definedName name="TAXCORPLIC">#REF!</definedName>
    <definedName name="TAXENERGYP" localSheetId="6">#REF!</definedName>
    <definedName name="TAXENERGYP" localSheetId="17">#REF!</definedName>
    <definedName name="TAXENERGYP">#REF!</definedName>
    <definedName name="TAXENERGYR" localSheetId="6">#REF!</definedName>
    <definedName name="TAXENERGYR" localSheetId="17">#REF!</definedName>
    <definedName name="TAXENERGYR">#REF!</definedName>
    <definedName name="TAXEXCISE" localSheetId="6">#REF!</definedName>
    <definedName name="TAXEXCISE" localSheetId="17">#REF!</definedName>
    <definedName name="TAXEXCISE">#REF!</definedName>
    <definedName name="TAXFICA" localSheetId="6">#REF!</definedName>
    <definedName name="TAXFICA" localSheetId="17">#REF!</definedName>
    <definedName name="TAXFICA">#REF!</definedName>
    <definedName name="TAXFUT" localSheetId="6">#REF!</definedName>
    <definedName name="TAXFUT" localSheetId="17">#REF!</definedName>
    <definedName name="TAXFUT">#REF!</definedName>
    <definedName name="TAXINCOME" localSheetId="6">#REF!</definedName>
    <definedName name="TAXINCOME" localSheetId="17">#REF!</definedName>
    <definedName name="TAXINCOME">#REF!</definedName>
    <definedName name="TAXMEDICARE" localSheetId="6">#REF!</definedName>
    <definedName name="TAXMEDICARE" localSheetId="17">#REF!</definedName>
    <definedName name="TAXMEDICARE">#REF!</definedName>
    <definedName name="TAXPFINT" localSheetId="6">#REF!</definedName>
    <definedName name="TAXPFINT" localSheetId="17">#REF!</definedName>
    <definedName name="TAXPFINT">#REF!</definedName>
    <definedName name="TAXPROPERTY" localSheetId="6">#REF!</definedName>
    <definedName name="TAXPROPERTY" localSheetId="17">#REF!</definedName>
    <definedName name="TAXPROPERTY">#REF!</definedName>
    <definedName name="TAXSUT" localSheetId="6">#REF!</definedName>
    <definedName name="TAXSUT" localSheetId="17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 localSheetId="17">#REF!</definedName>
    <definedName name="TEMPADJ">#REF!</definedName>
    <definedName name="TenaskaShare" localSheetId="6">[13]Dispatch!#REF!</definedName>
    <definedName name="TenaskaShare" localSheetId="17">[13]Dispatch!#REF!</definedName>
    <definedName name="TenaskaShare">[13]Dispatch!#REF!</definedName>
    <definedName name="Test" localSheetId="6">[6]BS!#REF!</definedName>
    <definedName name="Test" localSheetId="17">[6]BS!#REF!</definedName>
    <definedName name="Test">[6]BS!#REF!</definedName>
    <definedName name="TESTYEAR" localSheetId="6">#REF!</definedName>
    <definedName name="TESTYEAR" localSheetId="17">#REF!</definedName>
    <definedName name="TESTYEAR">#REF!</definedName>
    <definedName name="Therm_upload" localSheetId="6">#REF!</definedName>
    <definedName name="Therm_upload" localSheetId="17">#REF!</definedName>
    <definedName name="Therm_upload">#REF!</definedName>
    <definedName name="ThermalBookLife">[8]Assumptions!$C$25</definedName>
    <definedName name="therms" localSheetId="6">#REF!</definedName>
    <definedName name="therms" localSheetId="17">#REF!</definedName>
    <definedName name="therms">#REF!</definedName>
    <definedName name="THM_ALL_YEARS" localSheetId="6">#REF!</definedName>
    <definedName name="THM_ALL_YEARS" localSheetId="17">#REF!</definedName>
    <definedName name="THM_ALL_YEARS">#REF!</definedName>
    <definedName name="Title">[8]Assumptions!$A$1</definedName>
    <definedName name="TopLeft" localSheetId="6">#REF!</definedName>
    <definedName name="TopLeft" localSheetId="17">#REF!</definedName>
    <definedName name="TopLeft">#REF!</definedName>
    <definedName name="tr" hidden="1">{#N/A,#N/A,FALSE,"CESTSUM";#N/A,#N/A,FALSE,"est sum A";#N/A,#N/A,FALSE,"est detail A"}</definedName>
    <definedName name="TRADING_NET" localSheetId="6">[5]DT_A_DOL93!#REF!</definedName>
    <definedName name="TRADING_NET" localSheetId="17">[5]DT_A_DOL93!#REF!</definedName>
    <definedName name="TRADING_NET">[5]DT_A_DOL93!#REF!</definedName>
    <definedName name="tran_revenue" localSheetId="6">#REF!</definedName>
    <definedName name="tran_revenue" localSheetId="17">#REF!</definedName>
    <definedName name="tran_revenue">#REF!</definedName>
    <definedName name="Transfer" localSheetId="6" hidden="1">#REF!</definedName>
    <definedName name="Transfer" localSheetId="17" hidden="1">#REF!</definedName>
    <definedName name="Transfer" hidden="1">#REF!</definedName>
    <definedName name="Transfers" localSheetId="6" hidden="1">#REF!</definedName>
    <definedName name="Transfers" localSheetId="17" hidden="1">#REF!</definedName>
    <definedName name="Transfers" hidden="1">#REF!</definedName>
    <definedName name="u" hidden="1">{#N/A,#N/A,FALSE,"Summ";#N/A,#N/A,FALSE,"General"}</definedName>
    <definedName name="UBakerAvail" localSheetId="6">#REF!</definedName>
    <definedName name="UBakerAvail" localSheetId="1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 localSheetId="17">#REF!</definedName>
    <definedName name="UNITCOMPARE">#REF!</definedName>
    <definedName name="UNITCOSTS" localSheetId="6">#REF!</definedName>
    <definedName name="UNITCOSTS" localSheetId="17">#REF!</definedName>
    <definedName name="UNITCOSTS">#REF!</definedName>
    <definedName name="UTG" localSheetId="6">#REF!</definedName>
    <definedName name="UTG" localSheetId="17">#REF!</definedName>
    <definedName name="UTG">#REF!</definedName>
    <definedName name="UTN" localSheetId="6">#REF!</definedName>
    <definedName name="UTN" localSheetId="17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6">[7]model!#REF!</definedName>
    <definedName name="WAGES" localSheetId="17">[7]model!#REF!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6">'[26]Dispatch Cases'!#REF!</definedName>
    <definedName name="WindDate" localSheetId="17">'[26]Dispatch Cases'!#REF!</definedName>
    <definedName name="WindDate">'[26]Dispatch Cases'!#REF!</definedName>
    <definedName name="WRKCAP" localSheetId="6">[7]model!#REF!</definedName>
    <definedName name="WRKCAP" localSheetId="17">[7]model!#REF!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37" l="1"/>
  <c r="E9" i="37" l="1"/>
  <c r="E87" i="37" l="1"/>
  <c r="D87" i="37"/>
  <c r="C87" i="37"/>
  <c r="B87" i="37"/>
  <c r="F75" i="37"/>
  <c r="E73" i="37"/>
  <c r="F41" i="37"/>
  <c r="E41" i="37"/>
  <c r="D41" i="37"/>
  <c r="C41" i="37"/>
  <c r="O40" i="24" s="1"/>
  <c r="F39" i="37"/>
  <c r="E39" i="37"/>
  <c r="D39" i="37"/>
  <c r="C39" i="37"/>
  <c r="F37" i="37"/>
  <c r="E37" i="37"/>
  <c r="C37" i="37"/>
  <c r="G34" i="37"/>
  <c r="I34" i="37" s="1"/>
  <c r="G33" i="37"/>
  <c r="G32" i="37"/>
  <c r="G31" i="37"/>
  <c r="D37" i="37"/>
  <c r="G29" i="37"/>
  <c r="G28" i="37"/>
  <c r="G27" i="37"/>
  <c r="G26" i="37"/>
  <c r="G25" i="37"/>
  <c r="G24" i="37"/>
  <c r="G21" i="37"/>
  <c r="F21" i="37"/>
  <c r="E21" i="37"/>
  <c r="C21" i="37"/>
  <c r="O35" i="24" s="1"/>
  <c r="G19" i="37"/>
  <c r="F19" i="37"/>
  <c r="E19" i="37"/>
  <c r="C19" i="37"/>
  <c r="G17" i="37"/>
  <c r="F17" i="37"/>
  <c r="C17" i="37"/>
  <c r="H16" i="37"/>
  <c r="I16" i="37" s="1"/>
  <c r="H15" i="37"/>
  <c r="H75" i="37" s="1"/>
  <c r="I14" i="37"/>
  <c r="H13" i="37"/>
  <c r="H12" i="37"/>
  <c r="I73" i="37" s="1"/>
  <c r="H11" i="37"/>
  <c r="H10" i="37"/>
  <c r="H9" i="37"/>
  <c r="E17" i="37"/>
  <c r="H8" i="37"/>
  <c r="H7" i="37"/>
  <c r="F69" i="37" s="1"/>
  <c r="H6" i="37"/>
  <c r="H5" i="37"/>
  <c r="H4" i="37"/>
  <c r="H3" i="37"/>
  <c r="I3" i="37" s="1"/>
  <c r="E75" i="37" l="1"/>
  <c r="E69" i="37"/>
  <c r="I69" i="37"/>
  <c r="F65" i="37"/>
  <c r="E65" i="37"/>
  <c r="G41" i="37"/>
  <c r="G66" i="37"/>
  <c r="C66" i="37"/>
  <c r="D66" i="37"/>
  <c r="G70" i="37"/>
  <c r="C70" i="37"/>
  <c r="D70" i="37"/>
  <c r="G72" i="37"/>
  <c r="D72" i="37"/>
  <c r="C72" i="37"/>
  <c r="G75" i="37"/>
  <c r="C75" i="37"/>
  <c r="D75" i="37"/>
  <c r="I71" i="37"/>
  <c r="I74" i="37"/>
  <c r="G67" i="37"/>
  <c r="C67" i="37"/>
  <c r="D67" i="37"/>
  <c r="G73" i="37"/>
  <c r="C73" i="37"/>
  <c r="D73" i="37"/>
  <c r="I13" i="37"/>
  <c r="E67" i="37"/>
  <c r="E72" i="37"/>
  <c r="G68" i="37"/>
  <c r="D68" i="37"/>
  <c r="C68" i="37"/>
  <c r="G71" i="37"/>
  <c r="C71" i="37"/>
  <c r="D71" i="37"/>
  <c r="I11" i="37"/>
  <c r="F67" i="37"/>
  <c r="F72" i="37"/>
  <c r="E74" i="37"/>
  <c r="G65" i="37"/>
  <c r="D65" i="37"/>
  <c r="D78" i="37" s="1"/>
  <c r="C65" i="37"/>
  <c r="G69" i="37"/>
  <c r="C69" i="37"/>
  <c r="D69" i="37"/>
  <c r="I9" i="37"/>
  <c r="G74" i="37"/>
  <c r="C74" i="37"/>
  <c r="D74" i="37"/>
  <c r="I65" i="37"/>
  <c r="I67" i="37"/>
  <c r="E71" i="37"/>
  <c r="I72" i="37"/>
  <c r="F74" i="37"/>
  <c r="I75" i="37"/>
  <c r="G39" i="37"/>
  <c r="E66" i="37"/>
  <c r="I68" i="37"/>
  <c r="E70" i="37"/>
  <c r="F66" i="37"/>
  <c r="F78" i="37" s="1"/>
  <c r="F68" i="37"/>
  <c r="F70" i="37"/>
  <c r="F71" i="37"/>
  <c r="I5" i="37"/>
  <c r="I7" i="37"/>
  <c r="I15" i="37"/>
  <c r="G30" i="37"/>
  <c r="H65" i="37"/>
  <c r="H66" i="37"/>
  <c r="H67" i="37"/>
  <c r="H68" i="37"/>
  <c r="H69" i="37"/>
  <c r="H70" i="37"/>
  <c r="H71" i="37"/>
  <c r="H72" i="37"/>
  <c r="H73" i="37"/>
  <c r="H74" i="37"/>
  <c r="H19" i="37"/>
  <c r="I66" i="37"/>
  <c r="E68" i="37"/>
  <c r="I70" i="37"/>
  <c r="I4" i="37"/>
  <c r="I6" i="37"/>
  <c r="I8" i="37"/>
  <c r="F73" i="37"/>
  <c r="I10" i="37"/>
  <c r="I12" i="37"/>
  <c r="H17" i="37"/>
  <c r="H21" i="37"/>
  <c r="D86" i="35"/>
  <c r="D30" i="35"/>
  <c r="J73" i="37" l="1"/>
  <c r="H32" i="37" s="1"/>
  <c r="I32" i="37" s="1"/>
  <c r="G80" i="37"/>
  <c r="J75" i="37"/>
  <c r="E80" i="37"/>
  <c r="J69" i="37"/>
  <c r="H28" i="37" s="1"/>
  <c r="I28" i="37" s="1"/>
  <c r="D80" i="37"/>
  <c r="E76" i="37"/>
  <c r="D76" i="37"/>
  <c r="C78" i="37"/>
  <c r="C76" i="37"/>
  <c r="G78" i="37"/>
  <c r="J71" i="37"/>
  <c r="H30" i="37" s="1"/>
  <c r="I30" i="37" s="1"/>
  <c r="J74" i="37"/>
  <c r="H33" i="37" s="1"/>
  <c r="I33" i="37" s="1"/>
  <c r="I80" i="37"/>
  <c r="C80" i="37"/>
  <c r="I78" i="37"/>
  <c r="F80" i="37"/>
  <c r="G76" i="37"/>
  <c r="J67" i="37"/>
  <c r="H26" i="37" s="1"/>
  <c r="J72" i="37"/>
  <c r="H31" i="37" s="1"/>
  <c r="I31" i="37" s="1"/>
  <c r="I19" i="37"/>
  <c r="I17" i="37"/>
  <c r="F76" i="37"/>
  <c r="J66" i="37"/>
  <c r="H25" i="37" s="1"/>
  <c r="I25" i="37" s="1"/>
  <c r="I76" i="37"/>
  <c r="H78" i="37"/>
  <c r="H76" i="37"/>
  <c r="I21" i="37"/>
  <c r="O41" i="24" s="1"/>
  <c r="J70" i="37"/>
  <c r="H29" i="37" s="1"/>
  <c r="I29" i="37" s="1"/>
  <c r="H80" i="37"/>
  <c r="G37" i="37"/>
  <c r="J68" i="37"/>
  <c r="H27" i="37" s="1"/>
  <c r="I27" i="37" s="1"/>
  <c r="J65" i="37"/>
  <c r="E78" i="37"/>
  <c r="E87" i="35"/>
  <c r="C87" i="35"/>
  <c r="B87" i="35"/>
  <c r="D87" i="35"/>
  <c r="J80" i="37" l="1"/>
  <c r="J78" i="37"/>
  <c r="H24" i="37"/>
  <c r="J76" i="37"/>
  <c r="H41" i="37"/>
  <c r="I26" i="37"/>
  <c r="I41" i="37" s="1"/>
  <c r="O39" i="24" s="1"/>
  <c r="E9" i="35"/>
  <c r="H37" i="37" l="1"/>
  <c r="H39" i="37"/>
  <c r="I24" i="37"/>
  <c r="D70" i="35"/>
  <c r="D75" i="35"/>
  <c r="C75" i="35"/>
  <c r="C73" i="35"/>
  <c r="D73" i="35"/>
  <c r="C74" i="35"/>
  <c r="D74" i="35"/>
  <c r="D72" i="35"/>
  <c r="C72" i="35"/>
  <c r="C71" i="35"/>
  <c r="C66" i="35"/>
  <c r="D66" i="35"/>
  <c r="C67" i="35"/>
  <c r="D67" i="35"/>
  <c r="C68" i="35"/>
  <c r="D68" i="35"/>
  <c r="C69" i="35"/>
  <c r="D69" i="35"/>
  <c r="C70" i="35"/>
  <c r="D71" i="35"/>
  <c r="D65" i="35"/>
  <c r="C65" i="35"/>
  <c r="I39" i="37" l="1"/>
  <c r="I37" i="37"/>
  <c r="D80" i="35"/>
  <c r="C76" i="35"/>
  <c r="D78" i="35"/>
  <c r="D76" i="35"/>
  <c r="F75" i="35"/>
  <c r="E41" i="35"/>
  <c r="D41" i="35"/>
  <c r="C41" i="35"/>
  <c r="N40" i="24" s="1"/>
  <c r="F39" i="35"/>
  <c r="E39" i="35"/>
  <c r="D39" i="35"/>
  <c r="C39" i="35"/>
  <c r="E37" i="35"/>
  <c r="D37" i="35"/>
  <c r="C37" i="35"/>
  <c r="G34" i="35"/>
  <c r="I34" i="35" s="1"/>
  <c r="G33" i="35"/>
  <c r="G32" i="35"/>
  <c r="G31" i="35"/>
  <c r="G30" i="35"/>
  <c r="G29" i="35"/>
  <c r="G27" i="35"/>
  <c r="G26" i="35"/>
  <c r="G25" i="35"/>
  <c r="G24" i="35"/>
  <c r="F21" i="35"/>
  <c r="E21" i="35"/>
  <c r="C21" i="35"/>
  <c r="N35" i="24" s="1"/>
  <c r="G19" i="35"/>
  <c r="F19" i="35"/>
  <c r="E19" i="35"/>
  <c r="C19" i="35"/>
  <c r="F17" i="35"/>
  <c r="E17" i="35"/>
  <c r="C17" i="35"/>
  <c r="H16" i="35"/>
  <c r="I16" i="35" s="1"/>
  <c r="H15" i="35"/>
  <c r="H75" i="35" s="1"/>
  <c r="I14" i="35"/>
  <c r="H13" i="35"/>
  <c r="G75" i="35" s="1"/>
  <c r="H12" i="35"/>
  <c r="G74" i="35" s="1"/>
  <c r="H11" i="35"/>
  <c r="G73" i="35" s="1"/>
  <c r="H10" i="35"/>
  <c r="H9" i="35"/>
  <c r="G71" i="35" s="1"/>
  <c r="H8" i="35"/>
  <c r="G70" i="35" s="1"/>
  <c r="H6" i="35"/>
  <c r="G68" i="35" s="1"/>
  <c r="H5" i="35"/>
  <c r="H4" i="35"/>
  <c r="G66" i="35" s="1"/>
  <c r="H3" i="35"/>
  <c r="G65" i="35" s="1"/>
  <c r="I75" i="35" l="1"/>
  <c r="I15" i="35"/>
  <c r="H72" i="35"/>
  <c r="E75" i="35"/>
  <c r="J75" i="35" s="1"/>
  <c r="I10" i="35"/>
  <c r="G72" i="35"/>
  <c r="H74" i="35"/>
  <c r="H67" i="35"/>
  <c r="G67" i="35"/>
  <c r="G78" i="35"/>
  <c r="H71" i="35"/>
  <c r="H68" i="35"/>
  <c r="I66" i="35"/>
  <c r="E66" i="35"/>
  <c r="F66" i="35"/>
  <c r="H70" i="35"/>
  <c r="I8" i="35"/>
  <c r="I9" i="35"/>
  <c r="E67" i="35"/>
  <c r="E68" i="35"/>
  <c r="I68" i="35"/>
  <c r="I70" i="35"/>
  <c r="H73" i="35"/>
  <c r="I6" i="35"/>
  <c r="F68" i="35"/>
  <c r="E71" i="35"/>
  <c r="I73" i="35"/>
  <c r="I4" i="35"/>
  <c r="H66" i="35"/>
  <c r="E73" i="35"/>
  <c r="F65" i="35"/>
  <c r="I3" i="35"/>
  <c r="F41" i="35"/>
  <c r="G28" i="35"/>
  <c r="G37" i="35" s="1"/>
  <c r="F37" i="35"/>
  <c r="I65" i="35"/>
  <c r="F74" i="35"/>
  <c r="I74" i="35"/>
  <c r="E74" i="35"/>
  <c r="E65" i="35"/>
  <c r="G21" i="35"/>
  <c r="G17" i="35"/>
  <c r="H7" i="35"/>
  <c r="F72" i="35"/>
  <c r="I72" i="35"/>
  <c r="E72" i="35"/>
  <c r="I13" i="35"/>
  <c r="G39" i="35"/>
  <c r="F67" i="35"/>
  <c r="I5" i="35"/>
  <c r="F70" i="35"/>
  <c r="F71" i="35"/>
  <c r="I71" i="35"/>
  <c r="I11" i="35"/>
  <c r="H19" i="35"/>
  <c r="H65" i="35"/>
  <c r="I67" i="35"/>
  <c r="E70" i="35"/>
  <c r="F73" i="35"/>
  <c r="I12" i="35"/>
  <c r="F72" i="34"/>
  <c r="F28" i="34"/>
  <c r="G9" i="34"/>
  <c r="G68" i="34" s="1"/>
  <c r="G7" i="34"/>
  <c r="E9" i="34"/>
  <c r="H21" i="35" l="1"/>
  <c r="G69" i="35"/>
  <c r="G76" i="35" s="1"/>
  <c r="J68" i="35"/>
  <c r="H27" i="35" s="1"/>
  <c r="I27" i="35" s="1"/>
  <c r="H78" i="35"/>
  <c r="E78" i="35"/>
  <c r="I78" i="35"/>
  <c r="F78" i="35"/>
  <c r="J66" i="35"/>
  <c r="H25" i="35" s="1"/>
  <c r="I25" i="35" s="1"/>
  <c r="J73" i="35"/>
  <c r="H32" i="35" s="1"/>
  <c r="I32" i="35" s="1"/>
  <c r="J72" i="35"/>
  <c r="H31" i="35" s="1"/>
  <c r="I31" i="35" s="1"/>
  <c r="J70" i="35"/>
  <c r="H29" i="35" s="1"/>
  <c r="I29" i="35" s="1"/>
  <c r="C80" i="35"/>
  <c r="J67" i="35"/>
  <c r="I7" i="35"/>
  <c r="I17" i="35" s="1"/>
  <c r="F69" i="35"/>
  <c r="F80" i="35" s="1"/>
  <c r="E69" i="35"/>
  <c r="E76" i="35" s="1"/>
  <c r="I69" i="35"/>
  <c r="I80" i="35" s="1"/>
  <c r="H69" i="35"/>
  <c r="H76" i="35" s="1"/>
  <c r="H17" i="35"/>
  <c r="J74" i="35"/>
  <c r="H33" i="35" s="1"/>
  <c r="I33" i="35" s="1"/>
  <c r="G41" i="35"/>
  <c r="C78" i="35"/>
  <c r="J65" i="35"/>
  <c r="J71" i="35"/>
  <c r="H30" i="35" s="1"/>
  <c r="I30" i="35" s="1"/>
  <c r="I19" i="35"/>
  <c r="G71" i="34"/>
  <c r="G70" i="34"/>
  <c r="G69" i="34"/>
  <c r="G63" i="34"/>
  <c r="G64" i="34"/>
  <c r="G65" i="34"/>
  <c r="G66" i="34"/>
  <c r="G67" i="34"/>
  <c r="G62" i="34"/>
  <c r="E80" i="35" l="1"/>
  <c r="G80" i="35"/>
  <c r="H80" i="35"/>
  <c r="F76" i="35"/>
  <c r="I21" i="35"/>
  <c r="N41" i="24" s="1"/>
  <c r="I76" i="35"/>
  <c r="J78" i="35"/>
  <c r="H26" i="35"/>
  <c r="H24" i="35"/>
  <c r="J69" i="35"/>
  <c r="H28" i="35" s="1"/>
  <c r="I28" i="35" s="1"/>
  <c r="F41" i="34"/>
  <c r="E41" i="34"/>
  <c r="D41" i="34"/>
  <c r="C41" i="34"/>
  <c r="F39" i="34"/>
  <c r="E39" i="34"/>
  <c r="D39" i="34"/>
  <c r="C39" i="34"/>
  <c r="F37" i="34"/>
  <c r="E37" i="34"/>
  <c r="C37" i="34"/>
  <c r="I34" i="34"/>
  <c r="G34" i="34"/>
  <c r="G33" i="34"/>
  <c r="G32" i="34"/>
  <c r="G31" i="34"/>
  <c r="G30" i="34"/>
  <c r="D37" i="34"/>
  <c r="G29" i="34"/>
  <c r="G28" i="34"/>
  <c r="G27" i="34"/>
  <c r="G26" i="34"/>
  <c r="G25" i="34"/>
  <c r="G24" i="34"/>
  <c r="G21" i="34"/>
  <c r="F21" i="34"/>
  <c r="E21" i="34"/>
  <c r="C21" i="34"/>
  <c r="G19" i="34"/>
  <c r="F19" i="34"/>
  <c r="E19" i="34"/>
  <c r="C19" i="34"/>
  <c r="G17" i="34"/>
  <c r="F17" i="34"/>
  <c r="C17" i="34"/>
  <c r="H16" i="34"/>
  <c r="I16" i="34" s="1"/>
  <c r="H15" i="34"/>
  <c r="I14" i="34"/>
  <c r="H13" i="34"/>
  <c r="F71" i="34" s="1"/>
  <c r="H12" i="34"/>
  <c r="F70" i="34" s="1"/>
  <c r="I11" i="34"/>
  <c r="H11" i="34"/>
  <c r="H10" i="34"/>
  <c r="I10" i="34" s="1"/>
  <c r="H9" i="34"/>
  <c r="E17" i="34"/>
  <c r="H8" i="34"/>
  <c r="H7" i="34"/>
  <c r="H6" i="34"/>
  <c r="H5" i="34"/>
  <c r="H4" i="34"/>
  <c r="H3" i="34"/>
  <c r="E72" i="34" l="1"/>
  <c r="I72" i="34"/>
  <c r="I69" i="34"/>
  <c r="F69" i="34"/>
  <c r="J80" i="35"/>
  <c r="J76" i="35"/>
  <c r="H37" i="35"/>
  <c r="H39" i="35"/>
  <c r="I24" i="35"/>
  <c r="H41" i="35"/>
  <c r="I26" i="35"/>
  <c r="I41" i="35" s="1"/>
  <c r="N39" i="24" s="1"/>
  <c r="C68" i="34"/>
  <c r="H68" i="34"/>
  <c r="D68" i="34"/>
  <c r="E68" i="34"/>
  <c r="I68" i="34"/>
  <c r="F68" i="34"/>
  <c r="I71" i="34"/>
  <c r="I70" i="34"/>
  <c r="I67" i="34"/>
  <c r="F67" i="34"/>
  <c r="I66" i="34"/>
  <c r="F66" i="34"/>
  <c r="I65" i="34"/>
  <c r="F65" i="34"/>
  <c r="I64" i="34"/>
  <c r="F64" i="34"/>
  <c r="I63" i="34"/>
  <c r="F63" i="34"/>
  <c r="I62" i="34"/>
  <c r="I75" i="34" s="1"/>
  <c r="F62" i="34"/>
  <c r="F75" i="34" s="1"/>
  <c r="G41" i="34"/>
  <c r="I9" i="34"/>
  <c r="I13" i="34"/>
  <c r="G39" i="34"/>
  <c r="I8" i="34"/>
  <c r="G37" i="34"/>
  <c r="H19" i="34"/>
  <c r="I4" i="34"/>
  <c r="I12" i="34"/>
  <c r="H17" i="34"/>
  <c r="H21" i="34"/>
  <c r="C62" i="34"/>
  <c r="C63" i="34"/>
  <c r="C64" i="34"/>
  <c r="C65" i="34"/>
  <c r="C66" i="34"/>
  <c r="C67" i="34"/>
  <c r="C69" i="34"/>
  <c r="C70" i="34"/>
  <c r="C71" i="34"/>
  <c r="C72" i="34"/>
  <c r="H72" i="34"/>
  <c r="I6" i="34"/>
  <c r="I3" i="34"/>
  <c r="I5" i="34"/>
  <c r="I7" i="34"/>
  <c r="I15" i="34"/>
  <c r="D62" i="34"/>
  <c r="H62" i="34"/>
  <c r="D63" i="34"/>
  <c r="H63" i="34"/>
  <c r="D64" i="34"/>
  <c r="H64" i="34"/>
  <c r="D65" i="34"/>
  <c r="H65" i="34"/>
  <c r="D66" i="34"/>
  <c r="H66" i="34"/>
  <c r="D67" i="34"/>
  <c r="H67" i="34"/>
  <c r="D69" i="34"/>
  <c r="H69" i="34"/>
  <c r="D70" i="34"/>
  <c r="H70" i="34"/>
  <c r="D71" i="34"/>
  <c r="H71" i="34"/>
  <c r="D72" i="34"/>
  <c r="E62" i="34"/>
  <c r="E63" i="34"/>
  <c r="E64" i="34"/>
  <c r="E65" i="34"/>
  <c r="E66" i="34"/>
  <c r="E67" i="34"/>
  <c r="E69" i="34"/>
  <c r="E70" i="34"/>
  <c r="E71" i="34"/>
  <c r="F63" i="33"/>
  <c r="F64" i="33"/>
  <c r="F65" i="33"/>
  <c r="F66" i="33"/>
  <c r="F67" i="33"/>
  <c r="F68" i="33"/>
  <c r="F69" i="33"/>
  <c r="F70" i="33"/>
  <c r="F71" i="33"/>
  <c r="F72" i="33"/>
  <c r="F62" i="33"/>
  <c r="I77" i="34" l="1"/>
  <c r="I39" i="35"/>
  <c r="I37" i="35"/>
  <c r="F77" i="34"/>
  <c r="F73" i="34"/>
  <c r="I73" i="34"/>
  <c r="I17" i="34"/>
  <c r="I19" i="34"/>
  <c r="E77" i="34"/>
  <c r="J71" i="34"/>
  <c r="H33" i="34" s="1"/>
  <c r="I33" i="34" s="1"/>
  <c r="J69" i="34"/>
  <c r="H31" i="34" s="1"/>
  <c r="I31" i="34" s="1"/>
  <c r="J67" i="34"/>
  <c r="H29" i="34" s="1"/>
  <c r="I29" i="34" s="1"/>
  <c r="J65" i="34"/>
  <c r="H27" i="34" s="1"/>
  <c r="I27" i="34" s="1"/>
  <c r="J63" i="34"/>
  <c r="H25" i="34" s="1"/>
  <c r="I25" i="34" s="1"/>
  <c r="D75" i="34"/>
  <c r="D73" i="34"/>
  <c r="G77" i="34"/>
  <c r="G75" i="34"/>
  <c r="G73" i="34"/>
  <c r="D77" i="34"/>
  <c r="E75" i="34"/>
  <c r="E73" i="34"/>
  <c r="H77" i="34"/>
  <c r="H75" i="34"/>
  <c r="H73" i="34"/>
  <c r="I21" i="34"/>
  <c r="J72" i="34"/>
  <c r="J70" i="34"/>
  <c r="H32" i="34" s="1"/>
  <c r="I32" i="34" s="1"/>
  <c r="J68" i="34"/>
  <c r="H30" i="34" s="1"/>
  <c r="I30" i="34" s="1"/>
  <c r="J66" i="34"/>
  <c r="H28" i="34" s="1"/>
  <c r="I28" i="34" s="1"/>
  <c r="C77" i="34"/>
  <c r="J64" i="34"/>
  <c r="C75" i="34"/>
  <c r="C73" i="34"/>
  <c r="J62" i="34"/>
  <c r="D30" i="33"/>
  <c r="E9" i="33"/>
  <c r="J77" i="34" l="1"/>
  <c r="H26" i="34"/>
  <c r="J75" i="34"/>
  <c r="J73" i="34"/>
  <c r="H24" i="34"/>
  <c r="I72" i="33"/>
  <c r="D67" i="33"/>
  <c r="F41" i="33"/>
  <c r="E41" i="33"/>
  <c r="D41" i="33"/>
  <c r="C41" i="33"/>
  <c r="F39" i="33"/>
  <c r="E39" i="33"/>
  <c r="D39" i="33"/>
  <c r="C39" i="33"/>
  <c r="F37" i="33"/>
  <c r="E37" i="33"/>
  <c r="C37" i="33"/>
  <c r="G34" i="33"/>
  <c r="I34" i="33" s="1"/>
  <c r="G33" i="33"/>
  <c r="G32" i="33"/>
  <c r="G31" i="33"/>
  <c r="G29" i="33"/>
  <c r="G28" i="33"/>
  <c r="G27" i="33"/>
  <c r="G26" i="33"/>
  <c r="G25" i="33"/>
  <c r="G24" i="33"/>
  <c r="G21" i="33"/>
  <c r="F21" i="33"/>
  <c r="E21" i="33"/>
  <c r="C21" i="33"/>
  <c r="G19" i="33"/>
  <c r="F19" i="33"/>
  <c r="E19" i="33"/>
  <c r="C19" i="33"/>
  <c r="G17" i="33"/>
  <c r="F17" i="33"/>
  <c r="C17" i="33"/>
  <c r="H16" i="33"/>
  <c r="I16" i="33" s="1"/>
  <c r="H15" i="33"/>
  <c r="I14" i="33"/>
  <c r="H13" i="33"/>
  <c r="C71" i="33" s="1"/>
  <c r="H12" i="33"/>
  <c r="H11" i="33"/>
  <c r="H10" i="33"/>
  <c r="H9" i="33"/>
  <c r="H8" i="33"/>
  <c r="H7" i="33"/>
  <c r="I66" i="33" s="1"/>
  <c r="H6" i="33"/>
  <c r="H5" i="33"/>
  <c r="I64" i="33" s="1"/>
  <c r="H4" i="33"/>
  <c r="H3" i="33"/>
  <c r="E69" i="33" l="1"/>
  <c r="I69" i="33"/>
  <c r="G62" i="33"/>
  <c r="I62" i="33"/>
  <c r="E63" i="33"/>
  <c r="I63" i="33"/>
  <c r="I73" i="33" s="1"/>
  <c r="G70" i="33"/>
  <c r="I70" i="33"/>
  <c r="H70" i="33"/>
  <c r="E65" i="33"/>
  <c r="I65" i="33"/>
  <c r="E68" i="33"/>
  <c r="I68" i="33"/>
  <c r="H68" i="33"/>
  <c r="G68" i="33"/>
  <c r="E71" i="33"/>
  <c r="I71" i="33"/>
  <c r="H71" i="33"/>
  <c r="E67" i="33"/>
  <c r="I67" i="33"/>
  <c r="H41" i="34"/>
  <c r="I26" i="34"/>
  <c r="I41" i="34" s="1"/>
  <c r="H37" i="34"/>
  <c r="H39" i="34"/>
  <c r="I24" i="34"/>
  <c r="I8" i="33"/>
  <c r="C67" i="33"/>
  <c r="J67" i="33" s="1"/>
  <c r="G39" i="33"/>
  <c r="H67" i="33"/>
  <c r="I77" i="33"/>
  <c r="I75" i="33"/>
  <c r="I6" i="33"/>
  <c r="G63" i="33"/>
  <c r="I4" i="33"/>
  <c r="D63" i="33"/>
  <c r="G67" i="33"/>
  <c r="C69" i="33"/>
  <c r="G65" i="33"/>
  <c r="C65" i="33"/>
  <c r="H65" i="33"/>
  <c r="G69" i="33"/>
  <c r="C63" i="33"/>
  <c r="H63" i="33"/>
  <c r="D65" i="33"/>
  <c r="G71" i="33"/>
  <c r="E66" i="33"/>
  <c r="H66" i="33"/>
  <c r="D66" i="33"/>
  <c r="I7" i="33"/>
  <c r="G66" i="33"/>
  <c r="C66" i="33"/>
  <c r="E70" i="33"/>
  <c r="D70" i="33"/>
  <c r="C70" i="33"/>
  <c r="E72" i="33"/>
  <c r="D72" i="33"/>
  <c r="I15" i="33"/>
  <c r="H72" i="33"/>
  <c r="C72" i="33"/>
  <c r="H21" i="33"/>
  <c r="F75" i="33"/>
  <c r="E64" i="33"/>
  <c r="H64" i="33"/>
  <c r="D64" i="33"/>
  <c r="I5" i="33"/>
  <c r="G64" i="33"/>
  <c r="C64" i="33"/>
  <c r="C68" i="33"/>
  <c r="I12" i="33"/>
  <c r="E62" i="33"/>
  <c r="H19" i="33"/>
  <c r="H62" i="33"/>
  <c r="D62" i="33"/>
  <c r="I3" i="33"/>
  <c r="C62" i="33"/>
  <c r="J62" i="33" s="1"/>
  <c r="I10" i="33"/>
  <c r="H17" i="33"/>
  <c r="G41" i="33"/>
  <c r="G30" i="33"/>
  <c r="D37" i="33"/>
  <c r="I9" i="33"/>
  <c r="E17" i="33"/>
  <c r="D68" i="33"/>
  <c r="D69" i="33"/>
  <c r="H69" i="33"/>
  <c r="D71" i="33"/>
  <c r="I11" i="33"/>
  <c r="I13" i="33"/>
  <c r="D30" i="32"/>
  <c r="I37" i="34" l="1"/>
  <c r="I39" i="34"/>
  <c r="H29" i="33"/>
  <c r="I29" i="33" s="1"/>
  <c r="J63" i="33"/>
  <c r="H25" i="33" s="1"/>
  <c r="I25" i="33" s="1"/>
  <c r="J65" i="33"/>
  <c r="H27" i="33" s="1"/>
  <c r="I27" i="33" s="1"/>
  <c r="J71" i="33"/>
  <c r="H33" i="33" s="1"/>
  <c r="I33" i="33" s="1"/>
  <c r="F73" i="33"/>
  <c r="G77" i="33"/>
  <c r="I17" i="33"/>
  <c r="I19" i="33"/>
  <c r="E75" i="33"/>
  <c r="E73" i="33"/>
  <c r="D77" i="33"/>
  <c r="J72" i="33"/>
  <c r="G37" i="33"/>
  <c r="D75" i="33"/>
  <c r="D73" i="33"/>
  <c r="C77" i="33"/>
  <c r="J64" i="33"/>
  <c r="H77" i="33"/>
  <c r="J70" i="33"/>
  <c r="H32" i="33" s="1"/>
  <c r="I32" i="33" s="1"/>
  <c r="J69" i="33"/>
  <c r="H31" i="33" s="1"/>
  <c r="I31" i="33" s="1"/>
  <c r="C75" i="33"/>
  <c r="C73" i="33"/>
  <c r="H75" i="33"/>
  <c r="H73" i="33"/>
  <c r="E77" i="33"/>
  <c r="J66" i="33"/>
  <c r="H28" i="33" s="1"/>
  <c r="I28" i="33" s="1"/>
  <c r="F77" i="33"/>
  <c r="G75" i="33"/>
  <c r="G73" i="33"/>
  <c r="J68" i="33"/>
  <c r="H30" i="33" s="1"/>
  <c r="I30" i="33" s="1"/>
  <c r="I21" i="33"/>
  <c r="E9" i="32"/>
  <c r="J77" i="33" l="1"/>
  <c r="H26" i="33"/>
  <c r="J75" i="33"/>
  <c r="J73" i="33"/>
  <c r="H24" i="33"/>
  <c r="I72" i="32"/>
  <c r="I71" i="32"/>
  <c r="I70" i="32"/>
  <c r="I69" i="32"/>
  <c r="I68" i="32"/>
  <c r="I67" i="32"/>
  <c r="I66" i="32"/>
  <c r="I65" i="32"/>
  <c r="I64" i="32"/>
  <c r="I63" i="32"/>
  <c r="I62" i="32"/>
  <c r="F41" i="32"/>
  <c r="E41" i="32"/>
  <c r="D41" i="32"/>
  <c r="C41" i="32"/>
  <c r="F39" i="32"/>
  <c r="E39" i="32"/>
  <c r="D39" i="32"/>
  <c r="C39" i="32"/>
  <c r="F37" i="32"/>
  <c r="E37" i="32"/>
  <c r="C37" i="32"/>
  <c r="G34" i="32"/>
  <c r="I34" i="32" s="1"/>
  <c r="G33" i="32"/>
  <c r="G32" i="32"/>
  <c r="G31" i="32"/>
  <c r="G29" i="32"/>
  <c r="G28" i="32"/>
  <c r="G27" i="32"/>
  <c r="G26" i="32"/>
  <c r="G25" i="32"/>
  <c r="G24" i="32"/>
  <c r="G21" i="32"/>
  <c r="F21" i="32"/>
  <c r="E21" i="32"/>
  <c r="C21" i="32"/>
  <c r="G19" i="32"/>
  <c r="F19" i="32"/>
  <c r="E19" i="32"/>
  <c r="C19" i="32"/>
  <c r="G17" i="32"/>
  <c r="F17" i="32"/>
  <c r="C17" i="32"/>
  <c r="H16" i="32"/>
  <c r="I16" i="32" s="1"/>
  <c r="H15" i="32"/>
  <c r="F72" i="32" s="1"/>
  <c r="I14" i="32"/>
  <c r="H13" i="32"/>
  <c r="E71" i="32" s="1"/>
  <c r="H12" i="32"/>
  <c r="F70" i="32" s="1"/>
  <c r="H11" i="32"/>
  <c r="E69" i="32" s="1"/>
  <c r="H10" i="32"/>
  <c r="H9" i="32"/>
  <c r="H8" i="32"/>
  <c r="E67" i="32" s="1"/>
  <c r="H7" i="32"/>
  <c r="F66" i="32" s="1"/>
  <c r="H6" i="32"/>
  <c r="E65" i="32" s="1"/>
  <c r="H5" i="32"/>
  <c r="F64" i="32" s="1"/>
  <c r="H4" i="32"/>
  <c r="E63" i="32" s="1"/>
  <c r="H3" i="32"/>
  <c r="F62" i="32" s="1"/>
  <c r="C69" i="32" l="1"/>
  <c r="G39" i="32"/>
  <c r="G69" i="32"/>
  <c r="H41" i="33"/>
  <c r="I26" i="33"/>
  <c r="I41" i="33" s="1"/>
  <c r="H37" i="33"/>
  <c r="I24" i="33"/>
  <c r="H39" i="33"/>
  <c r="F71" i="32"/>
  <c r="I77" i="32"/>
  <c r="F68" i="32"/>
  <c r="G67" i="32"/>
  <c r="D67" i="32"/>
  <c r="I8" i="32"/>
  <c r="F65" i="32"/>
  <c r="I75" i="32"/>
  <c r="D63" i="32"/>
  <c r="I4" i="32"/>
  <c r="G63" i="32"/>
  <c r="F63" i="32"/>
  <c r="F75" i="32" s="1"/>
  <c r="G65" i="32"/>
  <c r="C67" i="32"/>
  <c r="H67" i="32"/>
  <c r="F69" i="32"/>
  <c r="C71" i="32"/>
  <c r="I73" i="32"/>
  <c r="H17" i="32"/>
  <c r="C65" i="32"/>
  <c r="H65" i="32"/>
  <c r="I6" i="32"/>
  <c r="E68" i="32"/>
  <c r="C63" i="32"/>
  <c r="H63" i="32"/>
  <c r="D65" i="32"/>
  <c r="F67" i="32"/>
  <c r="G71" i="32"/>
  <c r="H21" i="32"/>
  <c r="I12" i="32"/>
  <c r="G41" i="32"/>
  <c r="G30" i="32"/>
  <c r="D37" i="32"/>
  <c r="E66" i="32"/>
  <c r="H66" i="32"/>
  <c r="D66" i="32"/>
  <c r="I7" i="32"/>
  <c r="G66" i="32"/>
  <c r="C66" i="32"/>
  <c r="E70" i="32"/>
  <c r="H70" i="32"/>
  <c r="D70" i="32"/>
  <c r="G70" i="32"/>
  <c r="C70" i="32"/>
  <c r="E72" i="32"/>
  <c r="D72" i="32"/>
  <c r="I15" i="32"/>
  <c r="H72" i="32"/>
  <c r="C72" i="32"/>
  <c r="E64" i="32"/>
  <c r="H64" i="32"/>
  <c r="D64" i="32"/>
  <c r="I5" i="32"/>
  <c r="G64" i="32"/>
  <c r="C64" i="32"/>
  <c r="G68" i="32"/>
  <c r="C68" i="32"/>
  <c r="E62" i="32"/>
  <c r="H19" i="32"/>
  <c r="H62" i="32"/>
  <c r="D62" i="32"/>
  <c r="I3" i="32"/>
  <c r="G62" i="32"/>
  <c r="C62" i="32"/>
  <c r="I10" i="32"/>
  <c r="I9" i="32"/>
  <c r="E17" i="32"/>
  <c r="D68" i="32"/>
  <c r="H68" i="32"/>
  <c r="D69" i="32"/>
  <c r="H69" i="32"/>
  <c r="D71" i="32"/>
  <c r="H71" i="32"/>
  <c r="I11" i="32"/>
  <c r="I13" i="32"/>
  <c r="I68" i="31"/>
  <c r="D30" i="31"/>
  <c r="E9" i="31"/>
  <c r="F77" i="32" l="1"/>
  <c r="I37" i="33"/>
  <c r="I39" i="33"/>
  <c r="F73" i="32"/>
  <c r="J67" i="32"/>
  <c r="H29" i="32" s="1"/>
  <c r="I29" i="32" s="1"/>
  <c r="J65" i="32"/>
  <c r="H27" i="32" s="1"/>
  <c r="I27" i="32" s="1"/>
  <c r="J63" i="32"/>
  <c r="H25" i="32" s="1"/>
  <c r="I25" i="32" s="1"/>
  <c r="J69" i="32"/>
  <c r="H31" i="32" s="1"/>
  <c r="I31" i="32" s="1"/>
  <c r="H77" i="32"/>
  <c r="G77" i="32"/>
  <c r="J72" i="32"/>
  <c r="J71" i="32"/>
  <c r="H33" i="32" s="1"/>
  <c r="I33" i="32" s="1"/>
  <c r="D75" i="32"/>
  <c r="D73" i="32"/>
  <c r="J68" i="32"/>
  <c r="H30" i="32" s="1"/>
  <c r="I30" i="32" s="1"/>
  <c r="I21" i="32"/>
  <c r="J70" i="32"/>
  <c r="H32" i="32" s="1"/>
  <c r="I32" i="32" s="1"/>
  <c r="G37" i="32"/>
  <c r="G75" i="32"/>
  <c r="G73" i="32"/>
  <c r="C77" i="32"/>
  <c r="J64" i="32"/>
  <c r="I17" i="32"/>
  <c r="I19" i="32"/>
  <c r="E75" i="32"/>
  <c r="E73" i="32"/>
  <c r="E77" i="32"/>
  <c r="C73" i="32"/>
  <c r="C75" i="32"/>
  <c r="J62" i="32"/>
  <c r="H75" i="32"/>
  <c r="H73" i="32"/>
  <c r="D77" i="32"/>
  <c r="J66" i="32"/>
  <c r="H28" i="32" s="1"/>
  <c r="I28" i="32" s="1"/>
  <c r="I72" i="31"/>
  <c r="I70" i="31"/>
  <c r="I71" i="31"/>
  <c r="I69" i="31"/>
  <c r="I63" i="31"/>
  <c r="I64" i="31"/>
  <c r="I65" i="31"/>
  <c r="I66" i="31"/>
  <c r="I67" i="31"/>
  <c r="I62" i="31"/>
  <c r="J75" i="32" l="1"/>
  <c r="J73" i="32"/>
  <c r="H24" i="32"/>
  <c r="J77" i="32"/>
  <c r="H26" i="32"/>
  <c r="F41" i="31"/>
  <c r="E41" i="31"/>
  <c r="D41" i="31"/>
  <c r="C41" i="31"/>
  <c r="F39" i="31"/>
  <c r="E39" i="31"/>
  <c r="D39" i="31"/>
  <c r="C39" i="31"/>
  <c r="F37" i="31"/>
  <c r="E37" i="31"/>
  <c r="D37" i="31"/>
  <c r="C37" i="31"/>
  <c r="G34" i="31"/>
  <c r="I34" i="31" s="1"/>
  <c r="G33" i="31"/>
  <c r="G32" i="31"/>
  <c r="G31" i="31"/>
  <c r="G30" i="31"/>
  <c r="G29" i="31"/>
  <c r="G28" i="31"/>
  <c r="G27" i="31"/>
  <c r="G26" i="31"/>
  <c r="G25" i="31"/>
  <c r="G24" i="31"/>
  <c r="G21" i="31"/>
  <c r="F21" i="31"/>
  <c r="E21" i="31"/>
  <c r="C21" i="31"/>
  <c r="G19" i="31"/>
  <c r="F19" i="31"/>
  <c r="E19" i="31"/>
  <c r="C19" i="31"/>
  <c r="G17" i="31"/>
  <c r="F17" i="31"/>
  <c r="C17" i="31"/>
  <c r="H16" i="31"/>
  <c r="I16" i="31" s="1"/>
  <c r="H15" i="31"/>
  <c r="I14" i="31"/>
  <c r="H13" i="31"/>
  <c r="F71" i="31" s="1"/>
  <c r="H12" i="31"/>
  <c r="H11" i="31"/>
  <c r="H10" i="31"/>
  <c r="H9" i="31"/>
  <c r="H8" i="31"/>
  <c r="G67" i="31" s="1"/>
  <c r="H7" i="31"/>
  <c r="H6" i="31"/>
  <c r="H5" i="31"/>
  <c r="G64" i="31" s="1"/>
  <c r="H4" i="31"/>
  <c r="H3" i="31"/>
  <c r="F62" i="31" s="1"/>
  <c r="F68" i="31" l="1"/>
  <c r="G68" i="31"/>
  <c r="H37" i="32"/>
  <c r="I24" i="32"/>
  <c r="H39" i="32"/>
  <c r="H41" i="32"/>
  <c r="I26" i="32"/>
  <c r="I41" i="32" s="1"/>
  <c r="G39" i="31"/>
  <c r="G71" i="31"/>
  <c r="H67" i="31"/>
  <c r="I8" i="31"/>
  <c r="C67" i="31"/>
  <c r="F67" i="31"/>
  <c r="D63" i="31"/>
  <c r="G65" i="31"/>
  <c r="C69" i="31"/>
  <c r="I6" i="31"/>
  <c r="C62" i="31"/>
  <c r="F63" i="31"/>
  <c r="F75" i="31" s="1"/>
  <c r="C65" i="31"/>
  <c r="H65" i="31"/>
  <c r="F69" i="31"/>
  <c r="I4" i="31"/>
  <c r="G63" i="31"/>
  <c r="D65" i="31"/>
  <c r="G69" i="31"/>
  <c r="C63" i="31"/>
  <c r="H63" i="31"/>
  <c r="F65" i="31"/>
  <c r="D67" i="31"/>
  <c r="C71" i="31"/>
  <c r="E66" i="31"/>
  <c r="H66" i="31"/>
  <c r="D66" i="31"/>
  <c r="I7" i="31"/>
  <c r="E70" i="31"/>
  <c r="H70" i="31"/>
  <c r="D70" i="31"/>
  <c r="G70" i="31"/>
  <c r="E72" i="31"/>
  <c r="D72" i="31"/>
  <c r="I15" i="31"/>
  <c r="H72" i="31"/>
  <c r="C72" i="31"/>
  <c r="H21" i="31"/>
  <c r="C66" i="31"/>
  <c r="E64" i="31"/>
  <c r="H64" i="31"/>
  <c r="D64" i="31"/>
  <c r="I5" i="31"/>
  <c r="I12" i="31"/>
  <c r="F66" i="31"/>
  <c r="F72" i="31"/>
  <c r="E62" i="31"/>
  <c r="H19" i="31"/>
  <c r="H62" i="31"/>
  <c r="D62" i="31"/>
  <c r="I3" i="31"/>
  <c r="I10" i="31"/>
  <c r="H17" i="31"/>
  <c r="G41" i="31"/>
  <c r="G62" i="31"/>
  <c r="C64" i="31"/>
  <c r="G66" i="31"/>
  <c r="C68" i="31"/>
  <c r="C70" i="31"/>
  <c r="I9" i="31"/>
  <c r="E17" i="31"/>
  <c r="G37" i="31"/>
  <c r="F64" i="31"/>
  <c r="F70" i="31"/>
  <c r="D68" i="31"/>
  <c r="H68" i="31"/>
  <c r="D69" i="31"/>
  <c r="H69" i="31"/>
  <c r="D71" i="31"/>
  <c r="H71" i="31"/>
  <c r="I11" i="31"/>
  <c r="I13" i="31"/>
  <c r="E63" i="31"/>
  <c r="E65" i="31"/>
  <c r="E67" i="31"/>
  <c r="E68" i="31"/>
  <c r="E69" i="31"/>
  <c r="E71" i="31"/>
  <c r="D30" i="30"/>
  <c r="I37" i="32" l="1"/>
  <c r="I39" i="32"/>
  <c r="J67" i="31"/>
  <c r="H29" i="31" s="1"/>
  <c r="I29" i="31" s="1"/>
  <c r="C75" i="31"/>
  <c r="J70" i="31"/>
  <c r="H32" i="31" s="1"/>
  <c r="I32" i="31" s="1"/>
  <c r="J65" i="31"/>
  <c r="H27" i="31" s="1"/>
  <c r="I27" i="31" s="1"/>
  <c r="J72" i="31"/>
  <c r="F73" i="31"/>
  <c r="G77" i="31"/>
  <c r="J63" i="31"/>
  <c r="H25" i="31" s="1"/>
  <c r="I25" i="31" s="1"/>
  <c r="J71" i="31"/>
  <c r="H33" i="31" s="1"/>
  <c r="I33" i="31" s="1"/>
  <c r="J68" i="31"/>
  <c r="H30" i="31" s="1"/>
  <c r="I30" i="31" s="1"/>
  <c r="I17" i="31"/>
  <c r="I19" i="31"/>
  <c r="E75" i="31"/>
  <c r="E73" i="31"/>
  <c r="I21" i="31"/>
  <c r="I77" i="31"/>
  <c r="G73" i="31"/>
  <c r="G75" i="31"/>
  <c r="E77" i="31"/>
  <c r="J69" i="31"/>
  <c r="H31" i="31" s="1"/>
  <c r="I31" i="31" s="1"/>
  <c r="F77" i="31"/>
  <c r="D75" i="31"/>
  <c r="D73" i="31"/>
  <c r="I75" i="31"/>
  <c r="I73" i="31"/>
  <c r="D77" i="31"/>
  <c r="C73" i="31"/>
  <c r="C77" i="31"/>
  <c r="J64" i="31"/>
  <c r="H75" i="31"/>
  <c r="H73" i="31"/>
  <c r="H77" i="31"/>
  <c r="J66" i="31"/>
  <c r="H28" i="31" s="1"/>
  <c r="I28" i="31" s="1"/>
  <c r="J62" i="31"/>
  <c r="E9" i="30"/>
  <c r="J77" i="31" l="1"/>
  <c r="H26" i="31"/>
  <c r="J75" i="31"/>
  <c r="J73" i="31"/>
  <c r="H24" i="31"/>
  <c r="M41" i="24"/>
  <c r="L41" i="24"/>
  <c r="K41" i="24"/>
  <c r="J41" i="24"/>
  <c r="M40" i="24"/>
  <c r="L40" i="24"/>
  <c r="K40" i="24"/>
  <c r="J40" i="24"/>
  <c r="M39" i="24"/>
  <c r="L39" i="24"/>
  <c r="K39" i="24"/>
  <c r="M35" i="24"/>
  <c r="L35" i="24"/>
  <c r="K35" i="24"/>
  <c r="J35" i="24"/>
  <c r="M19" i="24"/>
  <c r="L19" i="24"/>
  <c r="K19" i="24"/>
  <c r="J19" i="24"/>
  <c r="M18" i="24"/>
  <c r="L18" i="24"/>
  <c r="K18" i="24"/>
  <c r="J18" i="24"/>
  <c r="M17" i="24"/>
  <c r="L17" i="24"/>
  <c r="K17" i="24"/>
  <c r="M13" i="24"/>
  <c r="L13" i="24"/>
  <c r="K13" i="24"/>
  <c r="J13" i="24"/>
  <c r="F41" i="30"/>
  <c r="E41" i="30"/>
  <c r="D41" i="30"/>
  <c r="C41" i="30"/>
  <c r="I40" i="24" s="1"/>
  <c r="F39" i="30"/>
  <c r="E39" i="30"/>
  <c r="D39" i="30"/>
  <c r="C39" i="30"/>
  <c r="I18" i="24" s="1"/>
  <c r="F37" i="30"/>
  <c r="E37" i="30"/>
  <c r="D37" i="30"/>
  <c r="C37" i="30"/>
  <c r="G34" i="30"/>
  <c r="I34" i="30" s="1"/>
  <c r="G33" i="30"/>
  <c r="G32" i="30"/>
  <c r="G31" i="30"/>
  <c r="G30" i="30"/>
  <c r="G29" i="30"/>
  <c r="G28" i="30"/>
  <c r="G27" i="30"/>
  <c r="G26" i="30"/>
  <c r="G25" i="30"/>
  <c r="G24" i="30"/>
  <c r="G39" i="30" s="1"/>
  <c r="G21" i="30"/>
  <c r="F21" i="30"/>
  <c r="E21" i="30"/>
  <c r="C21" i="30"/>
  <c r="I35" i="24" s="1"/>
  <c r="G19" i="30"/>
  <c r="F19" i="30"/>
  <c r="E19" i="30"/>
  <c r="C19" i="30"/>
  <c r="I13" i="24" s="1"/>
  <c r="G17" i="30"/>
  <c r="F17" i="30"/>
  <c r="C17" i="30"/>
  <c r="H16" i="30"/>
  <c r="I16" i="30" s="1"/>
  <c r="H15" i="30"/>
  <c r="I14" i="30"/>
  <c r="H13" i="30"/>
  <c r="I70" i="30" s="1"/>
  <c r="H12" i="30"/>
  <c r="H11" i="30"/>
  <c r="I68" i="30" s="1"/>
  <c r="H10" i="30"/>
  <c r="H9" i="30"/>
  <c r="I67" i="30" s="1"/>
  <c r="H8" i="30"/>
  <c r="I66" i="30" s="1"/>
  <c r="H7" i="30"/>
  <c r="H6" i="30"/>
  <c r="I64" i="30" s="1"/>
  <c r="H5" i="30"/>
  <c r="G63" i="30" s="1"/>
  <c r="H4" i="30"/>
  <c r="I62" i="30" s="1"/>
  <c r="H3" i="30"/>
  <c r="F61" i="30" s="1"/>
  <c r="G68" i="30" l="1"/>
  <c r="F68" i="30"/>
  <c r="H41" i="31"/>
  <c r="I26" i="31"/>
  <c r="I41" i="31" s="1"/>
  <c r="J39" i="24" s="1"/>
  <c r="I24" i="31"/>
  <c r="H39" i="31"/>
  <c r="H37" i="31"/>
  <c r="F64" i="30"/>
  <c r="C61" i="30"/>
  <c r="G70" i="30"/>
  <c r="H66" i="30"/>
  <c r="C66" i="30"/>
  <c r="G66" i="30"/>
  <c r="H64" i="30"/>
  <c r="I6" i="30"/>
  <c r="C64" i="30"/>
  <c r="D64" i="30"/>
  <c r="F62" i="30"/>
  <c r="F74" i="30" s="1"/>
  <c r="I4" i="30"/>
  <c r="G62" i="30"/>
  <c r="F67" i="30"/>
  <c r="C62" i="30"/>
  <c r="C74" i="30" s="1"/>
  <c r="H62" i="30"/>
  <c r="D66" i="30"/>
  <c r="G67" i="30"/>
  <c r="C70" i="30"/>
  <c r="I8" i="30"/>
  <c r="D62" i="30"/>
  <c r="G64" i="30"/>
  <c r="F66" i="30"/>
  <c r="C68" i="30"/>
  <c r="F70" i="30"/>
  <c r="I65" i="30"/>
  <c r="E65" i="30"/>
  <c r="H65" i="30"/>
  <c r="D65" i="30"/>
  <c r="I7" i="30"/>
  <c r="I69" i="30"/>
  <c r="E69" i="30"/>
  <c r="H69" i="30"/>
  <c r="D69" i="30"/>
  <c r="G69" i="30"/>
  <c r="E71" i="30"/>
  <c r="I71" i="30"/>
  <c r="D71" i="30"/>
  <c r="I15" i="30"/>
  <c r="H71" i="30"/>
  <c r="C71" i="30"/>
  <c r="H21" i="30"/>
  <c r="C65" i="30"/>
  <c r="I63" i="30"/>
  <c r="E63" i="30"/>
  <c r="H63" i="30"/>
  <c r="D63" i="30"/>
  <c r="I5" i="30"/>
  <c r="I12" i="30"/>
  <c r="F65" i="30"/>
  <c r="F71" i="30"/>
  <c r="I61" i="30"/>
  <c r="E61" i="30"/>
  <c r="H19" i="30"/>
  <c r="H61" i="30"/>
  <c r="D61" i="30"/>
  <c r="I3" i="30"/>
  <c r="I10" i="30"/>
  <c r="H17" i="30"/>
  <c r="G41" i="30"/>
  <c r="G61" i="30"/>
  <c r="C63" i="30"/>
  <c r="G65" i="30"/>
  <c r="C67" i="30"/>
  <c r="C69" i="30"/>
  <c r="I9" i="30"/>
  <c r="E17" i="30"/>
  <c r="G37" i="30"/>
  <c r="F63" i="30"/>
  <c r="F69" i="30"/>
  <c r="D67" i="30"/>
  <c r="H67" i="30"/>
  <c r="D68" i="30"/>
  <c r="H68" i="30"/>
  <c r="D70" i="30"/>
  <c r="H70" i="30"/>
  <c r="I11" i="30"/>
  <c r="I13" i="30"/>
  <c r="E62" i="30"/>
  <c r="E64" i="30"/>
  <c r="E66" i="30"/>
  <c r="E67" i="30"/>
  <c r="E68" i="30"/>
  <c r="E70" i="30"/>
  <c r="D30" i="29"/>
  <c r="E9" i="29"/>
  <c r="J64" i="30" l="1"/>
  <c r="H27" i="30" s="1"/>
  <c r="I27" i="30" s="1"/>
  <c r="I37" i="31"/>
  <c r="I39" i="31"/>
  <c r="J17" i="24" s="1"/>
  <c r="J69" i="30"/>
  <c r="H32" i="30" s="1"/>
  <c r="I32" i="30" s="1"/>
  <c r="G76" i="30"/>
  <c r="J62" i="30"/>
  <c r="H25" i="30" s="1"/>
  <c r="I25" i="30" s="1"/>
  <c r="J70" i="30"/>
  <c r="H33" i="30" s="1"/>
  <c r="I33" i="30" s="1"/>
  <c r="J66" i="30"/>
  <c r="H29" i="30" s="1"/>
  <c r="I29" i="30" s="1"/>
  <c r="F72" i="30"/>
  <c r="G72" i="30"/>
  <c r="G74" i="30"/>
  <c r="E76" i="30"/>
  <c r="J67" i="30"/>
  <c r="H30" i="30" s="1"/>
  <c r="I30" i="30" s="1"/>
  <c r="I17" i="30"/>
  <c r="I19" i="30"/>
  <c r="I19" i="24" s="1"/>
  <c r="E74" i="30"/>
  <c r="E72" i="30"/>
  <c r="I21" i="30"/>
  <c r="I41" i="24" s="1"/>
  <c r="I76" i="30"/>
  <c r="J68" i="30"/>
  <c r="H31" i="30" s="1"/>
  <c r="I31" i="30" s="1"/>
  <c r="F76" i="30"/>
  <c r="D74" i="30"/>
  <c r="D72" i="30"/>
  <c r="I74" i="30"/>
  <c r="I72" i="30"/>
  <c r="D76" i="30"/>
  <c r="J71" i="30"/>
  <c r="C72" i="30"/>
  <c r="C76" i="30"/>
  <c r="J63" i="30"/>
  <c r="H74" i="30"/>
  <c r="H72" i="30"/>
  <c r="H76" i="30"/>
  <c r="J65" i="30"/>
  <c r="H28" i="30" s="1"/>
  <c r="I28" i="30" s="1"/>
  <c r="J61" i="30"/>
  <c r="H26" i="24"/>
  <c r="I26" i="24" s="1"/>
  <c r="I48" i="24" s="1"/>
  <c r="F41" i="29"/>
  <c r="E41" i="29"/>
  <c r="D41" i="29"/>
  <c r="C41" i="29"/>
  <c r="F39" i="29"/>
  <c r="E39" i="29"/>
  <c r="D39" i="29"/>
  <c r="C39" i="29"/>
  <c r="F37" i="29"/>
  <c r="E37" i="29"/>
  <c r="D37" i="29"/>
  <c r="C37" i="29"/>
  <c r="G34" i="29"/>
  <c r="I34" i="29" s="1"/>
  <c r="G33" i="29"/>
  <c r="G32" i="29"/>
  <c r="G31" i="29"/>
  <c r="G30" i="29"/>
  <c r="G29" i="29"/>
  <c r="G28" i="29"/>
  <c r="G27" i="29"/>
  <c r="G26" i="29"/>
  <c r="G25" i="29"/>
  <c r="G24" i="29"/>
  <c r="G21" i="29"/>
  <c r="F21" i="29"/>
  <c r="E21" i="29"/>
  <c r="C21" i="29"/>
  <c r="G19" i="29"/>
  <c r="F19" i="29"/>
  <c r="E19" i="29"/>
  <c r="C19" i="29"/>
  <c r="G17" i="29"/>
  <c r="F17" i="29"/>
  <c r="C17" i="29"/>
  <c r="H16" i="29"/>
  <c r="I16" i="29" s="1"/>
  <c r="H15" i="29"/>
  <c r="I14" i="29"/>
  <c r="H13" i="29"/>
  <c r="I70" i="29" s="1"/>
  <c r="H12" i="29"/>
  <c r="H11" i="29"/>
  <c r="I68" i="29" s="1"/>
  <c r="H10" i="29"/>
  <c r="H9" i="29"/>
  <c r="H8" i="29"/>
  <c r="I66" i="29" s="1"/>
  <c r="H7" i="29"/>
  <c r="H6" i="29"/>
  <c r="I64" i="29" s="1"/>
  <c r="H5" i="29"/>
  <c r="G63" i="29" s="1"/>
  <c r="H4" i="29"/>
  <c r="I62" i="29" s="1"/>
  <c r="H3" i="29"/>
  <c r="F61" i="29" s="1"/>
  <c r="J74" i="30" l="1"/>
  <c r="J72" i="30"/>
  <c r="H24" i="30"/>
  <c r="J76" i="30"/>
  <c r="H26" i="30"/>
  <c r="C66" i="29"/>
  <c r="I8" i="29"/>
  <c r="G66" i="29"/>
  <c r="G68" i="29"/>
  <c r="I67" i="29"/>
  <c r="D66" i="29"/>
  <c r="F68" i="29"/>
  <c r="G39" i="29"/>
  <c r="G70" i="29"/>
  <c r="H66" i="29"/>
  <c r="F62" i="29"/>
  <c r="F74" i="29" s="1"/>
  <c r="C61" i="29"/>
  <c r="C74" i="29" s="1"/>
  <c r="C64" i="29"/>
  <c r="H64" i="29"/>
  <c r="I6" i="29"/>
  <c r="G62" i="29"/>
  <c r="D64" i="29"/>
  <c r="I4" i="29"/>
  <c r="F67" i="29"/>
  <c r="C62" i="29"/>
  <c r="H62" i="29"/>
  <c r="F64" i="29"/>
  <c r="G67" i="29"/>
  <c r="C70" i="29"/>
  <c r="D62" i="29"/>
  <c r="G64" i="29"/>
  <c r="F66" i="29"/>
  <c r="C68" i="29"/>
  <c r="F70" i="29"/>
  <c r="I65" i="29"/>
  <c r="E65" i="29"/>
  <c r="H65" i="29"/>
  <c r="D65" i="29"/>
  <c r="I7" i="29"/>
  <c r="I69" i="29"/>
  <c r="E69" i="29"/>
  <c r="H69" i="29"/>
  <c r="D69" i="29"/>
  <c r="G69" i="29"/>
  <c r="E71" i="29"/>
  <c r="I71" i="29"/>
  <c r="D71" i="29"/>
  <c r="I15" i="29"/>
  <c r="H71" i="29"/>
  <c r="C71" i="29"/>
  <c r="H21" i="29"/>
  <c r="C65" i="29"/>
  <c r="I63" i="29"/>
  <c r="E63" i="29"/>
  <c r="H63" i="29"/>
  <c r="D63" i="29"/>
  <c r="I5" i="29"/>
  <c r="I12" i="29"/>
  <c r="F65" i="29"/>
  <c r="F71" i="29"/>
  <c r="I61" i="29"/>
  <c r="E61" i="29"/>
  <c r="H19" i="29"/>
  <c r="H61" i="29"/>
  <c r="D61" i="29"/>
  <c r="I3" i="29"/>
  <c r="I10" i="29"/>
  <c r="H17" i="29"/>
  <c r="G41" i="29"/>
  <c r="G61" i="29"/>
  <c r="C63" i="29"/>
  <c r="G65" i="29"/>
  <c r="C67" i="29"/>
  <c r="C69" i="29"/>
  <c r="I9" i="29"/>
  <c r="E17" i="29"/>
  <c r="G37" i="29"/>
  <c r="F63" i="29"/>
  <c r="F69" i="29"/>
  <c r="D67" i="29"/>
  <c r="H67" i="29"/>
  <c r="D68" i="29"/>
  <c r="H68" i="29"/>
  <c r="D70" i="29"/>
  <c r="H70" i="29"/>
  <c r="I11" i="29"/>
  <c r="I13" i="29"/>
  <c r="E62" i="29"/>
  <c r="E64" i="29"/>
  <c r="E66" i="29"/>
  <c r="E67" i="29"/>
  <c r="E68" i="29"/>
  <c r="E70" i="29"/>
  <c r="D32" i="28"/>
  <c r="E10" i="28"/>
  <c r="I24" i="30" l="1"/>
  <c r="H39" i="30"/>
  <c r="H37" i="30"/>
  <c r="H41" i="30"/>
  <c r="I26" i="30"/>
  <c r="I41" i="30" s="1"/>
  <c r="I39" i="24" s="1"/>
  <c r="J66" i="29"/>
  <c r="H29" i="29" s="1"/>
  <c r="I29" i="29" s="1"/>
  <c r="J64" i="29"/>
  <c r="H27" i="29" s="1"/>
  <c r="I27" i="29" s="1"/>
  <c r="J62" i="29"/>
  <c r="H25" i="29" s="1"/>
  <c r="I25" i="29" s="1"/>
  <c r="J69" i="29"/>
  <c r="H32" i="29" s="1"/>
  <c r="I32" i="29" s="1"/>
  <c r="G76" i="29"/>
  <c r="J70" i="29"/>
  <c r="H33" i="29" s="1"/>
  <c r="I33" i="29" s="1"/>
  <c r="F72" i="29"/>
  <c r="G72" i="29"/>
  <c r="G74" i="29"/>
  <c r="F76" i="29"/>
  <c r="I74" i="29"/>
  <c r="I72" i="29"/>
  <c r="D76" i="29"/>
  <c r="J71" i="29"/>
  <c r="E76" i="29"/>
  <c r="J67" i="29"/>
  <c r="H30" i="29" s="1"/>
  <c r="I30" i="29" s="1"/>
  <c r="I17" i="29"/>
  <c r="I19" i="29"/>
  <c r="E74" i="29"/>
  <c r="E72" i="29"/>
  <c r="I21" i="29"/>
  <c r="I76" i="29"/>
  <c r="J68" i="29"/>
  <c r="H31" i="29" s="1"/>
  <c r="I31" i="29" s="1"/>
  <c r="D74" i="29"/>
  <c r="D72" i="29"/>
  <c r="C72" i="29"/>
  <c r="C76" i="29"/>
  <c r="J63" i="29"/>
  <c r="H74" i="29"/>
  <c r="H72" i="29"/>
  <c r="H76" i="29"/>
  <c r="J65" i="29"/>
  <c r="H28" i="29" s="1"/>
  <c r="I28" i="29" s="1"/>
  <c r="J61" i="29"/>
  <c r="H69" i="28"/>
  <c r="F43" i="28"/>
  <c r="E43" i="28"/>
  <c r="D43" i="28"/>
  <c r="C43" i="28"/>
  <c r="F41" i="28"/>
  <c r="E41" i="28"/>
  <c r="D41" i="28"/>
  <c r="C41" i="28"/>
  <c r="F39" i="28"/>
  <c r="E39" i="28"/>
  <c r="C39" i="28"/>
  <c r="G36" i="28"/>
  <c r="I36" i="28" s="1"/>
  <c r="G35" i="28"/>
  <c r="G34" i="28"/>
  <c r="G33" i="28"/>
  <c r="G32" i="28"/>
  <c r="D39" i="28"/>
  <c r="G31" i="28"/>
  <c r="G30" i="28"/>
  <c r="G29" i="28"/>
  <c r="G28" i="28"/>
  <c r="G27" i="28"/>
  <c r="G26" i="28"/>
  <c r="G41" i="28" s="1"/>
  <c r="G22" i="28"/>
  <c r="F22" i="28"/>
  <c r="E22" i="28"/>
  <c r="C22" i="28"/>
  <c r="G20" i="28"/>
  <c r="F20" i="28"/>
  <c r="E20" i="28"/>
  <c r="C20" i="28"/>
  <c r="G18" i="28"/>
  <c r="F18" i="28"/>
  <c r="E18" i="28"/>
  <c r="C18" i="28"/>
  <c r="H17" i="28"/>
  <c r="I17" i="28" s="1"/>
  <c r="H16" i="28"/>
  <c r="H73" i="28" s="1"/>
  <c r="I15" i="28"/>
  <c r="H14" i="28"/>
  <c r="E72" i="28" s="1"/>
  <c r="H13" i="28"/>
  <c r="G71" i="28" s="1"/>
  <c r="H12" i="28"/>
  <c r="I70" i="28" s="1"/>
  <c r="H11" i="28"/>
  <c r="I11" i="28" s="1"/>
  <c r="H10" i="28"/>
  <c r="I10" i="28" s="1"/>
  <c r="H9" i="28"/>
  <c r="E68" i="28" s="1"/>
  <c r="H8" i="28"/>
  <c r="G67" i="28" s="1"/>
  <c r="H7" i="28"/>
  <c r="D66" i="28" s="1"/>
  <c r="H6" i="28"/>
  <c r="G65" i="28" s="1"/>
  <c r="H5" i="28"/>
  <c r="D64" i="28" s="1"/>
  <c r="H4" i="28"/>
  <c r="G63" i="28" s="1"/>
  <c r="I37" i="30" l="1"/>
  <c r="I39" i="30"/>
  <c r="I17" i="24" s="1"/>
  <c r="J74" i="29"/>
  <c r="J72" i="29"/>
  <c r="H24" i="29"/>
  <c r="J76" i="29"/>
  <c r="H26" i="29"/>
  <c r="F65" i="28"/>
  <c r="D63" i="28"/>
  <c r="D76" i="28" s="1"/>
  <c r="H72" i="28"/>
  <c r="D71" i="28"/>
  <c r="F67" i="28"/>
  <c r="E65" i="28"/>
  <c r="E63" i="28"/>
  <c r="E76" i="28" s="1"/>
  <c r="I4" i="28"/>
  <c r="I63" i="28"/>
  <c r="I16" i="28"/>
  <c r="I66" i="28"/>
  <c r="I69" i="28"/>
  <c r="E71" i="28"/>
  <c r="I8" i="28"/>
  <c r="F63" i="28"/>
  <c r="E64" i="28"/>
  <c r="H65" i="28"/>
  <c r="D67" i="28"/>
  <c r="I67" i="28"/>
  <c r="H70" i="28"/>
  <c r="H71" i="28"/>
  <c r="E73" i="28"/>
  <c r="I73" i="28"/>
  <c r="H67" i="28"/>
  <c r="D73" i="28"/>
  <c r="I6" i="28"/>
  <c r="H20" i="28"/>
  <c r="H63" i="28"/>
  <c r="D65" i="28"/>
  <c r="I65" i="28"/>
  <c r="E67" i="28"/>
  <c r="H68" i="28"/>
  <c r="I71" i="28"/>
  <c r="F73" i="28"/>
  <c r="G66" i="28"/>
  <c r="C66" i="28"/>
  <c r="F66" i="28"/>
  <c r="I7" i="28"/>
  <c r="G70" i="28"/>
  <c r="C70" i="28"/>
  <c r="F70" i="28"/>
  <c r="I14" i="28"/>
  <c r="G64" i="28"/>
  <c r="G76" i="28" s="1"/>
  <c r="C64" i="28"/>
  <c r="F64" i="28"/>
  <c r="I5" i="28"/>
  <c r="G69" i="28"/>
  <c r="C69" i="28"/>
  <c r="F69" i="28"/>
  <c r="I12" i="28"/>
  <c r="I64" i="28"/>
  <c r="I76" i="28" s="1"/>
  <c r="H66" i="28"/>
  <c r="E69" i="28"/>
  <c r="E70" i="28"/>
  <c r="G68" i="28"/>
  <c r="C68" i="28"/>
  <c r="F68" i="28"/>
  <c r="I9" i="28"/>
  <c r="G72" i="28"/>
  <c r="C72" i="28"/>
  <c r="F72" i="28"/>
  <c r="I72" i="28"/>
  <c r="G43" i="28"/>
  <c r="I68" i="28"/>
  <c r="G39" i="28"/>
  <c r="H64" i="28"/>
  <c r="E66" i="28"/>
  <c r="D68" i="28"/>
  <c r="D69" i="28"/>
  <c r="D70" i="28"/>
  <c r="D72" i="28"/>
  <c r="F71" i="28"/>
  <c r="I13" i="28"/>
  <c r="H18" i="28"/>
  <c r="H22" i="28"/>
  <c r="C63" i="28"/>
  <c r="C65" i="28"/>
  <c r="C67" i="28"/>
  <c r="C71" i="28"/>
  <c r="C73" i="28"/>
  <c r="D32" i="27"/>
  <c r="C22" i="27"/>
  <c r="C20" i="27"/>
  <c r="E10" i="27"/>
  <c r="I24" i="29" l="1"/>
  <c r="H39" i="29"/>
  <c r="H37" i="29"/>
  <c r="H41" i="29"/>
  <c r="I26" i="29"/>
  <c r="I41" i="29" s="1"/>
  <c r="H78" i="28"/>
  <c r="G78" i="28"/>
  <c r="D78" i="28"/>
  <c r="I18" i="28"/>
  <c r="I20" i="28"/>
  <c r="J67" i="28"/>
  <c r="H30" i="28" s="1"/>
  <c r="I30" i="28" s="1"/>
  <c r="H74" i="28"/>
  <c r="J73" i="28"/>
  <c r="I78" i="28"/>
  <c r="I22" i="28"/>
  <c r="J71" i="28"/>
  <c r="H34" i="28" s="1"/>
  <c r="I34" i="28" s="1"/>
  <c r="D74" i="28"/>
  <c r="E74" i="28"/>
  <c r="J68" i="28"/>
  <c r="H31" i="28" s="1"/>
  <c r="I31" i="28" s="1"/>
  <c r="G74" i="28"/>
  <c r="I74" i="28"/>
  <c r="C76" i="28"/>
  <c r="C74" i="28"/>
  <c r="J63" i="28"/>
  <c r="H76" i="28"/>
  <c r="J69" i="28"/>
  <c r="H32" i="28" s="1"/>
  <c r="I32" i="28" s="1"/>
  <c r="J64" i="28"/>
  <c r="H27" i="28" s="1"/>
  <c r="I27" i="28" s="1"/>
  <c r="J70" i="28"/>
  <c r="H33" i="28" s="1"/>
  <c r="I33" i="28" s="1"/>
  <c r="J66" i="28"/>
  <c r="H29" i="28" s="1"/>
  <c r="I29" i="28" s="1"/>
  <c r="E78" i="28"/>
  <c r="J72" i="28"/>
  <c r="H35" i="28" s="1"/>
  <c r="I35" i="28" s="1"/>
  <c r="C78" i="28"/>
  <c r="J65" i="28"/>
  <c r="F76" i="28"/>
  <c r="F74" i="28"/>
  <c r="F78" i="28"/>
  <c r="F48" i="24"/>
  <c r="F43" i="27"/>
  <c r="E43" i="27"/>
  <c r="D43" i="27"/>
  <c r="C43" i="27"/>
  <c r="F41" i="27"/>
  <c r="E41" i="27"/>
  <c r="D41" i="27"/>
  <c r="C41" i="27"/>
  <c r="F39" i="27"/>
  <c r="E39" i="27"/>
  <c r="D39" i="27"/>
  <c r="C39" i="27"/>
  <c r="G36" i="27"/>
  <c r="I36" i="27" s="1"/>
  <c r="G35" i="27"/>
  <c r="G34" i="27"/>
  <c r="G33" i="27"/>
  <c r="G32" i="27"/>
  <c r="G31" i="27"/>
  <c r="G30" i="27"/>
  <c r="G29" i="27"/>
  <c r="G28" i="27"/>
  <c r="G27" i="27"/>
  <c r="G26" i="27"/>
  <c r="G22" i="27"/>
  <c r="F22" i="27"/>
  <c r="E22" i="27"/>
  <c r="G20" i="27"/>
  <c r="F20" i="27"/>
  <c r="E20" i="27"/>
  <c r="G18" i="27"/>
  <c r="F18" i="27"/>
  <c r="C18" i="27"/>
  <c r="H17" i="27"/>
  <c r="I17" i="27" s="1"/>
  <c r="H16" i="27"/>
  <c r="I15" i="27"/>
  <c r="H14" i="27"/>
  <c r="H13" i="27"/>
  <c r="H12" i="27"/>
  <c r="H11" i="27"/>
  <c r="H10" i="27"/>
  <c r="E18" i="27"/>
  <c r="H9" i="27"/>
  <c r="H8" i="27"/>
  <c r="H7" i="27"/>
  <c r="H6" i="27"/>
  <c r="H5" i="27"/>
  <c r="H4" i="27"/>
  <c r="E69" i="27" l="1"/>
  <c r="F69" i="27"/>
  <c r="G69" i="27"/>
  <c r="H69" i="27"/>
  <c r="C69" i="27"/>
  <c r="I69" i="27"/>
  <c r="D69" i="27"/>
  <c r="D68" i="27"/>
  <c r="E68" i="27"/>
  <c r="C68" i="27"/>
  <c r="I68" i="27"/>
  <c r="F68" i="27"/>
  <c r="G68" i="27"/>
  <c r="H68" i="27"/>
  <c r="D64" i="27"/>
  <c r="C64" i="27"/>
  <c r="E64" i="27"/>
  <c r="F64" i="27"/>
  <c r="H64" i="27"/>
  <c r="I64" i="27"/>
  <c r="G64" i="27"/>
  <c r="G70" i="27"/>
  <c r="C70" i="27"/>
  <c r="H70" i="27"/>
  <c r="I70" i="27"/>
  <c r="D70" i="27"/>
  <c r="E70" i="27"/>
  <c r="F70" i="27"/>
  <c r="I12" i="27"/>
  <c r="E73" i="27"/>
  <c r="F73" i="27"/>
  <c r="H73" i="27"/>
  <c r="I73" i="27"/>
  <c r="C73" i="27"/>
  <c r="D73" i="27"/>
  <c r="I63" i="27"/>
  <c r="D63" i="27"/>
  <c r="C63" i="27"/>
  <c r="E63" i="27"/>
  <c r="F63" i="27"/>
  <c r="H63" i="27"/>
  <c r="G63" i="27"/>
  <c r="E65" i="27"/>
  <c r="F65" i="27"/>
  <c r="G65" i="27"/>
  <c r="C65" i="27"/>
  <c r="H65" i="27"/>
  <c r="I65" i="27"/>
  <c r="D65" i="27"/>
  <c r="D78" i="27" s="1"/>
  <c r="G66" i="27"/>
  <c r="H66" i="27"/>
  <c r="I66" i="27"/>
  <c r="F66" i="27"/>
  <c r="C66" i="27"/>
  <c r="E66" i="27"/>
  <c r="D66" i="27"/>
  <c r="I71" i="27"/>
  <c r="F71" i="27"/>
  <c r="H71" i="27"/>
  <c r="D71" i="27"/>
  <c r="E71" i="27"/>
  <c r="C71" i="27"/>
  <c r="G71" i="27"/>
  <c r="I67" i="27"/>
  <c r="D67" i="27"/>
  <c r="G67" i="27"/>
  <c r="E67" i="27"/>
  <c r="C67" i="27"/>
  <c r="F67" i="27"/>
  <c r="H67" i="27"/>
  <c r="D72" i="27"/>
  <c r="E72" i="27"/>
  <c r="C72" i="27"/>
  <c r="F72" i="27"/>
  <c r="H72" i="27"/>
  <c r="I72" i="27"/>
  <c r="G72" i="27"/>
  <c r="I37" i="29"/>
  <c r="I39" i="29"/>
  <c r="J78" i="28"/>
  <c r="H28" i="28"/>
  <c r="H26" i="28"/>
  <c r="J76" i="28"/>
  <c r="J74" i="28"/>
  <c r="G43" i="27"/>
  <c r="G41" i="27"/>
  <c r="I10" i="27"/>
  <c r="I14" i="27"/>
  <c r="G76" i="27"/>
  <c r="H20" i="27"/>
  <c r="I5" i="27"/>
  <c r="I11" i="27"/>
  <c r="I13" i="27"/>
  <c r="H18" i="27"/>
  <c r="H22" i="27"/>
  <c r="G39" i="27"/>
  <c r="I7" i="27"/>
  <c r="I4" i="27"/>
  <c r="I6" i="27"/>
  <c r="I8" i="27"/>
  <c r="I16" i="27"/>
  <c r="I9" i="27"/>
  <c r="E10" i="26"/>
  <c r="C20" i="26"/>
  <c r="C78" i="27" l="1"/>
  <c r="C76" i="27"/>
  <c r="E74" i="27"/>
  <c r="D76" i="27"/>
  <c r="I22" i="27"/>
  <c r="I20" i="27"/>
  <c r="H43" i="28"/>
  <c r="I28" i="28"/>
  <c r="I43" i="28" s="1"/>
  <c r="H39" i="28"/>
  <c r="H41" i="28"/>
  <c r="I26" i="28"/>
  <c r="J73" i="27"/>
  <c r="F74" i="27"/>
  <c r="G74" i="27"/>
  <c r="F78" i="27"/>
  <c r="G78" i="27"/>
  <c r="J68" i="27"/>
  <c r="H31" i="27" s="1"/>
  <c r="I31" i="27" s="1"/>
  <c r="J64" i="27"/>
  <c r="H27" i="27" s="1"/>
  <c r="I27" i="27" s="1"/>
  <c r="J71" i="27"/>
  <c r="H34" i="27" s="1"/>
  <c r="I34" i="27" s="1"/>
  <c r="J72" i="27"/>
  <c r="H35" i="27" s="1"/>
  <c r="I35" i="27" s="1"/>
  <c r="J70" i="27"/>
  <c r="H33" i="27" s="1"/>
  <c r="I33" i="27" s="1"/>
  <c r="D74" i="27"/>
  <c r="J67" i="27"/>
  <c r="H30" i="27" s="1"/>
  <c r="I30" i="27" s="1"/>
  <c r="J63" i="27"/>
  <c r="C74" i="27"/>
  <c r="J66" i="27"/>
  <c r="H29" i="27" s="1"/>
  <c r="I29" i="27" s="1"/>
  <c r="I78" i="27"/>
  <c r="I74" i="27"/>
  <c r="I76" i="27"/>
  <c r="F76" i="27"/>
  <c r="J69" i="27"/>
  <c r="H32" i="27" s="1"/>
  <c r="I32" i="27" s="1"/>
  <c r="J65" i="27"/>
  <c r="E78" i="27"/>
  <c r="E76" i="27"/>
  <c r="I18" i="27"/>
  <c r="H78" i="27"/>
  <c r="H76" i="27"/>
  <c r="H74" i="27"/>
  <c r="H11" i="25"/>
  <c r="H10" i="25"/>
  <c r="F43" i="26"/>
  <c r="E43" i="26"/>
  <c r="D43" i="26"/>
  <c r="C43" i="26"/>
  <c r="F41" i="26"/>
  <c r="E41" i="26"/>
  <c r="D41" i="26"/>
  <c r="C41" i="26"/>
  <c r="F39" i="26"/>
  <c r="E39" i="26"/>
  <c r="C39" i="26"/>
  <c r="G36" i="26"/>
  <c r="I36" i="26" s="1"/>
  <c r="G35" i="26"/>
  <c r="G34" i="26"/>
  <c r="G33" i="26"/>
  <c r="G32" i="26"/>
  <c r="G31" i="26"/>
  <c r="G30" i="26"/>
  <c r="G29" i="26"/>
  <c r="G28" i="26"/>
  <c r="G27" i="26"/>
  <c r="G26" i="26"/>
  <c r="G22" i="26"/>
  <c r="F22" i="26"/>
  <c r="E22" i="26"/>
  <c r="C22" i="26"/>
  <c r="G20" i="26"/>
  <c r="F20" i="26"/>
  <c r="E20" i="26"/>
  <c r="G18" i="26"/>
  <c r="F18" i="26"/>
  <c r="C18" i="26"/>
  <c r="H17" i="26"/>
  <c r="I17" i="26" s="1"/>
  <c r="H16" i="26"/>
  <c r="I15" i="26"/>
  <c r="H14" i="26"/>
  <c r="F72" i="26" s="1"/>
  <c r="H13" i="26"/>
  <c r="F71" i="26" s="1"/>
  <c r="H12" i="26"/>
  <c r="F70" i="26" s="1"/>
  <c r="I11" i="26"/>
  <c r="H11" i="26"/>
  <c r="D70" i="26" s="1"/>
  <c r="H10" i="26"/>
  <c r="F69" i="26" s="1"/>
  <c r="E18" i="26"/>
  <c r="H9" i="26"/>
  <c r="F68" i="26" s="1"/>
  <c r="H8" i="26"/>
  <c r="F67" i="26" s="1"/>
  <c r="H7" i="26"/>
  <c r="F66" i="26" s="1"/>
  <c r="H6" i="26"/>
  <c r="F65" i="26" s="1"/>
  <c r="H5" i="26"/>
  <c r="F64" i="26" s="1"/>
  <c r="H4" i="26"/>
  <c r="F63" i="26" s="1"/>
  <c r="C69" i="26" l="1"/>
  <c r="F73" i="26"/>
  <c r="F74" i="26" s="1"/>
  <c r="C66" i="26"/>
  <c r="I41" i="28"/>
  <c r="I39" i="28"/>
  <c r="J78" i="27"/>
  <c r="H28" i="27"/>
  <c r="J76" i="27"/>
  <c r="J74" i="27"/>
  <c r="H26" i="27"/>
  <c r="C72" i="26"/>
  <c r="C68" i="26"/>
  <c r="C64" i="26"/>
  <c r="G70" i="26"/>
  <c r="I13" i="26"/>
  <c r="G64" i="26"/>
  <c r="G66" i="26"/>
  <c r="G68" i="26"/>
  <c r="C70" i="26"/>
  <c r="G71" i="26"/>
  <c r="G72" i="26"/>
  <c r="H64" i="26"/>
  <c r="H66" i="26"/>
  <c r="H68" i="26"/>
  <c r="H71" i="26"/>
  <c r="C73" i="26"/>
  <c r="D64" i="26"/>
  <c r="D66" i="26"/>
  <c r="D68" i="26"/>
  <c r="G69" i="26"/>
  <c r="C71" i="26"/>
  <c r="D72" i="26"/>
  <c r="F78" i="26"/>
  <c r="F76" i="26"/>
  <c r="G39" i="26"/>
  <c r="D39" i="26"/>
  <c r="G63" i="26"/>
  <c r="C65" i="26"/>
  <c r="G67" i="26"/>
  <c r="I4" i="26"/>
  <c r="I8" i="26"/>
  <c r="I16" i="26"/>
  <c r="G43" i="26"/>
  <c r="H65" i="26"/>
  <c r="H67" i="26"/>
  <c r="D69" i="26"/>
  <c r="H69" i="26"/>
  <c r="H72" i="26"/>
  <c r="I10" i="26"/>
  <c r="I12" i="26"/>
  <c r="I14" i="26"/>
  <c r="H20" i="26"/>
  <c r="G41" i="26"/>
  <c r="E63" i="26"/>
  <c r="I63" i="26"/>
  <c r="E64" i="26"/>
  <c r="I64" i="26"/>
  <c r="E65" i="26"/>
  <c r="I65" i="26"/>
  <c r="E66" i="26"/>
  <c r="I66" i="26"/>
  <c r="E67" i="26"/>
  <c r="I67" i="26"/>
  <c r="E68" i="26"/>
  <c r="I68" i="26"/>
  <c r="E69" i="26"/>
  <c r="I69" i="26"/>
  <c r="E70" i="26"/>
  <c r="I70" i="26"/>
  <c r="E71" i="26"/>
  <c r="I71" i="26"/>
  <c r="E72" i="26"/>
  <c r="I72" i="26"/>
  <c r="E73" i="26"/>
  <c r="H18" i="26"/>
  <c r="H22" i="26"/>
  <c r="C63" i="26"/>
  <c r="G65" i="26"/>
  <c r="C67" i="26"/>
  <c r="I6" i="26"/>
  <c r="D63" i="26"/>
  <c r="H63" i="26"/>
  <c r="D65" i="26"/>
  <c r="D67" i="26"/>
  <c r="H70" i="26"/>
  <c r="D71" i="26"/>
  <c r="D73" i="26"/>
  <c r="I5" i="26"/>
  <c r="I7" i="26"/>
  <c r="I9" i="26"/>
  <c r="J70" i="26" l="1"/>
  <c r="H33" i="26" s="1"/>
  <c r="I33" i="26" s="1"/>
  <c r="H43" i="27"/>
  <c r="I28" i="27"/>
  <c r="I43" i="27" s="1"/>
  <c r="H39" i="27"/>
  <c r="H41" i="27"/>
  <c r="I26" i="27"/>
  <c r="J73" i="26"/>
  <c r="J68" i="26"/>
  <c r="H31" i="26" s="1"/>
  <c r="I31" i="26" s="1"/>
  <c r="J71" i="26"/>
  <c r="H34" i="26" s="1"/>
  <c r="I34" i="26" s="1"/>
  <c r="E78" i="26"/>
  <c r="J69" i="26"/>
  <c r="H32" i="26" s="1"/>
  <c r="I32" i="26" s="1"/>
  <c r="G78" i="26"/>
  <c r="J72" i="26"/>
  <c r="H35" i="26" s="1"/>
  <c r="I35" i="26" s="1"/>
  <c r="J66" i="26"/>
  <c r="H29" i="26" s="1"/>
  <c r="I29" i="26" s="1"/>
  <c r="J64" i="26"/>
  <c r="H27" i="26" s="1"/>
  <c r="I27" i="26" s="1"/>
  <c r="H76" i="26"/>
  <c r="H74" i="26"/>
  <c r="D76" i="26"/>
  <c r="D74" i="26"/>
  <c r="J63" i="26"/>
  <c r="C76" i="26"/>
  <c r="C74" i="26"/>
  <c r="G76" i="26"/>
  <c r="G74" i="26"/>
  <c r="E76" i="26"/>
  <c r="E74" i="26"/>
  <c r="J65" i="26"/>
  <c r="C78" i="26"/>
  <c r="I22" i="26"/>
  <c r="H78" i="26"/>
  <c r="I20" i="26"/>
  <c r="I18" i="26"/>
  <c r="D78" i="26"/>
  <c r="J67" i="26"/>
  <c r="H30" i="26" s="1"/>
  <c r="I30" i="26" s="1"/>
  <c r="I78" i="26"/>
  <c r="I76" i="26"/>
  <c r="I74" i="26"/>
  <c r="I41" i="27" l="1"/>
  <c r="I39" i="27"/>
  <c r="H28" i="26"/>
  <c r="J78" i="26"/>
  <c r="H26" i="26"/>
  <c r="J76" i="26"/>
  <c r="J74" i="26"/>
  <c r="D32" i="25"/>
  <c r="E10" i="25"/>
  <c r="H41" i="26" l="1"/>
  <c r="H39" i="26"/>
  <c r="I26" i="26"/>
  <c r="H43" i="26"/>
  <c r="I28" i="26"/>
  <c r="I43" i="26" s="1"/>
  <c r="I39" i="26" l="1"/>
  <c r="I41" i="26"/>
  <c r="F43" i="25"/>
  <c r="E43" i="25"/>
  <c r="D43" i="25"/>
  <c r="C43" i="25"/>
  <c r="F41" i="25"/>
  <c r="E41" i="25"/>
  <c r="D41" i="25"/>
  <c r="C41" i="25"/>
  <c r="F39" i="25"/>
  <c r="E39" i="25"/>
  <c r="C39" i="25"/>
  <c r="G36" i="25"/>
  <c r="I36" i="25" s="1"/>
  <c r="G35" i="25"/>
  <c r="G34" i="25"/>
  <c r="G33" i="25"/>
  <c r="G32" i="25"/>
  <c r="D39" i="25"/>
  <c r="G31" i="25"/>
  <c r="G30" i="25"/>
  <c r="G29" i="25"/>
  <c r="G28" i="25"/>
  <c r="G27" i="25"/>
  <c r="G26" i="25"/>
  <c r="G22" i="25"/>
  <c r="F22" i="25"/>
  <c r="E22" i="25"/>
  <c r="C22" i="25"/>
  <c r="G20" i="25"/>
  <c r="F20" i="25"/>
  <c r="E20" i="25"/>
  <c r="C20" i="25"/>
  <c r="G18" i="25"/>
  <c r="F18" i="25"/>
  <c r="E18" i="25"/>
  <c r="C18" i="25"/>
  <c r="I17" i="25"/>
  <c r="H17" i="25"/>
  <c r="I16" i="25"/>
  <c r="H16" i="25"/>
  <c r="E73" i="25" s="1"/>
  <c r="I15" i="25"/>
  <c r="H14" i="25"/>
  <c r="C73" i="25" s="1"/>
  <c r="H13" i="25"/>
  <c r="C72" i="25" s="1"/>
  <c r="H12" i="25"/>
  <c r="C71" i="25" s="1"/>
  <c r="C70" i="25"/>
  <c r="G69" i="25"/>
  <c r="H9" i="25"/>
  <c r="G68" i="25" s="1"/>
  <c r="H8" i="25"/>
  <c r="G67" i="25" s="1"/>
  <c r="H7" i="25"/>
  <c r="G66" i="25" s="1"/>
  <c r="H6" i="25"/>
  <c r="G65" i="25" s="1"/>
  <c r="H5" i="25"/>
  <c r="G64" i="25" s="1"/>
  <c r="H4" i="25"/>
  <c r="G63" i="25" s="1"/>
  <c r="F73" i="25" l="1"/>
  <c r="I8" i="25"/>
  <c r="G43" i="25"/>
  <c r="G39" i="25"/>
  <c r="I10" i="25"/>
  <c r="D68" i="25"/>
  <c r="I6" i="25"/>
  <c r="F64" i="25"/>
  <c r="F63" i="25"/>
  <c r="H68" i="25"/>
  <c r="I9" i="25"/>
  <c r="F68" i="25"/>
  <c r="F67" i="25"/>
  <c r="H67" i="25"/>
  <c r="D67" i="25"/>
  <c r="D66" i="25"/>
  <c r="F66" i="25"/>
  <c r="H66" i="25"/>
  <c r="I7" i="25"/>
  <c r="D65" i="25"/>
  <c r="F65" i="25"/>
  <c r="H65" i="25"/>
  <c r="H64" i="25"/>
  <c r="I5" i="25"/>
  <c r="D64" i="25"/>
  <c r="H63" i="25"/>
  <c r="I4" i="25"/>
  <c r="D63" i="25"/>
  <c r="G76" i="25"/>
  <c r="D69" i="25"/>
  <c r="H69" i="25"/>
  <c r="D70" i="25"/>
  <c r="H70" i="25"/>
  <c r="D71" i="25"/>
  <c r="H71" i="25"/>
  <c r="D72" i="25"/>
  <c r="H72" i="25"/>
  <c r="D73" i="25"/>
  <c r="I12" i="25"/>
  <c r="I14" i="25"/>
  <c r="H20" i="25"/>
  <c r="G41" i="25"/>
  <c r="E63" i="25"/>
  <c r="I63" i="25"/>
  <c r="E64" i="25"/>
  <c r="I64" i="25"/>
  <c r="E65" i="25"/>
  <c r="I65" i="25"/>
  <c r="E66" i="25"/>
  <c r="I66" i="25"/>
  <c r="E67" i="25"/>
  <c r="I67" i="25"/>
  <c r="E68" i="25"/>
  <c r="I68" i="25"/>
  <c r="E69" i="25"/>
  <c r="I69" i="25"/>
  <c r="E70" i="25"/>
  <c r="I70" i="25"/>
  <c r="E71" i="25"/>
  <c r="I71" i="25"/>
  <c r="E72" i="25"/>
  <c r="I72" i="25"/>
  <c r="F69" i="25"/>
  <c r="F70" i="25"/>
  <c r="F71" i="25"/>
  <c r="F72" i="25"/>
  <c r="I11" i="25"/>
  <c r="I13" i="25"/>
  <c r="H18" i="25"/>
  <c r="H22" i="25"/>
  <c r="C63" i="25"/>
  <c r="C64" i="25"/>
  <c r="C65" i="25"/>
  <c r="C66" i="25"/>
  <c r="C67" i="25"/>
  <c r="C68" i="25"/>
  <c r="C69" i="25"/>
  <c r="G70" i="25"/>
  <c r="G71" i="25"/>
  <c r="G72" i="25"/>
  <c r="J73" i="25" l="1"/>
  <c r="J70" i="25"/>
  <c r="H33" i="25" s="1"/>
  <c r="I33" i="25" s="1"/>
  <c r="H76" i="25"/>
  <c r="G78" i="25"/>
  <c r="G74" i="25"/>
  <c r="J71" i="25"/>
  <c r="H34" i="25" s="1"/>
  <c r="I34" i="25" s="1"/>
  <c r="J67" i="25"/>
  <c r="H30" i="25" s="1"/>
  <c r="I30" i="25" s="1"/>
  <c r="F76" i="25"/>
  <c r="F74" i="25"/>
  <c r="J72" i="25"/>
  <c r="H35" i="25" s="1"/>
  <c r="I35" i="25" s="1"/>
  <c r="H78" i="25"/>
  <c r="H74" i="25"/>
  <c r="J69" i="25"/>
  <c r="H32" i="25" s="1"/>
  <c r="I32" i="25" s="1"/>
  <c r="F78" i="25"/>
  <c r="D76" i="25"/>
  <c r="I20" i="25"/>
  <c r="D74" i="25"/>
  <c r="I18" i="25"/>
  <c r="I22" i="25"/>
  <c r="J65" i="25"/>
  <c r="C78" i="25"/>
  <c r="J63" i="25"/>
  <c r="C76" i="25"/>
  <c r="C74" i="25"/>
  <c r="J66" i="25"/>
  <c r="H29" i="25" s="1"/>
  <c r="I29" i="25" s="1"/>
  <c r="I78" i="25"/>
  <c r="I76" i="25"/>
  <c r="I74" i="25"/>
  <c r="D78" i="25"/>
  <c r="J68" i="25"/>
  <c r="H31" i="25" s="1"/>
  <c r="I31" i="25" s="1"/>
  <c r="J64" i="25"/>
  <c r="H27" i="25" s="1"/>
  <c r="I27" i="25" s="1"/>
  <c r="E78" i="25"/>
  <c r="E76" i="25"/>
  <c r="E74" i="25"/>
  <c r="J76" i="25" l="1"/>
  <c r="J74" i="25"/>
  <c r="H26" i="25"/>
  <c r="J78" i="25"/>
  <c r="H28" i="25"/>
  <c r="H39" i="25" l="1"/>
  <c r="H41" i="25"/>
  <c r="I26" i="25"/>
  <c r="H43" i="25"/>
  <c r="I28" i="25"/>
  <c r="I43" i="25" s="1"/>
  <c r="I41" i="25" l="1"/>
  <c r="I39" i="25"/>
  <c r="D13" i="24" l="1"/>
  <c r="F13" i="24"/>
  <c r="O18" i="24" l="1"/>
  <c r="O13" i="24"/>
  <c r="O19" i="24" l="1"/>
  <c r="O17" i="24" l="1"/>
  <c r="N18" i="24" l="1"/>
  <c r="N13" i="24"/>
  <c r="N19" i="24" l="1"/>
  <c r="N17" i="24" l="1"/>
  <c r="H41" i="24" l="1"/>
  <c r="H40" i="24"/>
  <c r="H39" i="24"/>
  <c r="H35" i="24"/>
  <c r="H19" i="24"/>
  <c r="H18" i="24"/>
  <c r="H17" i="24"/>
  <c r="H13" i="24"/>
  <c r="G40" i="24" l="1"/>
  <c r="G35" i="24"/>
  <c r="G18" i="24"/>
  <c r="G13" i="24"/>
  <c r="F41" i="24" l="1"/>
  <c r="F40" i="24"/>
  <c r="F39" i="24"/>
  <c r="F35" i="24"/>
  <c r="F19" i="24"/>
  <c r="F18" i="24"/>
  <c r="F17" i="24"/>
  <c r="G41" i="24" l="1"/>
  <c r="G19" i="24"/>
  <c r="G39" i="24" l="1"/>
  <c r="D41" i="24"/>
  <c r="D40" i="24"/>
  <c r="D39" i="24"/>
  <c r="D35" i="24"/>
  <c r="D19" i="24"/>
  <c r="D18" i="24"/>
  <c r="D17" i="24"/>
  <c r="E18" i="24"/>
  <c r="E48" i="24"/>
  <c r="G17" i="24" l="1"/>
  <c r="E35" i="24"/>
  <c r="E13" i="24"/>
  <c r="E40" i="24"/>
  <c r="A2" i="18"/>
  <c r="E41" i="24" l="1"/>
  <c r="E19" i="24"/>
  <c r="C53" i="24" l="1"/>
  <c r="C51" i="24"/>
  <c r="D48" i="24"/>
  <c r="A40" i="24"/>
  <c r="A36" i="24"/>
  <c r="A37" i="24" s="1"/>
  <c r="Q35" i="24"/>
  <c r="C29" i="24"/>
  <c r="C22" i="24"/>
  <c r="C21" i="24"/>
  <c r="A14" i="24"/>
  <c r="Q13" i="24"/>
  <c r="E7" i="24"/>
  <c r="F7" i="24" s="1"/>
  <c r="G7" i="24" s="1"/>
  <c r="H7" i="24" s="1"/>
  <c r="I7" i="24" s="1"/>
  <c r="J7" i="24" s="1"/>
  <c r="K7" i="24" s="1"/>
  <c r="L7" i="24" s="1"/>
  <c r="M7" i="24" s="1"/>
  <c r="N7" i="24" s="1"/>
  <c r="O7" i="24" s="1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E26" i="15"/>
  <c r="E27" i="15" s="1"/>
  <c r="D20" i="16"/>
  <c r="D12" i="16"/>
  <c r="E12" i="16"/>
  <c r="E18" i="23"/>
  <c r="E20" i="23" s="1"/>
  <c r="P54" i="20"/>
  <c r="P51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L53" i="20" s="1"/>
  <c r="K43" i="20"/>
  <c r="K53" i="20" s="1"/>
  <c r="K55" i="20" s="1"/>
  <c r="J43" i="20"/>
  <c r="I43" i="20"/>
  <c r="H43" i="20"/>
  <c r="G43" i="20"/>
  <c r="F43" i="20"/>
  <c r="E43" i="20"/>
  <c r="D43" i="20"/>
  <c r="D53" i="20" s="1"/>
  <c r="D13" i="18" s="1"/>
  <c r="O42" i="20"/>
  <c r="O50" i="20" s="1"/>
  <c r="O52" i="20" s="1"/>
  <c r="N42" i="20"/>
  <c r="N50" i="20" s="1"/>
  <c r="N52" i="20" s="1"/>
  <c r="M42" i="20"/>
  <c r="M50" i="20" s="1"/>
  <c r="M52" i="20" s="1"/>
  <c r="L42" i="20"/>
  <c r="K42" i="20"/>
  <c r="K50" i="20" s="1"/>
  <c r="K52" i="20" s="1"/>
  <c r="J42" i="20"/>
  <c r="J50" i="20" s="1"/>
  <c r="J52" i="20" s="1"/>
  <c r="I42" i="20"/>
  <c r="I50" i="20" s="1"/>
  <c r="H42" i="20"/>
  <c r="H48" i="20" s="1"/>
  <c r="G42" i="20"/>
  <c r="G50" i="20" s="1"/>
  <c r="G52" i="20" s="1"/>
  <c r="F42" i="20"/>
  <c r="F50" i="20" s="1"/>
  <c r="F52" i="20" s="1"/>
  <c r="E42" i="20"/>
  <c r="E50" i="20" s="1"/>
  <c r="D42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P38" i="20"/>
  <c r="P37" i="20"/>
  <c r="P36" i="20"/>
  <c r="P35" i="20"/>
  <c r="P34" i="20"/>
  <c r="P33" i="20"/>
  <c r="P30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P20" i="20"/>
  <c r="P19" i="20"/>
  <c r="P18" i="20"/>
  <c r="P17" i="20"/>
  <c r="P16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P12" i="20"/>
  <c r="P11" i="20"/>
  <c r="P10" i="20"/>
  <c r="P9" i="20"/>
  <c r="P8" i="20"/>
  <c r="P7" i="20"/>
  <c r="A21" i="18"/>
  <c r="A22" i="18" s="1"/>
  <c r="A23" i="18" s="1"/>
  <c r="A25" i="18" s="1"/>
  <c r="A26" i="18" s="1"/>
  <c r="A8" i="18"/>
  <c r="A9" i="18" s="1"/>
  <c r="A10" i="18" s="1"/>
  <c r="C14" i="16"/>
  <c r="G33" i="15"/>
  <c r="F33" i="15"/>
  <c r="G31" i="15"/>
  <c r="F31" i="15"/>
  <c r="G30" i="15"/>
  <c r="F30" i="15"/>
  <c r="I21" i="15"/>
  <c r="H21" i="15"/>
  <c r="G21" i="15"/>
  <c r="F21" i="15"/>
  <c r="F32" i="15" s="1"/>
  <c r="E19" i="15"/>
  <c r="E13" i="15"/>
  <c r="K11" i="15"/>
  <c r="J11" i="15"/>
  <c r="I11" i="15"/>
  <c r="H11" i="15"/>
  <c r="G11" i="15"/>
  <c r="F11" i="15"/>
  <c r="E10" i="15"/>
  <c r="E9" i="15"/>
  <c r="K14" i="15" l="1"/>
  <c r="K15" i="15" s="1"/>
  <c r="D20" i="24"/>
  <c r="D21" i="24" s="1"/>
  <c r="D22" i="24" s="1"/>
  <c r="D23" i="24" s="1"/>
  <c r="D42" i="24"/>
  <c r="D43" i="24" s="1"/>
  <c r="D44" i="24" s="1"/>
  <c r="D45" i="24" s="1"/>
  <c r="E20" i="24"/>
  <c r="E21" i="24" s="1"/>
  <c r="F20" i="24"/>
  <c r="F21" i="24" s="1"/>
  <c r="E42" i="24"/>
  <c r="E43" i="24" s="1"/>
  <c r="J20" i="24"/>
  <c r="J21" i="24" s="1"/>
  <c r="I14" i="15"/>
  <c r="I15" i="15" s="1"/>
  <c r="I42" i="24"/>
  <c r="I43" i="24" s="1"/>
  <c r="M42" i="24"/>
  <c r="M43" i="24" s="1"/>
  <c r="N20" i="24"/>
  <c r="N21" i="24" s="1"/>
  <c r="P47" i="20"/>
  <c r="P39" i="20"/>
  <c r="D48" i="20"/>
  <c r="L48" i="20"/>
  <c r="H53" i="20"/>
  <c r="P44" i="20"/>
  <c r="P46" i="20"/>
  <c r="N9" i="18"/>
  <c r="P45" i="20"/>
  <c r="J9" i="18"/>
  <c r="G53" i="20"/>
  <c r="G55" i="20" s="1"/>
  <c r="O53" i="20"/>
  <c r="O55" i="20" s="1"/>
  <c r="F9" i="18"/>
  <c r="E39" i="24"/>
  <c r="H55" i="20"/>
  <c r="H13" i="18"/>
  <c r="L55" i="20"/>
  <c r="L13" i="18"/>
  <c r="E52" i="20"/>
  <c r="E9" i="18"/>
  <c r="A15" i="24"/>
  <c r="C24" i="24" s="1"/>
  <c r="C15" i="24"/>
  <c r="I52" i="20"/>
  <c r="I9" i="18"/>
  <c r="G32" i="15"/>
  <c r="C23" i="18"/>
  <c r="F34" i="15"/>
  <c r="F53" i="20"/>
  <c r="J48" i="20"/>
  <c r="N53" i="20"/>
  <c r="H20" i="24"/>
  <c r="H21" i="24" s="1"/>
  <c r="H22" i="24" s="1"/>
  <c r="H23" i="24" s="1"/>
  <c r="L20" i="24"/>
  <c r="L21" i="24" s="1"/>
  <c r="L22" i="24" s="1"/>
  <c r="L23" i="24" s="1"/>
  <c r="G42" i="24"/>
  <c r="G43" i="24" s="1"/>
  <c r="G44" i="24" s="1"/>
  <c r="G45" i="24" s="1"/>
  <c r="K42" i="24"/>
  <c r="K43" i="24" s="1"/>
  <c r="K44" i="24" s="1"/>
  <c r="K45" i="24" s="1"/>
  <c r="O42" i="24"/>
  <c r="O43" i="24" s="1"/>
  <c r="O44" i="24" s="1"/>
  <c r="O45" i="24" s="1"/>
  <c r="P13" i="20"/>
  <c r="O9" i="18"/>
  <c r="K9" i="18"/>
  <c r="G9" i="18"/>
  <c r="O13" i="18"/>
  <c r="K13" i="18"/>
  <c r="I20" i="24"/>
  <c r="I21" i="24" s="1"/>
  <c r="I22" i="24" s="1"/>
  <c r="I23" i="24" s="1"/>
  <c r="M20" i="24"/>
  <c r="C37" i="24"/>
  <c r="H42" i="24"/>
  <c r="H43" i="24" s="1"/>
  <c r="H44" i="24" s="1"/>
  <c r="H45" i="24" s="1"/>
  <c r="L42" i="24"/>
  <c r="L43" i="24" s="1"/>
  <c r="L44" i="24" s="1"/>
  <c r="L45" i="24" s="1"/>
  <c r="P22" i="20"/>
  <c r="E48" i="20"/>
  <c r="I53" i="20"/>
  <c r="M48" i="20"/>
  <c r="M9" i="18"/>
  <c r="G20" i="24"/>
  <c r="G21" i="24" s="1"/>
  <c r="G22" i="24" s="1"/>
  <c r="G23" i="24" s="1"/>
  <c r="K20" i="24"/>
  <c r="K21" i="24" s="1"/>
  <c r="K22" i="24" s="1"/>
  <c r="K23" i="24" s="1"/>
  <c r="O20" i="24"/>
  <c r="O21" i="24" s="1"/>
  <c r="O22" i="24" s="1"/>
  <c r="O23" i="24" s="1"/>
  <c r="F42" i="24"/>
  <c r="F43" i="24" s="1"/>
  <c r="F44" i="24" s="1"/>
  <c r="F45" i="24" s="1"/>
  <c r="J42" i="24"/>
  <c r="J43" i="24" s="1"/>
  <c r="J44" i="24" s="1"/>
  <c r="J45" i="24" s="1"/>
  <c r="N42" i="24"/>
  <c r="N43" i="24" s="1"/>
  <c r="N44" i="24" s="1"/>
  <c r="N45" i="24" s="1"/>
  <c r="F22" i="24"/>
  <c r="F23" i="24" s="1"/>
  <c r="J22" i="24"/>
  <c r="J23" i="24" s="1"/>
  <c r="N22" i="24"/>
  <c r="N23" i="24" s="1"/>
  <c r="I44" i="24"/>
  <c r="I45" i="24" s="1"/>
  <c r="M44" i="24"/>
  <c r="M45" i="24" s="1"/>
  <c r="P13" i="24"/>
  <c r="P35" i="24"/>
  <c r="A41" i="24"/>
  <c r="P40" i="24"/>
  <c r="P18" i="24"/>
  <c r="F14" i="15"/>
  <c r="F15" i="15" s="1"/>
  <c r="D21" i="16" s="1"/>
  <c r="I17" i="15"/>
  <c r="I23" i="15" s="1"/>
  <c r="I37" i="15" s="1"/>
  <c r="I38" i="15" s="1"/>
  <c r="E14" i="15"/>
  <c r="J14" i="15"/>
  <c r="J15" i="15" s="1"/>
  <c r="H14" i="15"/>
  <c r="H15" i="15" s="1"/>
  <c r="E22" i="23"/>
  <c r="E24" i="23" s="1"/>
  <c r="D55" i="20"/>
  <c r="F48" i="20"/>
  <c r="N48" i="20"/>
  <c r="J53" i="20"/>
  <c r="I48" i="20"/>
  <c r="D50" i="20"/>
  <c r="D9" i="18" s="1"/>
  <c r="L50" i="20"/>
  <c r="E53" i="20"/>
  <c r="M53" i="20"/>
  <c r="P43" i="20"/>
  <c r="G48" i="20"/>
  <c r="K48" i="20"/>
  <c r="O48" i="20"/>
  <c r="P42" i="20"/>
  <c r="H50" i="20"/>
  <c r="C27" i="18"/>
  <c r="A27" i="18"/>
  <c r="E11" i="15"/>
  <c r="E21" i="15"/>
  <c r="G14" i="15"/>
  <c r="G15" i="15" s="1"/>
  <c r="G17" i="15" s="1"/>
  <c r="G23" i="15" s="1"/>
  <c r="G13" i="18" l="1"/>
  <c r="P48" i="20"/>
  <c r="J57" i="20" s="1"/>
  <c r="E44" i="24"/>
  <c r="E45" i="24" s="1"/>
  <c r="M21" i="24"/>
  <c r="M22" i="24" s="1"/>
  <c r="M23" i="24" s="1"/>
  <c r="E17" i="24"/>
  <c r="E22" i="24" s="1"/>
  <c r="E23" i="24" s="1"/>
  <c r="E55" i="20"/>
  <c r="E13" i="18"/>
  <c r="J55" i="20"/>
  <c r="J13" i="18"/>
  <c r="E57" i="20"/>
  <c r="N55" i="20"/>
  <c r="N13" i="18"/>
  <c r="H52" i="20"/>
  <c r="H9" i="18"/>
  <c r="P9" i="18" s="1"/>
  <c r="O10" i="18" s="1"/>
  <c r="L52" i="20"/>
  <c r="L9" i="18"/>
  <c r="F55" i="20"/>
  <c r="F13" i="18"/>
  <c r="G34" i="15"/>
  <c r="E20" i="16"/>
  <c r="O57" i="20"/>
  <c r="M55" i="20"/>
  <c r="M13" i="18"/>
  <c r="F17" i="15"/>
  <c r="F23" i="15" s="1"/>
  <c r="D10" i="16" s="1"/>
  <c r="D14" i="16" s="1"/>
  <c r="D19" i="16" s="1"/>
  <c r="D22" i="16" s="1"/>
  <c r="P19" i="24"/>
  <c r="I55" i="20"/>
  <c r="I13" i="18"/>
  <c r="P41" i="24"/>
  <c r="P43" i="24"/>
  <c r="A42" i="24"/>
  <c r="A43" i="24" s="1"/>
  <c r="G37" i="15"/>
  <c r="G38" i="15" s="1"/>
  <c r="H17" i="15"/>
  <c r="H23" i="15" s="1"/>
  <c r="H37" i="15" s="1"/>
  <c r="H38" i="15" s="1"/>
  <c r="E21" i="16"/>
  <c r="P50" i="20"/>
  <c r="P52" i="20" s="1"/>
  <c r="D52" i="20"/>
  <c r="F57" i="20"/>
  <c r="D57" i="20"/>
  <c r="P53" i="20"/>
  <c r="P55" i="20" s="1"/>
  <c r="G57" i="20"/>
  <c r="N57" i="20"/>
  <c r="H57" i="20"/>
  <c r="K57" i="20"/>
  <c r="L57" i="20"/>
  <c r="M10" i="18"/>
  <c r="N10" i="18"/>
  <c r="F10" i="18"/>
  <c r="I10" i="18"/>
  <c r="D10" i="18"/>
  <c r="G10" i="18"/>
  <c r="H10" i="18"/>
  <c r="E15" i="15"/>
  <c r="F37" i="15"/>
  <c r="F38" i="15" s="1"/>
  <c r="E17" i="15"/>
  <c r="J10" i="18" l="1"/>
  <c r="P10" i="18" s="1"/>
  <c r="L10" i="18"/>
  <c r="E10" i="16"/>
  <c r="E14" i="16" s="1"/>
  <c r="P26" i="18" s="1"/>
  <c r="K10" i="18"/>
  <c r="E10" i="18"/>
  <c r="I57" i="20"/>
  <c r="P57" i="20" s="1"/>
  <c r="M57" i="20"/>
  <c r="P21" i="24"/>
  <c r="Q21" i="24"/>
  <c r="Q43" i="24"/>
  <c r="P13" i="18"/>
  <c r="E23" i="15"/>
  <c r="N23" i="18"/>
  <c r="N14" i="24" s="1"/>
  <c r="N15" i="24" s="1"/>
  <c r="N24" i="24" s="1"/>
  <c r="P22" i="18"/>
  <c r="O23" i="18" s="1"/>
  <c r="O14" i="24" s="1"/>
  <c r="O15" i="24" s="1"/>
  <c r="O24" i="24" s="1"/>
  <c r="A44" i="24"/>
  <c r="C46" i="24" s="1"/>
  <c r="C44" i="24"/>
  <c r="G48" i="24"/>
  <c r="C43" i="24"/>
  <c r="H23" i="18"/>
  <c r="H14" i="24" s="1"/>
  <c r="H15" i="24" s="1"/>
  <c r="H24" i="24" s="1"/>
  <c r="I23" i="18"/>
  <c r="I14" i="24" s="1"/>
  <c r="I15" i="24" s="1"/>
  <c r="I24" i="24" s="1"/>
  <c r="M23" i="18"/>
  <c r="M14" i="24" s="1"/>
  <c r="M15" i="24" s="1"/>
  <c r="M24" i="24" s="1"/>
  <c r="L23" i="18"/>
  <c r="L14" i="24" s="1"/>
  <c r="L15" i="24" s="1"/>
  <c r="L24" i="24" s="1"/>
  <c r="J23" i="18"/>
  <c r="J14" i="24" s="1"/>
  <c r="J15" i="24" s="1"/>
  <c r="J24" i="24" s="1"/>
  <c r="E23" i="18"/>
  <c r="D23" i="18"/>
  <c r="D14" i="24" s="1"/>
  <c r="D15" i="24" s="1"/>
  <c r="D24" i="24" s="1"/>
  <c r="D25" i="24" s="1"/>
  <c r="E19" i="16" l="1"/>
  <c r="E22" i="16" s="1"/>
  <c r="G23" i="18"/>
  <c r="G14" i="24" s="1"/>
  <c r="G15" i="24" s="1"/>
  <c r="G24" i="24" s="1"/>
  <c r="E14" i="24"/>
  <c r="E15" i="24" s="1"/>
  <c r="E24" i="24" s="1"/>
  <c r="E25" i="24" s="1"/>
  <c r="E57" i="24" s="1"/>
  <c r="K23" i="18"/>
  <c r="K14" i="24" s="1"/>
  <c r="K15" i="24" s="1"/>
  <c r="K24" i="24" s="1"/>
  <c r="K25" i="24" s="1"/>
  <c r="K57" i="24" s="1"/>
  <c r="O25" i="24"/>
  <c r="O57" i="24" s="1"/>
  <c r="N25" i="24"/>
  <c r="N57" i="24" s="1"/>
  <c r="M25" i="24"/>
  <c r="M57" i="24" s="1"/>
  <c r="L25" i="24"/>
  <c r="L57" i="24" s="1"/>
  <c r="J25" i="24"/>
  <c r="J57" i="24" s="1"/>
  <c r="I25" i="24"/>
  <c r="I57" i="24" s="1"/>
  <c r="H25" i="24"/>
  <c r="H57" i="24" s="1"/>
  <c r="G25" i="24"/>
  <c r="G57" i="24" s="1"/>
  <c r="I14" i="18"/>
  <c r="G14" i="18"/>
  <c r="O14" i="18"/>
  <c r="K14" i="18"/>
  <c r="K27" i="18" s="1"/>
  <c r="K36" i="24" s="1"/>
  <c r="K37" i="24" s="1"/>
  <c r="K46" i="24" s="1"/>
  <c r="L14" i="18"/>
  <c r="E14" i="18"/>
  <c r="H14" i="18"/>
  <c r="J14" i="18"/>
  <c r="J27" i="18" s="1"/>
  <c r="J36" i="24" s="1"/>
  <c r="J37" i="24" s="1"/>
  <c r="J46" i="24" s="1"/>
  <c r="D14" i="18"/>
  <c r="D27" i="18" s="1"/>
  <c r="D36" i="24" s="1"/>
  <c r="D37" i="24" s="1"/>
  <c r="D46" i="24" s="1"/>
  <c r="D47" i="24" s="1"/>
  <c r="F14" i="18"/>
  <c r="F27" i="18" s="1"/>
  <c r="F36" i="24" s="1"/>
  <c r="F37" i="24" s="1"/>
  <c r="F46" i="24" s="1"/>
  <c r="N14" i="18"/>
  <c r="M14" i="18"/>
  <c r="M27" i="18" s="1"/>
  <c r="M36" i="24" s="1"/>
  <c r="M37" i="24" s="1"/>
  <c r="M46" i="24" s="1"/>
  <c r="F23" i="18"/>
  <c r="P23" i="18" s="1"/>
  <c r="P44" i="24"/>
  <c r="Q44" i="24" s="1"/>
  <c r="P39" i="24"/>
  <c r="H48" i="24"/>
  <c r="I27" i="18"/>
  <c r="I36" i="24" s="1"/>
  <c r="I37" i="24" s="1"/>
  <c r="I46" i="24" s="1"/>
  <c r="O27" i="18"/>
  <c r="O36" i="24" s="1"/>
  <c r="O37" i="24" s="1"/>
  <c r="O46" i="24" s="1"/>
  <c r="G27" i="18"/>
  <c r="G36" i="24" s="1"/>
  <c r="G37" i="24" s="1"/>
  <c r="G46" i="24" s="1"/>
  <c r="L27" i="18"/>
  <c r="L36" i="24" s="1"/>
  <c r="L37" i="24" s="1"/>
  <c r="L46" i="24" s="1"/>
  <c r="E27" i="18"/>
  <c r="E36" i="24" s="1"/>
  <c r="E37" i="24" s="1"/>
  <c r="E46" i="24" s="1"/>
  <c r="H27" i="18"/>
  <c r="H36" i="24" s="1"/>
  <c r="H37" i="24" s="1"/>
  <c r="H46" i="24" s="1"/>
  <c r="N27" i="18"/>
  <c r="N36" i="24" s="1"/>
  <c r="N37" i="24" s="1"/>
  <c r="N46" i="24" s="1"/>
  <c r="F24" i="24" l="1"/>
  <c r="F14" i="24"/>
  <c r="F15" i="24" s="1"/>
  <c r="N47" i="24"/>
  <c r="N62" i="24" s="1"/>
  <c r="M47" i="24"/>
  <c r="M62" i="24" s="1"/>
  <c r="L47" i="24"/>
  <c r="L62" i="24" s="1"/>
  <c r="K47" i="24"/>
  <c r="K62" i="24" s="1"/>
  <c r="J47" i="24"/>
  <c r="J62" i="24" s="1"/>
  <c r="I47" i="24"/>
  <c r="I62" i="24" s="1"/>
  <c r="H47" i="24"/>
  <c r="H62" i="24" s="1"/>
  <c r="G47" i="24"/>
  <c r="G62" i="24" s="1"/>
  <c r="F25" i="24"/>
  <c r="F57" i="24" s="1"/>
  <c r="E47" i="24"/>
  <c r="E62" i="24" s="1"/>
  <c r="O47" i="24"/>
  <c r="O62" i="24" s="1"/>
  <c r="P14" i="18"/>
  <c r="F47" i="24"/>
  <c r="F62" i="24" s="1"/>
  <c r="P17" i="24"/>
  <c r="P27" i="18"/>
  <c r="P14" i="24" l="1"/>
  <c r="P15" i="24"/>
  <c r="Q14" i="24"/>
  <c r="Q15" i="24" s="1"/>
  <c r="P47" i="24"/>
  <c r="P22" i="24"/>
  <c r="Q22" i="24" s="1"/>
  <c r="R15" i="24" l="1"/>
  <c r="Q36" i="24"/>
  <c r="Q37" i="24" s="1"/>
  <c r="P36" i="24"/>
  <c r="P25" i="24"/>
  <c r="P24" i="24" l="1"/>
  <c r="D57" i="24"/>
  <c r="P37" i="24"/>
  <c r="R37" i="24" s="1"/>
  <c r="D62" i="24"/>
  <c r="D27" i="24"/>
  <c r="D29" i="24" l="1"/>
  <c r="E27" i="24" s="1"/>
  <c r="D58" i="24"/>
  <c r="D59" i="24"/>
  <c r="P46" i="24"/>
  <c r="D49" i="24"/>
  <c r="D28" i="24"/>
  <c r="D60" i="24" s="1"/>
  <c r="E59" i="24" l="1"/>
  <c r="E29" i="24"/>
  <c r="F27" i="24" s="1"/>
  <c r="F58" i="24" s="1"/>
  <c r="D51" i="24"/>
  <c r="D53" i="24" s="1"/>
  <c r="D63" i="24"/>
  <c r="D64" i="24"/>
  <c r="E58" i="24"/>
  <c r="E28" i="24"/>
  <c r="E60" i="24" s="1"/>
  <c r="D50" i="24"/>
  <c r="D65" i="24" s="1"/>
  <c r="E49" i="24" l="1"/>
  <c r="E63" i="24" s="1"/>
  <c r="F59" i="24"/>
  <c r="F28" i="24"/>
  <c r="F60" i="24" s="1"/>
  <c r="F29" i="24"/>
  <c r="G27" i="24" s="1"/>
  <c r="G28" i="24" s="1"/>
  <c r="G60" i="24" s="1"/>
  <c r="E51" i="24" l="1"/>
  <c r="E53" i="24" s="1"/>
  <c r="E64" i="24"/>
  <c r="E50" i="24"/>
  <c r="E65" i="24" s="1"/>
  <c r="G29" i="24"/>
  <c r="H27" i="24" s="1"/>
  <c r="H59" i="24" s="1"/>
  <c r="G58" i="24"/>
  <c r="G59" i="24"/>
  <c r="F49" i="24" l="1"/>
  <c r="F63" i="24" s="1"/>
  <c r="H28" i="24"/>
  <c r="H60" i="24" s="1"/>
  <c r="H29" i="24"/>
  <c r="I27" i="24" s="1"/>
  <c r="I28" i="24" s="1"/>
  <c r="I60" i="24" s="1"/>
  <c r="H58" i="24"/>
  <c r="F51" i="24" l="1"/>
  <c r="F53" i="24" s="1"/>
  <c r="F50" i="24"/>
  <c r="F65" i="24" s="1"/>
  <c r="F64" i="24"/>
  <c r="I59" i="24"/>
  <c r="I29" i="24"/>
  <c r="J27" i="24" s="1"/>
  <c r="J59" i="24" s="1"/>
  <c r="I58" i="24"/>
  <c r="G49" i="24" l="1"/>
  <c r="G64" i="24" s="1"/>
  <c r="J58" i="24"/>
  <c r="J28" i="24"/>
  <c r="J60" i="24" s="1"/>
  <c r="J29" i="24"/>
  <c r="K27" i="24" s="1"/>
  <c r="K28" i="24" s="1"/>
  <c r="K60" i="24" s="1"/>
  <c r="G50" i="24" l="1"/>
  <c r="G65" i="24" s="1"/>
  <c r="G63" i="24"/>
  <c r="G51" i="24"/>
  <c r="H49" i="24" s="1"/>
  <c r="H50" i="24" s="1"/>
  <c r="H65" i="24" s="1"/>
  <c r="K58" i="24"/>
  <c r="K59" i="24"/>
  <c r="K29" i="24"/>
  <c r="L27" i="24" s="1"/>
  <c r="L59" i="24" s="1"/>
  <c r="G53" i="24" l="1"/>
  <c r="H63" i="24"/>
  <c r="H64" i="24"/>
  <c r="H51" i="24"/>
  <c r="I49" i="24" s="1"/>
  <c r="L29" i="24"/>
  <c r="M27" i="24" s="1"/>
  <c r="M58" i="24" s="1"/>
  <c r="L58" i="24"/>
  <c r="L28" i="24"/>
  <c r="L60" i="24" s="1"/>
  <c r="H53" i="24" l="1"/>
  <c r="M59" i="24"/>
  <c r="M28" i="24"/>
  <c r="M60" i="24" s="1"/>
  <c r="M29" i="24"/>
  <c r="N27" i="24" s="1"/>
  <c r="N28" i="24" s="1"/>
  <c r="N60" i="24" s="1"/>
  <c r="I51" i="24"/>
  <c r="J49" i="24" s="1"/>
  <c r="I64" i="24"/>
  <c r="I63" i="24"/>
  <c r="I50" i="24"/>
  <c r="I65" i="24" s="1"/>
  <c r="N59" i="24" l="1"/>
  <c r="N29" i="24"/>
  <c r="O27" i="24" s="1"/>
  <c r="N58" i="24"/>
  <c r="I53" i="24"/>
  <c r="J51" i="24"/>
  <c r="J53" i="24" s="1"/>
  <c r="J64" i="24"/>
  <c r="J63" i="24"/>
  <c r="J50" i="24"/>
  <c r="J65" i="24" s="1"/>
  <c r="O29" i="24" l="1"/>
  <c r="K49" i="24"/>
  <c r="K63" i="24" s="1"/>
  <c r="O59" i="24"/>
  <c r="O58" i="24"/>
  <c r="O28" i="24"/>
  <c r="O60" i="24" s="1"/>
  <c r="P27" i="24"/>
  <c r="K64" i="24" l="1"/>
  <c r="K50" i="24"/>
  <c r="K65" i="24" s="1"/>
  <c r="K51" i="24"/>
  <c r="K53" i="24" s="1"/>
  <c r="P28" i="24"/>
  <c r="L49" i="24" l="1"/>
  <c r="L64" i="24" s="1"/>
  <c r="L51" i="24" l="1"/>
  <c r="L53" i="24" s="1"/>
  <c r="L63" i="24"/>
  <c r="L50" i="24"/>
  <c r="L65" i="24" s="1"/>
  <c r="M49" i="24" l="1"/>
  <c r="M63" i="24" s="1"/>
  <c r="M50" i="24" l="1"/>
  <c r="M65" i="24" s="1"/>
  <c r="M64" i="24"/>
  <c r="M51" i="24"/>
  <c r="M53" i="24" s="1"/>
  <c r="N49" i="24" l="1"/>
  <c r="N63" i="24" s="1"/>
  <c r="N64" i="24" l="1"/>
  <c r="N50" i="24"/>
  <c r="N65" i="24" s="1"/>
  <c r="N51" i="24"/>
  <c r="O49" i="24" s="1"/>
  <c r="N53" i="24" l="1"/>
  <c r="O64" i="24"/>
  <c r="O63" i="24"/>
  <c r="O51" i="24"/>
  <c r="O53" i="24" s="1"/>
  <c r="O50" i="24"/>
  <c r="O65" i="24" s="1"/>
  <c r="P49" i="24"/>
  <c r="P50" i="24" s="1"/>
</calcChain>
</file>

<file path=xl/sharedStrings.xml><?xml version="1.0" encoding="utf-8"?>
<sst xmlns="http://schemas.openxmlformats.org/spreadsheetml/2006/main" count="1387" uniqueCount="255">
  <si>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</si>
  <si>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</si>
  <si>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</si>
  <si>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</si>
  <si>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</si>
  <si>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</si>
  <si>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</si>
  <si>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</si>
  <si>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</si>
  <si>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</si>
  <si>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</si>
  <si>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</si>
  <si>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</si>
  <si>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</si>
  <si>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</si>
  <si>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</si>
  <si>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</si>
  <si>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</si>
  <si>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</si>
  <si>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</si>
  <si>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</si>
  <si>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</si>
  <si>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</si>
  <si>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</si>
  <si>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</si>
  <si>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</si>
  <si>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</si>
  <si>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</si>
  <si>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</si>
  <si>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</si>
  <si>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</si>
  <si>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</si>
  <si>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</si>
  <si>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</si>
  <si>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</si>
  <si>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</si>
  <si>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</si>
  <si>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</si>
  <si>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</si>
  <si>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</si>
  <si>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</si>
  <si>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</si>
  <si>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</si>
  <si>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</si>
  <si>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</si>
  <si>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</si>
  <si>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</si>
  <si>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</si>
  <si>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</si>
  <si>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</si>
  <si>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</si>
  <si>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</si>
  <si>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</si>
  <si>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</si>
  <si>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</si>
  <si>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</si>
  <si>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</si>
  <si>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</si>
  <si>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</si>
  <si>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</si>
  <si>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</si>
  <si>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</si>
  <si>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</si>
  <si>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</si>
  <si>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</si>
  <si>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</si>
  <si>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</si>
  <si>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</si>
  <si>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</si>
  <si>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</si>
  <si>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</si>
  <si>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</si>
  <si>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</si>
  <si>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</si>
  <si>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</si>
  <si>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</si>
  <si>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</si>
  <si>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</si>
  <si>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Monthly Rate Year</t>
  </si>
  <si>
    <t>Excluded From Decoupling</t>
  </si>
  <si>
    <t>Normalized kWhs (12ME Sept 2014 Test Year)</t>
  </si>
  <si>
    <t>Customer Bills (12ME Sept 2014 Test Year)</t>
  </si>
  <si>
    <t>Test Year # of Customers 12 ME 09.2014</t>
  </si>
  <si>
    <t>Normalized Usage by Month</t>
  </si>
  <si>
    <t>Twelve Months Ended September 30, 2014</t>
  </si>
  <si>
    <t>WASHINGTON ELECTRIC SYSTEM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</si>
  <si>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</si>
  <si>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</si>
  <si>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</si>
  <si>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</si>
  <si>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</si>
  <si>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</si>
  <si>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</si>
  <si>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</si>
  <si>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</si>
  <si>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</si>
  <si>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</si>
  <si>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Revenue Run Billed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</si>
  <si>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</si>
  <si>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</si>
  <si>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</si>
  <si>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</si>
  <si>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</si>
  <si>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</si>
  <si>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</si>
  <si>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</si>
  <si>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</si>
  <si>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</si>
  <si>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</si>
  <si>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</si>
  <si>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</si>
  <si>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</si>
  <si>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</si>
  <si>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</si>
  <si>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001 Customers</t>
  </si>
  <si>
    <t>Schedule 001 Norm Use/Customer</t>
  </si>
  <si>
    <t>Non-Residential Group Usage</t>
  </si>
  <si>
    <t>Non-Residential Group Customers</t>
  </si>
  <si>
    <t>Non-Residential Group Norm Use/Customer</t>
  </si>
  <si>
    <t>WA Jurisdiction % of Annual Usage</t>
  </si>
  <si>
    <t>Actual Res Decoupling:</t>
  </si>
  <si>
    <t>456328</t>
  </si>
  <si>
    <t>Res</t>
  </si>
  <si>
    <t>Residential Group</t>
  </si>
  <si>
    <t>Actual Customers</t>
  </si>
  <si>
    <t>Revenue System</t>
  </si>
  <si>
    <t>Average Customer True-Up</t>
  </si>
  <si>
    <t>Monthly Decoupled Revenue per Customer</t>
  </si>
  <si>
    <t>Actual Base Rate Revenue</t>
  </si>
  <si>
    <t>Actual Basic Charge Revenue</t>
  </si>
  <si>
    <t>Retail Revenue Credit ($/kWh)</t>
  </si>
  <si>
    <t>Variable Power Supply Payments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</si>
  <si>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</si>
  <si>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</si>
  <si>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</si>
  <si>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</si>
  <si>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</si>
  <si>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</si>
  <si>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</si>
  <si>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</si>
  <si>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</si>
  <si>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</si>
  <si>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456338</t>
  </si>
  <si>
    <t>Non-Res</t>
  </si>
  <si>
    <t>Non-Residential Revenue Per Customer Received</t>
  </si>
  <si>
    <t>Monthly Non-Residential Deferral Totals</t>
  </si>
  <si>
    <t>Cumulative Deferral (Rebate)/Surcharge Balance</t>
  </si>
  <si>
    <t>Total Cumulative Deferral (Rebate)/Surcharge Balance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</si>
  <si>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</si>
  <si>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</si>
  <si>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</si>
  <si>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</si>
  <si>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</si>
  <si>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</si>
  <si>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</si>
  <si>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</si>
  <si>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Accounting Entries</t>
  </si>
  <si>
    <t>Debit/(Credit)</t>
  </si>
  <si>
    <t>431605 Interest Expense</t>
  </si>
  <si>
    <t>419605 Interest Income</t>
  </si>
  <si>
    <t>186328 Residential Decoupled Deferred Revenue</t>
  </si>
  <si>
    <t>186338 Non-Residential Decoupled Deferred Revenue</t>
  </si>
  <si>
    <t>EDWA</t>
  </si>
  <si>
    <t>Total Normalized 12 ME Sept 2014 Revenue</t>
  </si>
  <si>
    <t>Allowed Revenue Increase (Attachment 1)</t>
  </si>
  <si>
    <t>Total Rate Revenue (January 11, 2016)</t>
  </si>
  <si>
    <t>Retail Revenue Adjustment (line 14)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</si>
  <si>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</si>
  <si>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</si>
  <si>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</si>
  <si>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</si>
  <si>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</si>
  <si>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</si>
  <si>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Attachment 4, Page 1</t>
  </si>
  <si>
    <t xml:space="preserve">  -UE-150204 Decoupled RPC</t>
  </si>
  <si>
    <t>Attachment 4, P. 2 L. 3</t>
  </si>
  <si>
    <t xml:space="preserve">  - Monthly Decoupled RPC</t>
  </si>
  <si>
    <t>WUTC Docket No. UE-150204</t>
  </si>
  <si>
    <t>Copied From EMA-6, Page 3</t>
  </si>
  <si>
    <t>Revenue Conversion Factor</t>
  </si>
  <si>
    <t>Washington - Electric System</t>
  </si>
  <si>
    <t>Twelve Months Ended December 31, 2014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</si>
  <si>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</si>
  <si>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</si>
  <si>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</si>
  <si>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</si>
  <si>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</si>
  <si>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</si>
  <si>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</si>
  <si>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</si>
  <si>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</si>
  <si>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</si>
  <si>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</si>
  <si>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</si>
  <si>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Decoupling Mechanism - UE-150204 Base effective 1/11/2016</t>
  </si>
  <si>
    <t>Attachment 4, Page 3</t>
  </si>
  <si>
    <t>Attachment 4,  Page 3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</si>
  <si>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</si>
  <si>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</si>
  <si>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</si>
  <si>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</si>
  <si>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</si>
  <si>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</si>
  <si>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WA002</t>
  </si>
  <si>
    <t>WA025 3rd block</t>
  </si>
  <si>
    <t>WA030</t>
  </si>
  <si>
    <t>Street Lights</t>
  </si>
  <si>
    <t>Sch 47 Area Lights</t>
  </si>
  <si>
    <t>Sch 48 Area Lights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</si>
  <si>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</si>
  <si>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</si>
  <si>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</si>
  <si>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</si>
  <si>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</si>
  <si>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</si>
  <si>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Unbilled Adder Schedule Revenue</t>
  </si>
  <si>
    <t>Base Rate Revenue</t>
  </si>
  <si>
    <t>Street &amp; Area Lights</t>
  </si>
  <si>
    <t>Adder Schedule Revenues</t>
  </si>
  <si>
    <t>Other Revenues</t>
  </si>
  <si>
    <t>Adder Schedule Rate Components:</t>
  </si>
  <si>
    <t>Sch 59</t>
  </si>
  <si>
    <t>Sch 89</t>
  </si>
  <si>
    <t>Sch 91</t>
  </si>
  <si>
    <t>Sch 92</t>
  </si>
  <si>
    <t>Sch 93</t>
  </si>
  <si>
    <t>Sch 98</t>
  </si>
  <si>
    <t>Net Unbilled Adder Schedule Revenue</t>
  </si>
  <si>
    <t>DJ 213 - Sch 89</t>
  </si>
  <si>
    <t>DJ213 - Sch 91</t>
  </si>
  <si>
    <t xml:space="preserve"> DJ213 - Sch 92</t>
  </si>
  <si>
    <t>DJ481 Sch 93</t>
  </si>
  <si>
    <t>DJ475 - Sch 98</t>
  </si>
  <si>
    <t>Total Net Unbilled Adder Schedule Revenue</t>
  </si>
  <si>
    <t xml:space="preserve">
DJ 127 - Sch 59</t>
  </si>
  <si>
    <t>1.13% of base revenue</t>
  </si>
  <si>
    <t>456328 Res Decoupling Deferral</t>
  </si>
  <si>
    <t xml:space="preserve">456338 Non-Res Decoupling Deferral </t>
  </si>
  <si>
    <t>Actual Usage (kWhs)</t>
  </si>
  <si>
    <t>Sch 75</t>
  </si>
  <si>
    <t>Development of WA Electric Deferrals (Calendar Year 2017)</t>
  </si>
  <si>
    <t>1.30% of base revenue</t>
  </si>
  <si>
    <t>Schedule 25 Schedule Shifting Special Circumstance</t>
  </si>
  <si>
    <t>Customer Count</t>
  </si>
  <si>
    <t>KWh Usage</t>
  </si>
  <si>
    <t>Base Rate Revenue Received</t>
  </si>
  <si>
    <t>November 1 Billing</t>
  </si>
  <si>
    <t>Customer 1</t>
  </si>
  <si>
    <t>Schedule 21 Adjustment</t>
  </si>
  <si>
    <t>Sch 21 Fixed Charge Revenue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</si>
  <si>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$52,878.</t>
    </r>
  </si>
  <si>
    <t>Add to Schedule 21 customer, usage and revenue statistics until incorporated in Decoupling base</t>
  </si>
  <si>
    <t>1 Large Schedule 21 customer in the test year moved to Schedule 25. (Schedule 25 not included in Decoupling, Schedule 21 included in Decoupling)</t>
  </si>
  <si>
    <t>December Billing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</si>
  <si>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$54,608.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</si>
</sst>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  <numFmt numFmtId="203" formatCode="_(* #,##0.000000_);_(* \(#,##0.000000\);_(* &quot;-&quot;??_);_(@_)"/>
    <numFmt numFmtId="204" formatCode="mmm\ yy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B2CFC"/>
      <name val="Times New Roman"/>
      <family val="1"/>
    </font>
    <font>
      <b/>
      <sz val="11"/>
      <color theme="1"/>
      <name val="Times New Roman"/>
      <family val="1"/>
    </font>
    <font>
      <sz val="11"/>
      <color rgb="FF3333FF"/>
      <name val="Calibri"/>
      <family val="2"/>
      <scheme val="minor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19" fillId="0" borderId="0"/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</cellStyleXfs>
  <cellXfs count="256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4" fontId="116" fillId="0" borderId="0" xfId="2" applyNumberFormat="1" applyFont="1" applyFill="1"/>
    <xf numFmtId="166" fontId="0" fillId="0" borderId="0" xfId="0" applyNumberFormat="1" applyBorder="1"/>
    <xf numFmtId="197" fontId="0" fillId="0" borderId="0" xfId="3" applyNumberFormat="1" applyFont="1"/>
    <xf numFmtId="0" fontId="118" fillId="0" borderId="0" xfId="4" applyFont="1"/>
    <xf numFmtId="0" fontId="124" fillId="33" borderId="0" xfId="4" applyFont="1" applyFill="1" applyAlignment="1"/>
    <xf numFmtId="0" fontId="124" fillId="33" borderId="0" xfId="0" applyFont="1" applyFill="1" applyAlignment="1"/>
    <xf numFmtId="0" fontId="125" fillId="0" borderId="0" xfId="4" applyNumberFormat="1" applyFont="1" applyBorder="1"/>
    <xf numFmtId="0" fontId="118" fillId="33" borderId="0" xfId="0" applyFont="1" applyFill="1" applyAlignment="1">
      <alignment horizontal="center"/>
    </xf>
    <xf numFmtId="0" fontId="115" fillId="33" borderId="0" xfId="0" applyFont="1" applyFill="1" applyAlignment="1">
      <alignment horizontal="center"/>
    </xf>
    <xf numFmtId="0" fontId="125" fillId="33" borderId="35" xfId="4" applyFont="1" applyFill="1" applyBorder="1" applyAlignment="1">
      <alignment horizontal="center" vertical="center" wrapText="1"/>
    </xf>
    <xf numFmtId="0" fontId="125" fillId="33" borderId="35" xfId="4" applyFont="1" applyFill="1" applyBorder="1" applyAlignment="1">
      <alignment vertical="center"/>
    </xf>
    <xf numFmtId="0" fontId="125" fillId="33" borderId="35" xfId="4" applyFont="1" applyFill="1" applyBorder="1" applyAlignment="1">
      <alignment horizontal="center" vertical="center"/>
    </xf>
    <xf numFmtId="167" fontId="125" fillId="33" borderId="35" xfId="4" applyNumberFormat="1" applyFont="1" applyFill="1" applyBorder="1" applyAlignment="1">
      <alignment horizontal="center" vertical="center"/>
    </xf>
    <xf numFmtId="0" fontId="125" fillId="33" borderId="0" xfId="4" applyFont="1" applyFill="1" applyAlignment="1">
      <alignment horizontal="left"/>
    </xf>
    <xf numFmtId="0" fontId="118" fillId="0" borderId="0" xfId="4" quotePrefix="1" applyFont="1"/>
    <xf numFmtId="166" fontId="118" fillId="102" borderId="0" xfId="1" applyNumberFormat="1" applyFont="1" applyFill="1" applyAlignment="1">
      <alignment horizontal="center"/>
    </xf>
    <xf numFmtId="166" fontId="118" fillId="33" borderId="0" xfId="1" applyNumberFormat="1" applyFont="1" applyFill="1"/>
    <xf numFmtId="0" fontId="125" fillId="33" borderId="0" xfId="4" applyFont="1" applyFill="1" applyAlignment="1">
      <alignment horizontal="center"/>
    </xf>
    <xf numFmtId="166" fontId="109" fillId="33" borderId="0" xfId="6" applyNumberFormat="1" applyFont="1" applyFill="1"/>
    <xf numFmtId="0" fontId="118" fillId="33" borderId="0" xfId="4" applyFont="1" applyFill="1" applyAlignment="1">
      <alignment horizontal="center" vertical="center" wrapText="1"/>
    </xf>
    <xf numFmtId="200" fontId="109" fillId="33" borderId="0" xfId="4" applyNumberFormat="1" applyFont="1" applyFill="1" applyAlignment="1">
      <alignment vertical="center" wrapText="1"/>
    </xf>
    <xf numFmtId="44" fontId="118" fillId="0" borderId="0" xfId="4" applyNumberFormat="1" applyFont="1" applyAlignment="1">
      <alignment vertical="center" wrapText="1"/>
    </xf>
    <xf numFmtId="164" fontId="109" fillId="33" borderId="0" xfId="4" applyNumberFormat="1" applyFont="1" applyFill="1"/>
    <xf numFmtId="164" fontId="118" fillId="33" borderId="0" xfId="4" applyNumberFormat="1" applyFont="1" applyFill="1"/>
    <xf numFmtId="164" fontId="118" fillId="0" borderId="0" xfId="4" applyNumberFormat="1" applyFont="1"/>
    <xf numFmtId="0" fontId="118" fillId="33" borderId="0" xfId="4" applyFont="1" applyFill="1" applyAlignment="1">
      <alignment horizontal="left"/>
    </xf>
    <xf numFmtId="166" fontId="118" fillId="0" borderId="0" xfId="1" applyNumberFormat="1" applyFont="1"/>
    <xf numFmtId="43" fontId="118" fillId="0" borderId="0" xfId="1" applyNumberFormat="1" applyFont="1"/>
    <xf numFmtId="165" fontId="118" fillId="33" borderId="0" xfId="4" applyNumberFormat="1" applyFont="1" applyFill="1"/>
    <xf numFmtId="44" fontId="18" fillId="103" borderId="0" xfId="2" applyNumberFormat="1" applyFont="1" applyFill="1"/>
    <xf numFmtId="0" fontId="118" fillId="33" borderId="0" xfId="4" applyFont="1" applyFill="1" applyAlignment="1"/>
    <xf numFmtId="0" fontId="18" fillId="0" borderId="0" xfId="4" applyFill="1"/>
    <xf numFmtId="164" fontId="109" fillId="102" borderId="0" xfId="4" applyNumberFormat="1" applyFont="1" applyFill="1"/>
    <xf numFmtId="203" fontId="118" fillId="33" borderId="0" xfId="1" applyNumberFormat="1" applyFont="1" applyFill="1"/>
    <xf numFmtId="10" fontId="109" fillId="0" borderId="0" xfId="3" applyNumberFormat="1" applyFont="1" applyFill="1"/>
    <xf numFmtId="164" fontId="109" fillId="33" borderId="0" xfId="5" applyNumberFormat="1" applyFont="1" applyFill="1"/>
    <xf numFmtId="0" fontId="118" fillId="0" borderId="0" xfId="4" applyFont="1" applyFill="1"/>
    <xf numFmtId="0" fontId="125" fillId="33" borderId="0" xfId="4" applyFont="1" applyFill="1"/>
    <xf numFmtId="164" fontId="117" fillId="33" borderId="36" xfId="4" applyNumberFormat="1" applyFont="1" applyFill="1" applyBorder="1"/>
    <xf numFmtId="164" fontId="125" fillId="33" borderId="36" xfId="4" applyNumberFormat="1" applyFont="1" applyFill="1" applyBorder="1"/>
    <xf numFmtId="166" fontId="18" fillId="0" borderId="0" xfId="1" applyNumberFormat="1" applyFont="1" applyFill="1"/>
    <xf numFmtId="164" fontId="117" fillId="33" borderId="44" xfId="4" applyNumberFormat="1" applyFont="1" applyFill="1" applyBorder="1"/>
    <xf numFmtId="166" fontId="18" fillId="0" borderId="0" xfId="4" applyNumberFormat="1" applyFill="1"/>
    <xf numFmtId="10" fontId="125" fillId="33" borderId="0" xfId="3" applyNumberFormat="1" applyFont="1" applyFill="1" applyBorder="1"/>
    <xf numFmtId="164" fontId="117" fillId="33" borderId="0" xfId="4" applyNumberFormat="1" applyFont="1" applyFill="1" applyBorder="1"/>
    <xf numFmtId="164" fontId="125" fillId="33" borderId="44" xfId="4" applyNumberFormat="1" applyFont="1" applyFill="1" applyBorder="1"/>
    <xf numFmtId="0" fontId="125" fillId="0" borderId="0" xfId="4" applyFont="1"/>
    <xf numFmtId="0" fontId="118" fillId="33" borderId="0" xfId="4" applyFont="1" applyFill="1" applyAlignment="1">
      <alignment wrapText="1"/>
    </xf>
    <xf numFmtId="0" fontId="125" fillId="33" borderId="0" xfId="4" applyFont="1" applyFill="1" applyAlignment="1">
      <alignment wrapText="1"/>
    </xf>
    <xf numFmtId="0" fontId="0" fillId="0" borderId="0" xfId="0" applyAlignment="1">
      <alignment horizontal="center"/>
    </xf>
    <xf numFmtId="166" fontId="118" fillId="0" borderId="0" xfId="6" applyNumberFormat="1" applyFont="1" applyFill="1"/>
    <xf numFmtId="164" fontId="118" fillId="0" borderId="0" xfId="4" applyNumberFormat="1" applyFont="1" applyFill="1"/>
    <xf numFmtId="166" fontId="118" fillId="0" borderId="0" xfId="1" applyNumberFormat="1" applyFont="1" applyFill="1"/>
    <xf numFmtId="0" fontId="125" fillId="0" borderId="0" xfId="4" applyFont="1" applyFill="1"/>
    <xf numFmtId="9" fontId="118" fillId="33" borderId="0" xfId="3" applyFont="1" applyFill="1" applyAlignment="1">
      <alignment horizontal="center"/>
    </xf>
    <xf numFmtId="17" fontId="125" fillId="33" borderId="35" xfId="4" applyNumberFormat="1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0" borderId="45" xfId="2" applyNumberFormat="1" applyFont="1" applyFill="1" applyBorder="1"/>
    <xf numFmtId="164" fontId="116" fillId="0" borderId="0" xfId="2" applyNumberFormat="1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41" fontId="119" fillId="33" borderId="10" xfId="9068" applyNumberFormat="1" applyFont="1" applyFill="1" applyBorder="1">
      <alignment horizontal="center" vertical="center" wrapText="1"/>
    </xf>
    <xf numFmtId="0" fontId="116" fillId="33" borderId="10" xfId="4" applyFont="1" applyFill="1" applyBorder="1"/>
    <xf numFmtId="41" fontId="117" fillId="33" borderId="10" xfId="9505" applyNumberFormat="1" applyFont="1" applyFill="1" applyBorder="1">
      <alignment horizontal="center" vertical="center" wrapText="1"/>
    </xf>
    <xf numFmtId="0" fontId="118" fillId="33" borderId="10" xfId="4" applyFont="1" applyFill="1" applyBorder="1"/>
    <xf numFmtId="41" fontId="117" fillId="33" borderId="10" xfId="9505" applyNumberFormat="1" applyFont="1" applyFill="1" applyBorder="1" applyAlignment="1">
      <alignment horizontal="center" vertical="center" wrapText="1"/>
    </xf>
    <xf numFmtId="167" fontId="117" fillId="33" borderId="10" xfId="9505" applyNumberFormat="1" applyFont="1" applyFill="1" applyBorder="1">
      <alignment horizontal="center" vertical="center" wrapText="1"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Continuous"/>
    </xf>
    <xf numFmtId="0" fontId="126" fillId="0" borderId="0" xfId="0" applyFont="1" applyAlignment="1">
      <alignment horizontal="centerContinuous"/>
    </xf>
    <xf numFmtId="0" fontId="109" fillId="0" borderId="0" xfId="0" applyFont="1"/>
    <xf numFmtId="0" fontId="127" fillId="0" borderId="0" xfId="0" applyFont="1"/>
    <xf numFmtId="0" fontId="117" fillId="0" borderId="0" xfId="0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7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7" fillId="0" borderId="15" xfId="0" applyNumberFormat="1" applyFont="1" applyBorder="1"/>
    <xf numFmtId="168" fontId="127" fillId="0" borderId="0" xfId="0" applyNumberFormat="1" applyFont="1" applyBorder="1"/>
    <xf numFmtId="10" fontId="128" fillId="0" borderId="0" xfId="0" applyNumberFormat="1" applyFont="1"/>
    <xf numFmtId="168" fontId="127" fillId="0" borderId="10" xfId="0" applyNumberFormat="1" applyFont="1" applyBorder="1"/>
    <xf numFmtId="168" fontId="127" fillId="104" borderId="47" xfId="0" applyNumberFormat="1" applyFont="1" applyFill="1" applyBorder="1"/>
    <xf numFmtId="0" fontId="118" fillId="0" borderId="0" xfId="4" applyFont="1" applyFill="1" applyAlignment="1">
      <alignment horizontal="center" vertical="center" wrapText="1"/>
    </xf>
    <xf numFmtId="200" fontId="109" fillId="0" borderId="0" xfId="4" applyNumberFormat="1" applyFont="1" applyFill="1" applyAlignment="1">
      <alignment vertical="center" wrapText="1"/>
    </xf>
    <xf numFmtId="0" fontId="118" fillId="0" borderId="0" xfId="4" applyFont="1" applyFill="1" applyAlignment="1">
      <alignment horizontal="center" wrapText="1"/>
    </xf>
    <xf numFmtId="165" fontId="109" fillId="0" borderId="0" xfId="5" applyNumberFormat="1" applyFont="1" applyFill="1"/>
    <xf numFmtId="166" fontId="130" fillId="33" borderId="0" xfId="6" applyNumberFormat="1" applyFont="1" applyFill="1"/>
    <xf numFmtId="164" fontId="130" fillId="33" borderId="0" xfId="4" applyNumberFormat="1" applyFont="1" applyFill="1"/>
    <xf numFmtId="166" fontId="130" fillId="33" borderId="0" xfId="1" applyNumberFormat="1" applyFont="1" applyFill="1"/>
    <xf numFmtId="44" fontId="0" fillId="0" borderId="0" xfId="0" applyNumberFormat="1"/>
    <xf numFmtId="14" fontId="0" fillId="0" borderId="0" xfId="0" applyNumberFormat="1"/>
    <xf numFmtId="0" fontId="0" fillId="0" borderId="0" xfId="0"/>
    <xf numFmtId="166" fontId="0" fillId="0" borderId="0" xfId="0" applyNumberFormat="1"/>
    <xf numFmtId="0" fontId="118" fillId="0" borderId="0" xfId="0" applyFont="1" applyFill="1"/>
    <xf numFmtId="0" fontId="117" fillId="104" borderId="0" xfId="0" applyFont="1" applyFill="1"/>
    <xf numFmtId="0" fontId="118" fillId="104" borderId="0" xfId="0" applyFont="1" applyFill="1"/>
    <xf numFmtId="204" fontId="118" fillId="104" borderId="0" xfId="0" applyNumberFormat="1" applyFont="1" applyFill="1" applyAlignment="1">
      <alignment horizontal="center"/>
    </xf>
    <xf numFmtId="204" fontId="118" fillId="104" borderId="0" xfId="0" applyNumberFormat="1" applyFont="1" applyFill="1" applyAlignment="1">
      <alignment horizontal="center" wrapText="1"/>
    </xf>
    <xf numFmtId="3" fontId="130" fillId="0" borderId="0" xfId="4" applyNumberFormat="1" applyFont="1" applyFill="1" applyAlignment="1">
      <alignment horizontal="left" indent="1"/>
    </xf>
    <xf numFmtId="166" fontId="132" fillId="0" borderId="0" xfId="1" applyNumberFormat="1" applyFont="1" applyFill="1"/>
    <xf numFmtId="166" fontId="109" fillId="0" borderId="0" xfId="1" applyNumberFormat="1" applyFont="1" applyFill="1"/>
    <xf numFmtId="166" fontId="118" fillId="0" borderId="36" xfId="0" applyNumberFormat="1" applyFont="1" applyFill="1" applyBorder="1"/>
    <xf numFmtId="166" fontId="125" fillId="0" borderId="48" xfId="0" applyNumberFormat="1" applyFont="1" applyFill="1" applyBorder="1"/>
    <xf numFmtId="166" fontId="118" fillId="0" borderId="0" xfId="0" applyNumberFormat="1" applyFont="1" applyFill="1"/>
    <xf numFmtId="0" fontId="118" fillId="0" borderId="49" xfId="0" applyFont="1" applyFill="1" applyBorder="1"/>
    <xf numFmtId="204" fontId="118" fillId="104" borderId="0" xfId="0" applyNumberFormat="1" applyFont="1" applyFill="1"/>
    <xf numFmtId="0" fontId="118" fillId="104" borderId="0" xfId="0" applyFont="1" applyFill="1" applyAlignment="1">
      <alignment horizontal="center"/>
    </xf>
    <xf numFmtId="44" fontId="118" fillId="0" borderId="36" xfId="2" applyFont="1" applyFill="1" applyBorder="1"/>
    <xf numFmtId="166" fontId="118" fillId="0" borderId="0" xfId="1" applyNumberFormat="1" applyFont="1" applyFill="1"/>
    <xf numFmtId="44" fontId="118" fillId="0" borderId="0" xfId="2" applyFont="1" applyFill="1"/>
    <xf numFmtId="44" fontId="125" fillId="0" borderId="48" xfId="2" applyFont="1" applyFill="1" applyBorder="1"/>
    <xf numFmtId="0" fontId="16" fillId="0" borderId="49" xfId="0" applyFont="1" applyBorder="1"/>
    <xf numFmtId="0" fontId="0" fillId="0" borderId="0" xfId="0" applyFill="1"/>
    <xf numFmtId="165" fontId="118" fillId="0" borderId="0" xfId="2" applyNumberFormat="1" applyFont="1" applyFill="1"/>
    <xf numFmtId="14" fontId="0" fillId="0" borderId="0" xfId="0" applyNumberFormat="1" applyAlignment="1">
      <alignment horizontal="center"/>
    </xf>
    <xf numFmtId="0" fontId="118" fillId="104" borderId="0" xfId="0" applyFont="1" applyFill="1" applyAlignment="1">
      <alignment horizontal="center" wrapText="1"/>
    </xf>
    <xf numFmtId="44" fontId="125" fillId="0" borderId="49" xfId="2" applyFont="1" applyFill="1" applyBorder="1"/>
    <xf numFmtId="44" fontId="109" fillId="0" borderId="0" xfId="2" applyFont="1" applyFill="1"/>
    <xf numFmtId="44" fontId="125" fillId="0" borderId="50" xfId="2" applyFont="1" applyFill="1" applyBorder="1"/>
    <xf numFmtId="44" fontId="118" fillId="0" borderId="0" xfId="2" applyFont="1" applyFill="1" applyBorder="1"/>
    <xf numFmtId="166" fontId="125" fillId="0" borderId="50" xfId="0" applyNumberFormat="1" applyFont="1" applyFill="1" applyBorder="1"/>
    <xf numFmtId="166" fontId="118" fillId="0" borderId="0" xfId="0" applyNumberFormat="1" applyFont="1" applyFill="1" applyBorder="1"/>
    <xf numFmtId="0" fontId="117" fillId="104" borderId="0" xfId="0" applyFont="1" applyFill="1" applyAlignment="1">
      <alignment horizontal="center" wrapText="1"/>
    </xf>
    <xf numFmtId="44" fontId="0" fillId="0" borderId="36" xfId="0" applyNumberFormat="1" applyBorder="1"/>
    <xf numFmtId="3" fontId="109" fillId="0" borderId="0" xfId="4" applyNumberFormat="1" applyFont="1" applyFill="1" applyAlignment="1">
      <alignment horizontal="left" indent="1"/>
    </xf>
    <xf numFmtId="44" fontId="134" fillId="0" borderId="0" xfId="2" applyFont="1" applyFill="1"/>
    <xf numFmtId="166" fontId="133" fillId="0" borderId="0" xfId="1" applyNumberFormat="1" applyFont="1" applyFill="1"/>
    <xf numFmtId="44" fontId="133" fillId="0" borderId="0" xfId="2" applyFont="1" applyFill="1"/>
    <xf numFmtId="165" fontId="118" fillId="0" borderId="0" xfId="2" applyNumberFormat="1" applyFont="1" applyFill="1" applyAlignment="1">
      <alignment wrapText="1"/>
    </xf>
    <xf numFmtId="44" fontId="131" fillId="0" borderId="0" xfId="0" applyNumberFormat="1" applyFont="1" applyFill="1"/>
    <xf numFmtId="44" fontId="0" fillId="0" borderId="0" xfId="0" applyNumberFormat="1" applyFill="1"/>
    <xf numFmtId="165" fontId="118" fillId="0" borderId="0" xfId="2" applyNumberFormat="1" applyFont="1" applyFill="1" applyAlignment="1"/>
    <xf numFmtId="0" fontId="0" fillId="0" borderId="0" xfId="0" applyAlignment="1">
      <alignment shrinkToFit="1"/>
    </xf>
    <xf numFmtId="0" fontId="0" fillId="0" borderId="35" xfId="0" applyFill="1" applyBorder="1"/>
    <xf numFmtId="44" fontId="125" fillId="0" borderId="0" xfId="2" applyFont="1" applyFill="1" applyBorder="1"/>
    <xf numFmtId="0" fontId="118" fillId="0" borderId="0" xfId="0" applyFont="1" applyFill="1" applyAlignment="1">
      <alignment horizontal="center"/>
    </xf>
    <xf numFmtId="0" fontId="117" fillId="0" borderId="0" xfId="0" applyFont="1" applyFill="1"/>
    <xf numFmtId="204" fontId="118" fillId="0" borderId="0" xfId="0" applyNumberFormat="1" applyFont="1" applyFill="1" applyAlignment="1">
      <alignment horizontal="center"/>
    </xf>
    <xf numFmtId="204" fontId="118" fillId="0" borderId="0" xfId="0" applyNumberFormat="1" applyFont="1" applyFill="1" applyAlignment="1">
      <alignment horizontal="center" wrapText="1"/>
    </xf>
    <xf numFmtId="204" fontId="118" fillId="0" borderId="0" xfId="0" applyNumberFormat="1" applyFont="1" applyFill="1"/>
    <xf numFmtId="0" fontId="118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166" fontId="115" fillId="0" borderId="0" xfId="0" applyNumberFormat="1" applyFont="1"/>
    <xf numFmtId="0" fontId="135" fillId="0" borderId="49" xfId="0" applyFont="1" applyBorder="1"/>
    <xf numFmtId="14" fontId="115" fillId="0" borderId="0" xfId="0" applyNumberFormat="1" applyFont="1"/>
    <xf numFmtId="14" fontId="115" fillId="0" borderId="0" xfId="0" applyNumberFormat="1" applyFont="1" applyAlignment="1">
      <alignment horizontal="center"/>
    </xf>
    <xf numFmtId="44" fontId="115" fillId="0" borderId="36" xfId="0" applyNumberFormat="1" applyFont="1" applyBorder="1"/>
    <xf numFmtId="0" fontId="118" fillId="0" borderId="0" xfId="0" applyFont="1" applyFill="1" applyAlignment="1">
      <alignment horizontal="center"/>
    </xf>
    <xf numFmtId="0" fontId="115" fillId="0" borderId="0" xfId="0" applyFont="1" applyFill="1"/>
    <xf numFmtId="0" fontId="115" fillId="0" borderId="35" xfId="0" applyFont="1" applyFill="1" applyBorder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14" fontId="118" fillId="0" borderId="0" xfId="0" applyNumberFormat="1" applyFont="1"/>
    <xf numFmtId="0" fontId="0" fillId="0" borderId="0" xfId="0" applyFill="1" applyAlignment="1">
      <alignment horizontal="center" wrapText="1"/>
    </xf>
    <xf numFmtId="0" fontId="136" fillId="0" borderId="0" xfId="0" applyFont="1" applyFill="1" applyAlignment="1">
      <alignment horizontal="center"/>
    </xf>
    <xf numFmtId="166" fontId="136" fillId="0" borderId="0" xfId="1" applyNumberFormat="1" applyFont="1" applyFill="1"/>
    <xf numFmtId="7" fontId="136" fillId="0" borderId="0" xfId="2" applyNumberFormat="1" applyFont="1" applyFill="1"/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36" xfId="0" applyFont="1" applyFill="1" applyBorder="1" applyAlignment="1">
      <alignment horizontal="center"/>
    </xf>
    <xf numFmtId="166" fontId="16" fillId="0" borderId="36" xfId="0" applyNumberFormat="1" applyFont="1" applyFill="1" applyBorder="1"/>
    <xf numFmtId="7" fontId="16" fillId="0" borderId="36" xfId="0" applyNumberFormat="1" applyFont="1" applyFill="1" applyBorder="1"/>
    <xf numFmtId="0" fontId="129" fillId="0" borderId="0" xfId="0" applyFont="1" applyFill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117" fillId="104" borderId="0" xfId="0" applyFont="1" applyFill="1" applyAlignment="1">
      <alignment horizontal="center"/>
    </xf>
    <xf numFmtId="0" fontId="21" fillId="104" borderId="0" xfId="0" applyFont="1" applyFill="1" applyAlignment="1">
      <alignment horizontal="center"/>
    </xf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4" fillId="33" borderId="0" xfId="4" applyFont="1" applyFill="1" applyAlignment="1">
      <alignment horizontal="center"/>
    </xf>
    <xf numFmtId="0" fontId="124" fillId="33" borderId="0" xfId="4" quotePrefix="1" applyFont="1" applyFill="1" applyAlignment="1">
      <alignment horizontal="center"/>
    </xf>
    <xf numFmtId="0" fontId="118" fillId="0" borderId="0" xfId="4" applyFont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</cellXfs>
  <cellStyles count="9555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2 2" xfId="9551" xr:uid="{00000000-0005-0000-0000-00006D1F0000}"/>
    <cellStyle name="Normal 152 3" xfId="9549" xr:uid="{00000000-0005-0000-0000-00006E1F0000}"/>
    <cellStyle name="Normal 153" xfId="9520" xr:uid="{00000000-0005-0000-0000-00006F1F0000}"/>
    <cellStyle name="Normal 153 2" xfId="9552" xr:uid="{00000000-0005-0000-0000-0000701F0000}"/>
    <cellStyle name="Normal 153 3" xfId="9550" xr:uid="{00000000-0005-0000-0000-0000711F0000}"/>
    <cellStyle name="Normal 154" xfId="9512" xr:uid="{00000000-0005-0000-0000-0000721F0000}"/>
    <cellStyle name="Normal 154 2" xfId="9553" xr:uid="{00000000-0005-0000-0000-0000731F0000}"/>
    <cellStyle name="Normal 154 3" xfId="9548" xr:uid="{00000000-0005-0000-0000-0000741F0000}"/>
    <cellStyle name="Normal 155" xfId="9506" xr:uid="{00000000-0005-0000-0000-0000751F0000}"/>
    <cellStyle name="Normal 155 2" xfId="9554" xr:uid="{00000000-0005-0000-0000-0000761F0000}"/>
    <cellStyle name="Normal 155 3" xfId="9547" xr:uid="{00000000-0005-0000-0000-0000771F0000}"/>
    <cellStyle name="Normal 156" xfId="9536" xr:uid="{00000000-0005-0000-0000-0000781F0000}"/>
    <cellStyle name="Normal 16" xfId="8032" xr:uid="{00000000-0005-0000-0000-0000791F0000}"/>
    <cellStyle name="Normal 16 2" xfId="8033" xr:uid="{00000000-0005-0000-0000-00007A1F0000}"/>
    <cellStyle name="Normal 16 3" xfId="8034" xr:uid="{00000000-0005-0000-0000-00007B1F0000}"/>
    <cellStyle name="Normal 16 3 2" xfId="8035" xr:uid="{00000000-0005-0000-0000-00007C1F0000}"/>
    <cellStyle name="Normal 16 3 3" xfId="8036" xr:uid="{00000000-0005-0000-0000-00007D1F0000}"/>
    <cellStyle name="Normal 16 4" xfId="8037" xr:uid="{00000000-0005-0000-0000-00007E1F0000}"/>
    <cellStyle name="Normal 16 4 2" xfId="8038" xr:uid="{00000000-0005-0000-0000-00007F1F0000}"/>
    <cellStyle name="Normal 16 5" xfId="8039" xr:uid="{00000000-0005-0000-0000-0000801F0000}"/>
    <cellStyle name="Normal 16 6" xfId="8040" xr:uid="{00000000-0005-0000-0000-0000811F0000}"/>
    <cellStyle name="Normal 16 7" xfId="8041" xr:uid="{00000000-0005-0000-0000-0000821F0000}"/>
    <cellStyle name="Normal 16_2011 CBR Rev Calc by schedule" xfId="8042" xr:uid="{00000000-0005-0000-0000-0000831F0000}"/>
    <cellStyle name="Normal 17" xfId="8043" xr:uid="{00000000-0005-0000-0000-0000841F0000}"/>
    <cellStyle name="Normal 17 2" xfId="8044" xr:uid="{00000000-0005-0000-0000-0000851F0000}"/>
    <cellStyle name="Normal 17 3" xfId="8045" xr:uid="{00000000-0005-0000-0000-0000861F0000}"/>
    <cellStyle name="Normal 17 3 2" xfId="8046" xr:uid="{00000000-0005-0000-0000-0000871F0000}"/>
    <cellStyle name="Normal 17 4" xfId="8047" xr:uid="{00000000-0005-0000-0000-0000881F0000}"/>
    <cellStyle name="Normal 17 5" xfId="8048" xr:uid="{00000000-0005-0000-0000-0000891F0000}"/>
    <cellStyle name="Normal 18" xfId="8049" xr:uid="{00000000-0005-0000-0000-00008A1F0000}"/>
    <cellStyle name="Normal 18 2" xfId="8050" xr:uid="{00000000-0005-0000-0000-00008B1F0000}"/>
    <cellStyle name="Normal 18 3" xfId="8051" xr:uid="{00000000-0005-0000-0000-00008C1F0000}"/>
    <cellStyle name="Normal 18 3 2" xfId="8052" xr:uid="{00000000-0005-0000-0000-00008D1F0000}"/>
    <cellStyle name="Normal 18 4" xfId="8053" xr:uid="{00000000-0005-0000-0000-00008E1F0000}"/>
    <cellStyle name="Normal 18 5" xfId="8054" xr:uid="{00000000-0005-0000-0000-00008F1F0000}"/>
    <cellStyle name="Normal 19" xfId="8055" xr:uid="{00000000-0005-0000-0000-0000901F0000}"/>
    <cellStyle name="Normal 19 2" xfId="8056" xr:uid="{00000000-0005-0000-0000-0000911F0000}"/>
    <cellStyle name="Normal 19 3" xfId="8057" xr:uid="{00000000-0005-0000-0000-0000921F0000}"/>
    <cellStyle name="Normal 19 3 2" xfId="8058" xr:uid="{00000000-0005-0000-0000-0000931F0000}"/>
    <cellStyle name="Normal 19 4" xfId="8059" xr:uid="{00000000-0005-0000-0000-0000941F0000}"/>
    <cellStyle name="Normal 2" xfId="4" xr:uid="{00000000-0005-0000-0000-0000951F0000}"/>
    <cellStyle name="Normal 2 10" xfId="8060" xr:uid="{00000000-0005-0000-0000-0000961F0000}"/>
    <cellStyle name="Normal 2 10 2" xfId="8061" xr:uid="{00000000-0005-0000-0000-0000971F0000}"/>
    <cellStyle name="Normal 2 10 2 2" xfId="8062" xr:uid="{00000000-0005-0000-0000-0000981F0000}"/>
    <cellStyle name="Normal 2 10 3" xfId="8063" xr:uid="{00000000-0005-0000-0000-0000991F0000}"/>
    <cellStyle name="Normal 2 11" xfId="8064" xr:uid="{00000000-0005-0000-0000-00009A1F0000}"/>
    <cellStyle name="Normal 2 11 2" xfId="8065" xr:uid="{00000000-0005-0000-0000-00009B1F0000}"/>
    <cellStyle name="Normal 2 12" xfId="8066" xr:uid="{00000000-0005-0000-0000-00009C1F0000}"/>
    <cellStyle name="Normal 2 13" xfId="9542" xr:uid="{00000000-0005-0000-0000-00009D1F0000}"/>
    <cellStyle name="Normal 2 2" xfId="8067" xr:uid="{00000000-0005-0000-0000-00009E1F0000}"/>
    <cellStyle name="Normal 2 2 10" xfId="8068" xr:uid="{00000000-0005-0000-0000-00009F1F0000}"/>
    <cellStyle name="Normal 2 2 11" xfId="8069" xr:uid="{00000000-0005-0000-0000-0000A01F0000}"/>
    <cellStyle name="Normal 2 2 2" xfId="8070" xr:uid="{00000000-0005-0000-0000-0000A11F0000}"/>
    <cellStyle name="Normal 2 2 2 2" xfId="8071" xr:uid="{00000000-0005-0000-0000-0000A21F0000}"/>
    <cellStyle name="Normal 2 2 2 2 2" xfId="8072" xr:uid="{00000000-0005-0000-0000-0000A31F0000}"/>
    <cellStyle name="Normal 2 2 2 3" xfId="8073" xr:uid="{00000000-0005-0000-0000-0000A41F0000}"/>
    <cellStyle name="Normal 2 2 2 3 2" xfId="8074" xr:uid="{00000000-0005-0000-0000-0000A51F0000}"/>
    <cellStyle name="Normal 2 2 2 4" xfId="8075" xr:uid="{00000000-0005-0000-0000-0000A61F0000}"/>
    <cellStyle name="Normal 2 2 2 5" xfId="8076" xr:uid="{00000000-0005-0000-0000-0000A71F0000}"/>
    <cellStyle name="Normal 2 2 2 6" xfId="8077" xr:uid="{00000000-0005-0000-0000-0000A81F0000}"/>
    <cellStyle name="Normal 2 2 2 7" xfId="8078" xr:uid="{00000000-0005-0000-0000-0000A91F0000}"/>
    <cellStyle name="Normal 2 2 2_Chelan PUD Power Costs (8-10)" xfId="8079" xr:uid="{00000000-0005-0000-0000-0000AA1F0000}"/>
    <cellStyle name="Normal 2 2 3" xfId="8080" xr:uid="{00000000-0005-0000-0000-0000AB1F0000}"/>
    <cellStyle name="Normal 2 2 3 2" xfId="8081" xr:uid="{00000000-0005-0000-0000-0000AC1F0000}"/>
    <cellStyle name="Normal 2 2 3 3" xfId="8082" xr:uid="{00000000-0005-0000-0000-0000AD1F0000}"/>
    <cellStyle name="Normal 2 2 4" xfId="8083" xr:uid="{00000000-0005-0000-0000-0000AE1F0000}"/>
    <cellStyle name="Normal 2 2 4 2" xfId="8084" xr:uid="{00000000-0005-0000-0000-0000AF1F0000}"/>
    <cellStyle name="Normal 2 2 5" xfId="8085" xr:uid="{00000000-0005-0000-0000-0000B01F0000}"/>
    <cellStyle name="Normal 2 2 6" xfId="8086" xr:uid="{00000000-0005-0000-0000-0000B11F0000}"/>
    <cellStyle name="Normal 2 2 7" xfId="8087" xr:uid="{00000000-0005-0000-0000-0000B21F0000}"/>
    <cellStyle name="Normal 2 2 8" xfId="8088" xr:uid="{00000000-0005-0000-0000-0000B31F0000}"/>
    <cellStyle name="Normal 2 2 9" xfId="8089" xr:uid="{00000000-0005-0000-0000-0000B41F0000}"/>
    <cellStyle name="Normal 2 2_ Price Inputs" xfId="8090" xr:uid="{00000000-0005-0000-0000-0000B51F0000}"/>
    <cellStyle name="Normal 2 23" xfId="9546" xr:uid="{00000000-0005-0000-0000-0000B61F0000}"/>
    <cellStyle name="Normal 2 3" xfId="8091" xr:uid="{00000000-0005-0000-0000-0000B71F0000}"/>
    <cellStyle name="Normal 2 3 2" xfId="8092" xr:uid="{00000000-0005-0000-0000-0000B81F0000}"/>
    <cellStyle name="Normal 2 3 3" xfId="8093" xr:uid="{00000000-0005-0000-0000-0000B91F0000}"/>
    <cellStyle name="Normal 2 3 4" xfId="8094" xr:uid="{00000000-0005-0000-0000-0000BA1F0000}"/>
    <cellStyle name="Normal 2 3 5" xfId="9540" xr:uid="{00000000-0005-0000-0000-0000BB1F0000}"/>
    <cellStyle name="Normal 2 4" xfId="8095" xr:uid="{00000000-0005-0000-0000-0000BC1F0000}"/>
    <cellStyle name="Normal 2 4 2" xfId="8096" xr:uid="{00000000-0005-0000-0000-0000BD1F0000}"/>
    <cellStyle name="Normal 2 4 3" xfId="8097" xr:uid="{00000000-0005-0000-0000-0000BE1F0000}"/>
    <cellStyle name="Normal 2 5" xfId="8098" xr:uid="{00000000-0005-0000-0000-0000BF1F0000}"/>
    <cellStyle name="Normal 2 5 2" xfId="8099" xr:uid="{00000000-0005-0000-0000-0000C01F0000}"/>
    <cellStyle name="Normal 2 5 3" xfId="8100" xr:uid="{00000000-0005-0000-0000-0000C11F0000}"/>
    <cellStyle name="Normal 2 6" xfId="8101" xr:uid="{00000000-0005-0000-0000-0000C21F0000}"/>
    <cellStyle name="Normal 2 6 2" xfId="8102" xr:uid="{00000000-0005-0000-0000-0000C31F0000}"/>
    <cellStyle name="Normal 2 6 2 2" xfId="8103" xr:uid="{00000000-0005-0000-0000-0000C41F0000}"/>
    <cellStyle name="Normal 2 6 3" xfId="8104" xr:uid="{00000000-0005-0000-0000-0000C51F0000}"/>
    <cellStyle name="Normal 2 6 4" xfId="8105" xr:uid="{00000000-0005-0000-0000-0000C61F0000}"/>
    <cellStyle name="Normal 2 6 5" xfId="8106" xr:uid="{00000000-0005-0000-0000-0000C71F0000}"/>
    <cellStyle name="Normal 2 6 6" xfId="8107" xr:uid="{00000000-0005-0000-0000-0000C81F0000}"/>
    <cellStyle name="Normal 2 7" xfId="8108" xr:uid="{00000000-0005-0000-0000-0000C91F0000}"/>
    <cellStyle name="Normal 2 7 2" xfId="8109" xr:uid="{00000000-0005-0000-0000-0000CA1F0000}"/>
    <cellStyle name="Normal 2 7 2 2" xfId="8110" xr:uid="{00000000-0005-0000-0000-0000CB1F0000}"/>
    <cellStyle name="Normal 2 7 3" xfId="8111" xr:uid="{00000000-0005-0000-0000-0000CC1F0000}"/>
    <cellStyle name="Normal 2 7 4" xfId="8112" xr:uid="{00000000-0005-0000-0000-0000CD1F0000}"/>
    <cellStyle name="Normal 2 8" xfId="8113" xr:uid="{00000000-0005-0000-0000-0000CE1F0000}"/>
    <cellStyle name="Normal 2 8 2" xfId="8114" xr:uid="{00000000-0005-0000-0000-0000CF1F0000}"/>
    <cellStyle name="Normal 2 8 2 2" xfId="8115" xr:uid="{00000000-0005-0000-0000-0000D01F0000}"/>
    <cellStyle name="Normal 2 8 2 2 2" xfId="8116" xr:uid="{00000000-0005-0000-0000-0000D11F0000}"/>
    <cellStyle name="Normal 2 8 2 3" xfId="8117" xr:uid="{00000000-0005-0000-0000-0000D21F0000}"/>
    <cellStyle name="Normal 2 8 3" xfId="8118" xr:uid="{00000000-0005-0000-0000-0000D31F0000}"/>
    <cellStyle name="Normal 2 8 3 2" xfId="8119" xr:uid="{00000000-0005-0000-0000-0000D41F0000}"/>
    <cellStyle name="Normal 2 8 4" xfId="8120" xr:uid="{00000000-0005-0000-0000-0000D51F0000}"/>
    <cellStyle name="Normal 2 8 5" xfId="8121" xr:uid="{00000000-0005-0000-0000-0000D61F0000}"/>
    <cellStyle name="Normal 2 9" xfId="8122" xr:uid="{00000000-0005-0000-0000-0000D71F0000}"/>
    <cellStyle name="Normal 2 9 2" xfId="8123" xr:uid="{00000000-0005-0000-0000-0000D81F0000}"/>
    <cellStyle name="Normal 2 9 2 2" xfId="8124" xr:uid="{00000000-0005-0000-0000-0000D91F0000}"/>
    <cellStyle name="Normal 2 9 3" xfId="8125" xr:uid="{00000000-0005-0000-0000-0000DA1F0000}"/>
    <cellStyle name="Normal 2 9 4" xfId="8126" xr:uid="{00000000-0005-0000-0000-0000DB1F0000}"/>
    <cellStyle name="Normal 2_16.37E Wild Horse Expansion DeferralRevwrkingfile SF" xfId="8127" xr:uid="{00000000-0005-0000-0000-0000DC1F0000}"/>
    <cellStyle name="Normal 20" xfId="8128" xr:uid="{00000000-0005-0000-0000-0000DD1F0000}"/>
    <cellStyle name="Normal 20 2" xfId="8129" xr:uid="{00000000-0005-0000-0000-0000DE1F0000}"/>
    <cellStyle name="Normal 20 2 2" xfId="8130" xr:uid="{00000000-0005-0000-0000-0000DF1F0000}"/>
    <cellStyle name="Normal 20 3" xfId="8131" xr:uid="{00000000-0005-0000-0000-0000E01F0000}"/>
    <cellStyle name="Normal 20 3 2" xfId="8132" xr:uid="{00000000-0005-0000-0000-0000E11F0000}"/>
    <cellStyle name="Normal 20 4" xfId="8133" xr:uid="{00000000-0005-0000-0000-0000E21F0000}"/>
    <cellStyle name="Normal 20 4 2" xfId="8134" xr:uid="{00000000-0005-0000-0000-0000E31F0000}"/>
    <cellStyle name="Normal 20 5" xfId="8135" xr:uid="{00000000-0005-0000-0000-0000E41F0000}"/>
    <cellStyle name="Normal 20 6" xfId="8136" xr:uid="{00000000-0005-0000-0000-0000E51F0000}"/>
    <cellStyle name="Normal 21" xfId="8137" xr:uid="{00000000-0005-0000-0000-0000E61F0000}"/>
    <cellStyle name="Normal 21 2" xfId="8138" xr:uid="{00000000-0005-0000-0000-0000E71F0000}"/>
    <cellStyle name="Normal 21 2 2" xfId="8139" xr:uid="{00000000-0005-0000-0000-0000E81F0000}"/>
    <cellStyle name="Normal 21 2 3" xfId="8140" xr:uid="{00000000-0005-0000-0000-0000E91F0000}"/>
    <cellStyle name="Normal 21 3" xfId="8141" xr:uid="{00000000-0005-0000-0000-0000EA1F0000}"/>
    <cellStyle name="Normal 21 3 2" xfId="8142" xr:uid="{00000000-0005-0000-0000-0000EB1F0000}"/>
    <cellStyle name="Normal 21 4" xfId="8143" xr:uid="{00000000-0005-0000-0000-0000EC1F0000}"/>
    <cellStyle name="Normal 21 5" xfId="8144" xr:uid="{00000000-0005-0000-0000-0000ED1F0000}"/>
    <cellStyle name="Normal 21 6" xfId="8145" xr:uid="{00000000-0005-0000-0000-0000EE1F0000}"/>
    <cellStyle name="Normal 22" xfId="8146" xr:uid="{00000000-0005-0000-0000-0000EF1F0000}"/>
    <cellStyle name="Normal 22 2" xfId="8147" xr:uid="{00000000-0005-0000-0000-0000F01F0000}"/>
    <cellStyle name="Normal 22 2 2" xfId="8148" xr:uid="{00000000-0005-0000-0000-0000F11F0000}"/>
    <cellStyle name="Normal 22 2 3" xfId="8149" xr:uid="{00000000-0005-0000-0000-0000F21F0000}"/>
    <cellStyle name="Normal 22 3" xfId="8150" xr:uid="{00000000-0005-0000-0000-0000F31F0000}"/>
    <cellStyle name="Normal 22 3 2" xfId="8151" xr:uid="{00000000-0005-0000-0000-0000F41F0000}"/>
    <cellStyle name="Normal 22 4" xfId="8152" xr:uid="{00000000-0005-0000-0000-0000F51F0000}"/>
    <cellStyle name="Normal 22 5" xfId="8153" xr:uid="{00000000-0005-0000-0000-0000F61F0000}"/>
    <cellStyle name="Normal 22 6" xfId="8154" xr:uid="{00000000-0005-0000-0000-0000F71F0000}"/>
    <cellStyle name="Normal 23" xfId="8155" xr:uid="{00000000-0005-0000-0000-0000F81F0000}"/>
    <cellStyle name="Normal 23 2" xfId="8156" xr:uid="{00000000-0005-0000-0000-0000F91F0000}"/>
    <cellStyle name="Normal 23 2 2" xfId="8157" xr:uid="{00000000-0005-0000-0000-0000FA1F0000}"/>
    <cellStyle name="Normal 23 2 3" xfId="8158" xr:uid="{00000000-0005-0000-0000-0000FB1F0000}"/>
    <cellStyle name="Normal 23 3" xfId="8159" xr:uid="{00000000-0005-0000-0000-0000FC1F0000}"/>
    <cellStyle name="Normal 23 3 2" xfId="8160" xr:uid="{00000000-0005-0000-0000-0000FD1F0000}"/>
    <cellStyle name="Normal 23 4" xfId="8161" xr:uid="{00000000-0005-0000-0000-0000FE1F0000}"/>
    <cellStyle name="Normal 23 5" xfId="8162" xr:uid="{00000000-0005-0000-0000-0000FF1F0000}"/>
    <cellStyle name="Normal 23 6" xfId="8163" xr:uid="{00000000-0005-0000-0000-000000200000}"/>
    <cellStyle name="Normal 24" xfId="8164" xr:uid="{00000000-0005-0000-0000-000001200000}"/>
    <cellStyle name="Normal 24 2" xfId="8165" xr:uid="{00000000-0005-0000-0000-000002200000}"/>
    <cellStyle name="Normal 24 2 2" xfId="8166" xr:uid="{00000000-0005-0000-0000-000003200000}"/>
    <cellStyle name="Normal 24 2 3" xfId="8167" xr:uid="{00000000-0005-0000-0000-000004200000}"/>
    <cellStyle name="Normal 24 3" xfId="8168" xr:uid="{00000000-0005-0000-0000-000005200000}"/>
    <cellStyle name="Normal 24 3 2" xfId="8169" xr:uid="{00000000-0005-0000-0000-000006200000}"/>
    <cellStyle name="Normal 24 4" xfId="8170" xr:uid="{00000000-0005-0000-0000-000007200000}"/>
    <cellStyle name="Normal 24 5" xfId="8171" xr:uid="{00000000-0005-0000-0000-000008200000}"/>
    <cellStyle name="Normal 25" xfId="8172" xr:uid="{00000000-0005-0000-0000-000009200000}"/>
    <cellStyle name="Normal 25 2" xfId="8173" xr:uid="{00000000-0005-0000-0000-00000A200000}"/>
    <cellStyle name="Normal 25 2 2" xfId="8174" xr:uid="{00000000-0005-0000-0000-00000B200000}"/>
    <cellStyle name="Normal 25 2 3" xfId="8175" xr:uid="{00000000-0005-0000-0000-00000C200000}"/>
    <cellStyle name="Normal 25 3" xfId="8176" xr:uid="{00000000-0005-0000-0000-00000D200000}"/>
    <cellStyle name="Normal 25 3 2" xfId="8177" xr:uid="{00000000-0005-0000-0000-00000E200000}"/>
    <cellStyle name="Normal 25 4" xfId="8178" xr:uid="{00000000-0005-0000-0000-00000F200000}"/>
    <cellStyle name="Normal 25 5" xfId="8179" xr:uid="{00000000-0005-0000-0000-000010200000}"/>
    <cellStyle name="Normal 26" xfId="8180" xr:uid="{00000000-0005-0000-0000-000011200000}"/>
    <cellStyle name="Normal 26 2" xfId="8181" xr:uid="{00000000-0005-0000-0000-000012200000}"/>
    <cellStyle name="Normal 26 2 2" xfId="8182" xr:uid="{00000000-0005-0000-0000-000013200000}"/>
    <cellStyle name="Normal 26 2 3" xfId="8183" xr:uid="{00000000-0005-0000-0000-000014200000}"/>
    <cellStyle name="Normal 26 3" xfId="8184" xr:uid="{00000000-0005-0000-0000-000015200000}"/>
    <cellStyle name="Normal 26 3 2" xfId="8185" xr:uid="{00000000-0005-0000-0000-000016200000}"/>
    <cellStyle name="Normal 26 4" xfId="8186" xr:uid="{00000000-0005-0000-0000-000017200000}"/>
    <cellStyle name="Normal 26 5" xfId="8187" xr:uid="{00000000-0005-0000-0000-000018200000}"/>
    <cellStyle name="Normal 27" xfId="8188" xr:uid="{00000000-0005-0000-0000-000019200000}"/>
    <cellStyle name="Normal 27 2" xfId="8189" xr:uid="{00000000-0005-0000-0000-00001A200000}"/>
    <cellStyle name="Normal 27 2 2" xfId="8190" xr:uid="{00000000-0005-0000-0000-00001B200000}"/>
    <cellStyle name="Normal 27 2 3" xfId="8191" xr:uid="{00000000-0005-0000-0000-00001C200000}"/>
    <cellStyle name="Normal 27 3" xfId="8192" xr:uid="{00000000-0005-0000-0000-00001D200000}"/>
    <cellStyle name="Normal 27 3 2" xfId="8193" xr:uid="{00000000-0005-0000-0000-00001E200000}"/>
    <cellStyle name="Normal 27 4" xfId="8194" xr:uid="{00000000-0005-0000-0000-00001F200000}"/>
    <cellStyle name="Normal 27 5" xfId="8195" xr:uid="{00000000-0005-0000-0000-000020200000}"/>
    <cellStyle name="Normal 28" xfId="8196" xr:uid="{00000000-0005-0000-0000-000021200000}"/>
    <cellStyle name="Normal 28 2" xfId="8197" xr:uid="{00000000-0005-0000-0000-000022200000}"/>
    <cellStyle name="Normal 28 2 2" xfId="8198" xr:uid="{00000000-0005-0000-0000-000023200000}"/>
    <cellStyle name="Normal 28 2 3" xfId="8199" xr:uid="{00000000-0005-0000-0000-000024200000}"/>
    <cellStyle name="Normal 28 3" xfId="8200" xr:uid="{00000000-0005-0000-0000-000025200000}"/>
    <cellStyle name="Normal 28 3 2" xfId="8201" xr:uid="{00000000-0005-0000-0000-000026200000}"/>
    <cellStyle name="Normal 28 4" xfId="8202" xr:uid="{00000000-0005-0000-0000-000027200000}"/>
    <cellStyle name="Normal 28 5" xfId="8203" xr:uid="{00000000-0005-0000-0000-000028200000}"/>
    <cellStyle name="Normal 29" xfId="8204" xr:uid="{00000000-0005-0000-0000-000029200000}"/>
    <cellStyle name="Normal 29 2" xfId="8205" xr:uid="{00000000-0005-0000-0000-00002A200000}"/>
    <cellStyle name="Normal 29 2 2" xfId="8206" xr:uid="{00000000-0005-0000-0000-00002B200000}"/>
    <cellStyle name="Normal 29 2 3" xfId="8207" xr:uid="{00000000-0005-0000-0000-00002C200000}"/>
    <cellStyle name="Normal 29 3" xfId="8208" xr:uid="{00000000-0005-0000-0000-00002D200000}"/>
    <cellStyle name="Normal 29 3 2" xfId="8209" xr:uid="{00000000-0005-0000-0000-00002E200000}"/>
    <cellStyle name="Normal 29 4" xfId="8210" xr:uid="{00000000-0005-0000-0000-00002F200000}"/>
    <cellStyle name="Normal 29 5" xfId="8211" xr:uid="{00000000-0005-0000-0000-000030200000}"/>
    <cellStyle name="Normal 3" xfId="8212" xr:uid="{00000000-0005-0000-0000-000031200000}"/>
    <cellStyle name="Normal 3 10" xfId="8213" xr:uid="{00000000-0005-0000-0000-000032200000}"/>
    <cellStyle name="Normal 3 11" xfId="9515" xr:uid="{00000000-0005-0000-0000-000033200000}"/>
    <cellStyle name="Normal 3 2" xfId="8214" xr:uid="{00000000-0005-0000-0000-000034200000}"/>
    <cellStyle name="Normal 3 2 2" xfId="8215" xr:uid="{00000000-0005-0000-0000-000035200000}"/>
    <cellStyle name="Normal 3 2 2 2" xfId="8216" xr:uid="{00000000-0005-0000-0000-000036200000}"/>
    <cellStyle name="Normal 3 2 3" xfId="8217" xr:uid="{00000000-0005-0000-0000-000037200000}"/>
    <cellStyle name="Normal 3 2 4" xfId="8218" xr:uid="{00000000-0005-0000-0000-000038200000}"/>
    <cellStyle name="Normal 3 2 5" xfId="8219" xr:uid="{00000000-0005-0000-0000-000039200000}"/>
    <cellStyle name="Normal 3 2 6" xfId="8220" xr:uid="{00000000-0005-0000-0000-00003A200000}"/>
    <cellStyle name="Normal 3 2 7" xfId="9529" xr:uid="{00000000-0005-0000-0000-00003B200000}"/>
    <cellStyle name="Normal 3 2_Chelan PUD Power Costs (8-10)" xfId="8221" xr:uid="{00000000-0005-0000-0000-00003C200000}"/>
    <cellStyle name="Normal 3 3" xfId="8222" xr:uid="{00000000-0005-0000-0000-00003D200000}"/>
    <cellStyle name="Normal 3 3 2" xfId="8223" xr:uid="{00000000-0005-0000-0000-00003E200000}"/>
    <cellStyle name="Normal 3 3 2 2" xfId="8224" xr:uid="{00000000-0005-0000-0000-00003F200000}"/>
    <cellStyle name="Normal 3 3 2 3" xfId="8225" xr:uid="{00000000-0005-0000-0000-000040200000}"/>
    <cellStyle name="Normal 3 3 3" xfId="8226" xr:uid="{00000000-0005-0000-0000-000041200000}"/>
    <cellStyle name="Normal 3 3 4" xfId="8227" xr:uid="{00000000-0005-0000-0000-000042200000}"/>
    <cellStyle name="Normal 3 3 5" xfId="8228" xr:uid="{00000000-0005-0000-0000-000043200000}"/>
    <cellStyle name="Normal 3 3 6" xfId="8229" xr:uid="{00000000-0005-0000-0000-000044200000}"/>
    <cellStyle name="Normal 3 4" xfId="8230" xr:uid="{00000000-0005-0000-0000-000045200000}"/>
    <cellStyle name="Normal 3 4 2" xfId="8231" xr:uid="{00000000-0005-0000-0000-000046200000}"/>
    <cellStyle name="Normal 3 4 2 2" xfId="8232" xr:uid="{00000000-0005-0000-0000-000047200000}"/>
    <cellStyle name="Normal 3 4 3" xfId="8233" xr:uid="{00000000-0005-0000-0000-000048200000}"/>
    <cellStyle name="Normal 3 4 3 2" xfId="8234" xr:uid="{00000000-0005-0000-0000-000049200000}"/>
    <cellStyle name="Normal 3 4 4" xfId="8235" xr:uid="{00000000-0005-0000-0000-00004A200000}"/>
    <cellStyle name="Normal 3 4 4 2" xfId="8236" xr:uid="{00000000-0005-0000-0000-00004B200000}"/>
    <cellStyle name="Normal 3 4 5" xfId="8237" xr:uid="{00000000-0005-0000-0000-00004C200000}"/>
    <cellStyle name="Normal 3 5" xfId="8238" xr:uid="{00000000-0005-0000-0000-00004D200000}"/>
    <cellStyle name="Normal 3 5 2" xfId="8239" xr:uid="{00000000-0005-0000-0000-00004E200000}"/>
    <cellStyle name="Normal 3 6" xfId="8240" xr:uid="{00000000-0005-0000-0000-00004F200000}"/>
    <cellStyle name="Normal 3 6 2" xfId="8241" xr:uid="{00000000-0005-0000-0000-000050200000}"/>
    <cellStyle name="Normal 3 7" xfId="8242" xr:uid="{00000000-0005-0000-0000-000051200000}"/>
    <cellStyle name="Normal 3 8" xfId="8243" xr:uid="{00000000-0005-0000-0000-000052200000}"/>
    <cellStyle name="Normal 3 9" xfId="8244" xr:uid="{00000000-0005-0000-0000-000053200000}"/>
    <cellStyle name="Normal 3_ Price Inputs" xfId="8245" xr:uid="{00000000-0005-0000-0000-000054200000}"/>
    <cellStyle name="Normal 30" xfId="8246" xr:uid="{00000000-0005-0000-0000-000055200000}"/>
    <cellStyle name="Normal 30 2" xfId="8247" xr:uid="{00000000-0005-0000-0000-000056200000}"/>
    <cellStyle name="Normal 30 2 2" xfId="8248" xr:uid="{00000000-0005-0000-0000-000057200000}"/>
    <cellStyle name="Normal 30 2 3" xfId="8249" xr:uid="{00000000-0005-0000-0000-000058200000}"/>
    <cellStyle name="Normal 30 3" xfId="8250" xr:uid="{00000000-0005-0000-0000-000059200000}"/>
    <cellStyle name="Normal 30 3 2" xfId="8251" xr:uid="{00000000-0005-0000-0000-00005A200000}"/>
    <cellStyle name="Normal 30 4" xfId="8252" xr:uid="{00000000-0005-0000-0000-00005B200000}"/>
    <cellStyle name="Normal 30 5" xfId="8253" xr:uid="{00000000-0005-0000-0000-00005C200000}"/>
    <cellStyle name="Normal 31" xfId="8254" xr:uid="{00000000-0005-0000-0000-00005D200000}"/>
    <cellStyle name="Normal 31 2" xfId="8255" xr:uid="{00000000-0005-0000-0000-00005E200000}"/>
    <cellStyle name="Normal 31 2 2" xfId="8256" xr:uid="{00000000-0005-0000-0000-00005F200000}"/>
    <cellStyle name="Normal 31 2 3" xfId="8257" xr:uid="{00000000-0005-0000-0000-000060200000}"/>
    <cellStyle name="Normal 31 3" xfId="8258" xr:uid="{00000000-0005-0000-0000-000061200000}"/>
    <cellStyle name="Normal 31 3 2" xfId="8259" xr:uid="{00000000-0005-0000-0000-000062200000}"/>
    <cellStyle name="Normal 31 4" xfId="8260" xr:uid="{00000000-0005-0000-0000-000063200000}"/>
    <cellStyle name="Normal 31 5" xfId="8261" xr:uid="{00000000-0005-0000-0000-000064200000}"/>
    <cellStyle name="Normal 32" xfId="8262" xr:uid="{00000000-0005-0000-0000-000065200000}"/>
    <cellStyle name="Normal 32 2" xfId="8263" xr:uid="{00000000-0005-0000-0000-000066200000}"/>
    <cellStyle name="Normal 32 2 2" xfId="8264" xr:uid="{00000000-0005-0000-0000-000067200000}"/>
    <cellStyle name="Normal 32 2 3" xfId="8265" xr:uid="{00000000-0005-0000-0000-000068200000}"/>
    <cellStyle name="Normal 32 3" xfId="8266" xr:uid="{00000000-0005-0000-0000-000069200000}"/>
    <cellStyle name="Normal 32 3 2" xfId="8267" xr:uid="{00000000-0005-0000-0000-00006A200000}"/>
    <cellStyle name="Normal 32 4" xfId="8268" xr:uid="{00000000-0005-0000-0000-00006B200000}"/>
    <cellStyle name="Normal 32 5" xfId="8269" xr:uid="{00000000-0005-0000-0000-00006C200000}"/>
    <cellStyle name="Normal 33" xfId="8270" xr:uid="{00000000-0005-0000-0000-00006D200000}"/>
    <cellStyle name="Normal 33 2" xfId="8271" xr:uid="{00000000-0005-0000-0000-00006E200000}"/>
    <cellStyle name="Normal 33 2 2" xfId="8272" xr:uid="{00000000-0005-0000-0000-00006F200000}"/>
    <cellStyle name="Normal 33 2 3" xfId="8273" xr:uid="{00000000-0005-0000-0000-000070200000}"/>
    <cellStyle name="Normal 33 3" xfId="8274" xr:uid="{00000000-0005-0000-0000-000071200000}"/>
    <cellStyle name="Normal 33 3 2" xfId="8275" xr:uid="{00000000-0005-0000-0000-000072200000}"/>
    <cellStyle name="Normal 33 4" xfId="8276" xr:uid="{00000000-0005-0000-0000-000073200000}"/>
    <cellStyle name="Normal 33 5" xfId="8277" xr:uid="{00000000-0005-0000-0000-000074200000}"/>
    <cellStyle name="Normal 34" xfId="8278" xr:uid="{00000000-0005-0000-0000-000075200000}"/>
    <cellStyle name="Normal 34 2" xfId="8279" xr:uid="{00000000-0005-0000-0000-000076200000}"/>
    <cellStyle name="Normal 34 2 2" xfId="8280" xr:uid="{00000000-0005-0000-0000-000077200000}"/>
    <cellStyle name="Normal 34 2 3" xfId="8281" xr:uid="{00000000-0005-0000-0000-000078200000}"/>
    <cellStyle name="Normal 34 3" xfId="8282" xr:uid="{00000000-0005-0000-0000-000079200000}"/>
    <cellStyle name="Normal 34 3 2" xfId="8283" xr:uid="{00000000-0005-0000-0000-00007A200000}"/>
    <cellStyle name="Normal 34 4" xfId="8284" xr:uid="{00000000-0005-0000-0000-00007B200000}"/>
    <cellStyle name="Normal 34 5" xfId="8285" xr:uid="{00000000-0005-0000-0000-00007C200000}"/>
    <cellStyle name="Normal 35" xfId="8286" xr:uid="{00000000-0005-0000-0000-00007D200000}"/>
    <cellStyle name="Normal 35 2" xfId="8287" xr:uid="{00000000-0005-0000-0000-00007E200000}"/>
    <cellStyle name="Normal 35 2 2" xfId="8288" xr:uid="{00000000-0005-0000-0000-00007F200000}"/>
    <cellStyle name="Normal 35 2 3" xfId="8289" xr:uid="{00000000-0005-0000-0000-000080200000}"/>
    <cellStyle name="Normal 35 3" xfId="8290" xr:uid="{00000000-0005-0000-0000-000081200000}"/>
    <cellStyle name="Normal 35 3 2" xfId="8291" xr:uid="{00000000-0005-0000-0000-000082200000}"/>
    <cellStyle name="Normal 35 4" xfId="8292" xr:uid="{00000000-0005-0000-0000-000083200000}"/>
    <cellStyle name="Normal 35 5" xfId="8293" xr:uid="{00000000-0005-0000-0000-000084200000}"/>
    <cellStyle name="Normal 36" xfId="8294" xr:uid="{00000000-0005-0000-0000-000085200000}"/>
    <cellStyle name="Normal 36 2" xfId="8295" xr:uid="{00000000-0005-0000-0000-000086200000}"/>
    <cellStyle name="Normal 36 2 2" xfId="8296" xr:uid="{00000000-0005-0000-0000-000087200000}"/>
    <cellStyle name="Normal 36 2 3" xfId="8297" xr:uid="{00000000-0005-0000-0000-000088200000}"/>
    <cellStyle name="Normal 36 3" xfId="8298" xr:uid="{00000000-0005-0000-0000-000089200000}"/>
    <cellStyle name="Normal 36 3 2" xfId="8299" xr:uid="{00000000-0005-0000-0000-00008A200000}"/>
    <cellStyle name="Normal 36 4" xfId="8300" xr:uid="{00000000-0005-0000-0000-00008B200000}"/>
    <cellStyle name="Normal 36 5" xfId="8301" xr:uid="{00000000-0005-0000-0000-00008C200000}"/>
    <cellStyle name="Normal 37" xfId="8302" xr:uid="{00000000-0005-0000-0000-00008D200000}"/>
    <cellStyle name="Normal 37 2" xfId="8303" xr:uid="{00000000-0005-0000-0000-00008E200000}"/>
    <cellStyle name="Normal 37 2 2" xfId="8304" xr:uid="{00000000-0005-0000-0000-00008F200000}"/>
    <cellStyle name="Normal 37 2 3" xfId="8305" xr:uid="{00000000-0005-0000-0000-000090200000}"/>
    <cellStyle name="Normal 37 3" xfId="8306" xr:uid="{00000000-0005-0000-0000-000091200000}"/>
    <cellStyle name="Normal 37 3 2" xfId="8307" xr:uid="{00000000-0005-0000-0000-000092200000}"/>
    <cellStyle name="Normal 37 4" xfId="8308" xr:uid="{00000000-0005-0000-0000-000093200000}"/>
    <cellStyle name="Normal 37 5" xfId="8309" xr:uid="{00000000-0005-0000-0000-000094200000}"/>
    <cellStyle name="Normal 38" xfId="8310" xr:uid="{00000000-0005-0000-0000-000095200000}"/>
    <cellStyle name="Normal 38 2" xfId="8311" xr:uid="{00000000-0005-0000-0000-000096200000}"/>
    <cellStyle name="Normal 38 2 2" xfId="8312" xr:uid="{00000000-0005-0000-0000-000097200000}"/>
    <cellStyle name="Normal 38 2 3" xfId="8313" xr:uid="{00000000-0005-0000-0000-000098200000}"/>
    <cellStyle name="Normal 38 3" xfId="8314" xr:uid="{00000000-0005-0000-0000-000099200000}"/>
    <cellStyle name="Normal 38 3 2" xfId="8315" xr:uid="{00000000-0005-0000-0000-00009A200000}"/>
    <cellStyle name="Normal 38 4" xfId="8316" xr:uid="{00000000-0005-0000-0000-00009B200000}"/>
    <cellStyle name="Normal 38 5" xfId="8317" xr:uid="{00000000-0005-0000-0000-00009C200000}"/>
    <cellStyle name="Normal 39" xfId="8318" xr:uid="{00000000-0005-0000-0000-00009D200000}"/>
    <cellStyle name="Normal 39 2" xfId="8319" xr:uid="{00000000-0005-0000-0000-00009E200000}"/>
    <cellStyle name="Normal 39 2 2" xfId="8320" xr:uid="{00000000-0005-0000-0000-00009F200000}"/>
    <cellStyle name="Normal 39 2 3" xfId="8321" xr:uid="{00000000-0005-0000-0000-0000A0200000}"/>
    <cellStyle name="Normal 39 3" xfId="8322" xr:uid="{00000000-0005-0000-0000-0000A1200000}"/>
    <cellStyle name="Normal 39 3 2" xfId="8323" xr:uid="{00000000-0005-0000-0000-0000A2200000}"/>
    <cellStyle name="Normal 39 4" xfId="8324" xr:uid="{00000000-0005-0000-0000-0000A3200000}"/>
    <cellStyle name="Normal 39 5" xfId="8325" xr:uid="{00000000-0005-0000-0000-0000A4200000}"/>
    <cellStyle name="Normal 4" xfId="8326" xr:uid="{00000000-0005-0000-0000-0000A5200000}"/>
    <cellStyle name="Normal 4 2" xfId="8327" xr:uid="{00000000-0005-0000-0000-0000A6200000}"/>
    <cellStyle name="Normal 4 2 2" xfId="8328" xr:uid="{00000000-0005-0000-0000-0000A7200000}"/>
    <cellStyle name="Normal 4 2 2 2" xfId="8329" xr:uid="{00000000-0005-0000-0000-0000A8200000}"/>
    <cellStyle name="Normal 4 2 2 3" xfId="8330" xr:uid="{00000000-0005-0000-0000-0000A9200000}"/>
    <cellStyle name="Normal 4 2 3" xfId="8331" xr:uid="{00000000-0005-0000-0000-0000AA200000}"/>
    <cellStyle name="Normal 4 2 3 2" xfId="8332" xr:uid="{00000000-0005-0000-0000-0000AB200000}"/>
    <cellStyle name="Normal 4 2 4" xfId="8333" xr:uid="{00000000-0005-0000-0000-0000AC200000}"/>
    <cellStyle name="Normal 4 2 5" xfId="8334" xr:uid="{00000000-0005-0000-0000-0000AD200000}"/>
    <cellStyle name="Normal 4 2 6" xfId="8335" xr:uid="{00000000-0005-0000-0000-0000AE200000}"/>
    <cellStyle name="Normal 4 3" xfId="8336" xr:uid="{00000000-0005-0000-0000-0000AF200000}"/>
    <cellStyle name="Normal 4 3 2" xfId="8337" xr:uid="{00000000-0005-0000-0000-0000B0200000}"/>
    <cellStyle name="Normal 4 4" xfId="8338" xr:uid="{00000000-0005-0000-0000-0000B1200000}"/>
    <cellStyle name="Normal 4 4 2" xfId="8339" xr:uid="{00000000-0005-0000-0000-0000B2200000}"/>
    <cellStyle name="Normal 4 5" xfId="8340" xr:uid="{00000000-0005-0000-0000-0000B3200000}"/>
    <cellStyle name="Normal 4 5 2" xfId="8341" xr:uid="{00000000-0005-0000-0000-0000B4200000}"/>
    <cellStyle name="Normal 4 6" xfId="8342" xr:uid="{00000000-0005-0000-0000-0000B5200000}"/>
    <cellStyle name="Normal 4 7" xfId="8343" xr:uid="{00000000-0005-0000-0000-0000B6200000}"/>
    <cellStyle name="Normal 4 8" xfId="9534" xr:uid="{00000000-0005-0000-0000-0000B7200000}"/>
    <cellStyle name="Normal 4_ Price Inputs" xfId="8344" xr:uid="{00000000-0005-0000-0000-0000B8200000}"/>
    <cellStyle name="Normal 40" xfId="8345" xr:uid="{00000000-0005-0000-0000-0000B9200000}"/>
    <cellStyle name="Normal 40 2" xfId="8346" xr:uid="{00000000-0005-0000-0000-0000BA200000}"/>
    <cellStyle name="Normal 41" xfId="8347" xr:uid="{00000000-0005-0000-0000-0000BB200000}"/>
    <cellStyle name="Normal 41 2" xfId="8348" xr:uid="{00000000-0005-0000-0000-0000BC200000}"/>
    <cellStyle name="Normal 41 2 2" xfId="8349" xr:uid="{00000000-0005-0000-0000-0000BD200000}"/>
    <cellStyle name="Normal 41 3" xfId="8350" xr:uid="{00000000-0005-0000-0000-0000BE200000}"/>
    <cellStyle name="Normal 41 3 2" xfId="8351" xr:uid="{00000000-0005-0000-0000-0000BF200000}"/>
    <cellStyle name="Normal 41 4" xfId="8352" xr:uid="{00000000-0005-0000-0000-0000C0200000}"/>
    <cellStyle name="Normal 41 4 2" xfId="8353" xr:uid="{00000000-0005-0000-0000-0000C1200000}"/>
    <cellStyle name="Normal 42" xfId="8354" xr:uid="{00000000-0005-0000-0000-0000C2200000}"/>
    <cellStyle name="Normal 42 2" xfId="8355" xr:uid="{00000000-0005-0000-0000-0000C3200000}"/>
    <cellStyle name="Normal 42 2 2" xfId="8356" xr:uid="{00000000-0005-0000-0000-0000C4200000}"/>
    <cellStyle name="Normal 42 2 2 2" xfId="8357" xr:uid="{00000000-0005-0000-0000-0000C5200000}"/>
    <cellStyle name="Normal 42 2 3" xfId="8358" xr:uid="{00000000-0005-0000-0000-0000C6200000}"/>
    <cellStyle name="Normal 42 3" xfId="8359" xr:uid="{00000000-0005-0000-0000-0000C7200000}"/>
    <cellStyle name="Normal 42 3 2" xfId="8360" xr:uid="{00000000-0005-0000-0000-0000C8200000}"/>
    <cellStyle name="Normal 42 4" xfId="8361" xr:uid="{00000000-0005-0000-0000-0000C9200000}"/>
    <cellStyle name="Normal 42 4 2" xfId="8362" xr:uid="{00000000-0005-0000-0000-0000CA200000}"/>
    <cellStyle name="Normal 42 5" xfId="8363" xr:uid="{00000000-0005-0000-0000-0000CB200000}"/>
    <cellStyle name="Normal 42 5 2" xfId="8364" xr:uid="{00000000-0005-0000-0000-0000CC200000}"/>
    <cellStyle name="Normal 43" xfId="8365" xr:uid="{00000000-0005-0000-0000-0000CD200000}"/>
    <cellStyle name="Normal 43 2" xfId="8366" xr:uid="{00000000-0005-0000-0000-0000CE200000}"/>
    <cellStyle name="Normal 43 3" xfId="8367" xr:uid="{00000000-0005-0000-0000-0000CF200000}"/>
    <cellStyle name="Normal 43 3 2" xfId="8368" xr:uid="{00000000-0005-0000-0000-0000D0200000}"/>
    <cellStyle name="Normal 44" xfId="8369" xr:uid="{00000000-0005-0000-0000-0000D1200000}"/>
    <cellStyle name="Normal 44 2" xfId="8370" xr:uid="{00000000-0005-0000-0000-0000D2200000}"/>
    <cellStyle name="Normal 44 2 2" xfId="8371" xr:uid="{00000000-0005-0000-0000-0000D3200000}"/>
    <cellStyle name="Normal 44 2 2 2" xfId="8372" xr:uid="{00000000-0005-0000-0000-0000D4200000}"/>
    <cellStyle name="Normal 44 2 3" xfId="8373" xr:uid="{00000000-0005-0000-0000-0000D5200000}"/>
    <cellStyle name="Normal 44 2 4" xfId="8374" xr:uid="{00000000-0005-0000-0000-0000D6200000}"/>
    <cellStyle name="Normal 44 3" xfId="8375" xr:uid="{00000000-0005-0000-0000-0000D7200000}"/>
    <cellStyle name="Normal 44 3 2" xfId="8376" xr:uid="{00000000-0005-0000-0000-0000D8200000}"/>
    <cellStyle name="Normal 44 3 3" xfId="8377" xr:uid="{00000000-0005-0000-0000-0000D9200000}"/>
    <cellStyle name="Normal 44 4" xfId="8378" xr:uid="{00000000-0005-0000-0000-0000DA200000}"/>
    <cellStyle name="Normal 44 4 2" xfId="8379" xr:uid="{00000000-0005-0000-0000-0000DB200000}"/>
    <cellStyle name="Normal 44 5" xfId="8380" xr:uid="{00000000-0005-0000-0000-0000DC200000}"/>
    <cellStyle name="Normal 44 5 2" xfId="8381" xr:uid="{00000000-0005-0000-0000-0000DD200000}"/>
    <cellStyle name="Normal 44 6" xfId="8382" xr:uid="{00000000-0005-0000-0000-0000DE200000}"/>
    <cellStyle name="Normal 44 7" xfId="8383" xr:uid="{00000000-0005-0000-0000-0000DF200000}"/>
    <cellStyle name="Normal 45" xfId="8384" xr:uid="{00000000-0005-0000-0000-0000E0200000}"/>
    <cellStyle name="Normal 45 2" xfId="8385" xr:uid="{00000000-0005-0000-0000-0000E1200000}"/>
    <cellStyle name="Normal 45 2 2" xfId="8386" xr:uid="{00000000-0005-0000-0000-0000E2200000}"/>
    <cellStyle name="Normal 45 3" xfId="8387" xr:uid="{00000000-0005-0000-0000-0000E3200000}"/>
    <cellStyle name="Normal 45 4" xfId="8388" xr:uid="{00000000-0005-0000-0000-0000E4200000}"/>
    <cellStyle name="Normal 45 5" xfId="8389" xr:uid="{00000000-0005-0000-0000-0000E5200000}"/>
    <cellStyle name="Normal 45 6" xfId="8390" xr:uid="{00000000-0005-0000-0000-0000E6200000}"/>
    <cellStyle name="Normal 46" xfId="8391" xr:uid="{00000000-0005-0000-0000-0000E7200000}"/>
    <cellStyle name="Normal 46 2" xfId="8392" xr:uid="{00000000-0005-0000-0000-0000E8200000}"/>
    <cellStyle name="Normal 46 2 2" xfId="8393" xr:uid="{00000000-0005-0000-0000-0000E9200000}"/>
    <cellStyle name="Normal 46 2 3" xfId="8394" xr:uid="{00000000-0005-0000-0000-0000EA200000}"/>
    <cellStyle name="Normal 46 3" xfId="8395" xr:uid="{00000000-0005-0000-0000-0000EB200000}"/>
    <cellStyle name="Normal 46 4" xfId="8396" xr:uid="{00000000-0005-0000-0000-0000EC200000}"/>
    <cellStyle name="Normal 46 5" xfId="8397" xr:uid="{00000000-0005-0000-0000-0000ED200000}"/>
    <cellStyle name="Normal 46 6" xfId="8398" xr:uid="{00000000-0005-0000-0000-0000EE200000}"/>
    <cellStyle name="Normal 47" xfId="8399" xr:uid="{00000000-0005-0000-0000-0000EF200000}"/>
    <cellStyle name="Normal 47 2" xfId="8400" xr:uid="{00000000-0005-0000-0000-0000F0200000}"/>
    <cellStyle name="Normal 47 2 2" xfId="8401" xr:uid="{00000000-0005-0000-0000-0000F1200000}"/>
    <cellStyle name="Normal 47 3" xfId="8402" xr:uid="{00000000-0005-0000-0000-0000F2200000}"/>
    <cellStyle name="Normal 47 3 2" xfId="8403" xr:uid="{00000000-0005-0000-0000-0000F3200000}"/>
    <cellStyle name="Normal 47 4" xfId="8404" xr:uid="{00000000-0005-0000-0000-0000F4200000}"/>
    <cellStyle name="Normal 47 4 2" xfId="8405" xr:uid="{00000000-0005-0000-0000-0000F5200000}"/>
    <cellStyle name="Normal 47 5" xfId="8406" xr:uid="{00000000-0005-0000-0000-0000F6200000}"/>
    <cellStyle name="Normal 48" xfId="8407" xr:uid="{00000000-0005-0000-0000-0000F7200000}"/>
    <cellStyle name="Normal 48 2" xfId="8408" xr:uid="{00000000-0005-0000-0000-0000F8200000}"/>
    <cellStyle name="Normal 48 2 2" xfId="8409" xr:uid="{00000000-0005-0000-0000-0000F9200000}"/>
    <cellStyle name="Normal 48 3" xfId="8410" xr:uid="{00000000-0005-0000-0000-0000FA200000}"/>
    <cellStyle name="Normal 48 3 2" xfId="8411" xr:uid="{00000000-0005-0000-0000-0000FB200000}"/>
    <cellStyle name="Normal 48 4" xfId="8412" xr:uid="{00000000-0005-0000-0000-0000FC200000}"/>
    <cellStyle name="Normal 48 4 2" xfId="8413" xr:uid="{00000000-0005-0000-0000-0000FD200000}"/>
    <cellStyle name="Normal 49" xfId="8414" xr:uid="{00000000-0005-0000-0000-0000FE200000}"/>
    <cellStyle name="Normal 49 2" xfId="8415" xr:uid="{00000000-0005-0000-0000-0000FF200000}"/>
    <cellStyle name="Normal 49 2 2" xfId="8416" xr:uid="{00000000-0005-0000-0000-000000210000}"/>
    <cellStyle name="Normal 49 3" xfId="8417" xr:uid="{00000000-0005-0000-0000-000001210000}"/>
    <cellStyle name="Normal 49 3 2" xfId="8418" xr:uid="{00000000-0005-0000-0000-000002210000}"/>
    <cellStyle name="Normal 49 4" xfId="8419" xr:uid="{00000000-0005-0000-0000-000003210000}"/>
    <cellStyle name="Normal 49 4 2" xfId="8420" xr:uid="{00000000-0005-0000-0000-000004210000}"/>
    <cellStyle name="Normal 5" xfId="8421" xr:uid="{00000000-0005-0000-0000-000005210000}"/>
    <cellStyle name="Normal 5 2" xfId="8422" xr:uid="{00000000-0005-0000-0000-000006210000}"/>
    <cellStyle name="Normal 5 2 2" xfId="8423" xr:uid="{00000000-0005-0000-0000-000007210000}"/>
    <cellStyle name="Normal 5 2 3" xfId="8424" xr:uid="{00000000-0005-0000-0000-000008210000}"/>
    <cellStyle name="Normal 5 2 4" xfId="9527" xr:uid="{00000000-0005-0000-0000-000009210000}"/>
    <cellStyle name="Normal 5 3" xfId="8425" xr:uid="{00000000-0005-0000-0000-00000A210000}"/>
    <cellStyle name="Normal 5 3 2" xfId="8426" xr:uid="{00000000-0005-0000-0000-00000B210000}"/>
    <cellStyle name="Normal 5 4" xfId="8427" xr:uid="{00000000-0005-0000-0000-00000C210000}"/>
    <cellStyle name="Normal 5 4 2" xfId="8428" xr:uid="{00000000-0005-0000-0000-00000D210000}"/>
    <cellStyle name="Normal 5 5" xfId="8429" xr:uid="{00000000-0005-0000-0000-00000E210000}"/>
    <cellStyle name="Normal 5 5 2" xfId="8430" xr:uid="{00000000-0005-0000-0000-00000F210000}"/>
    <cellStyle name="Normal 5 6" xfId="8431" xr:uid="{00000000-0005-0000-0000-000010210000}"/>
    <cellStyle name="Normal 5 7" xfId="9528" xr:uid="{00000000-0005-0000-0000-000011210000}"/>
    <cellStyle name="Normal 5_2011 CBR Rev Calc by schedule" xfId="8432" xr:uid="{00000000-0005-0000-0000-000012210000}"/>
    <cellStyle name="Normal 50" xfId="8433" xr:uid="{00000000-0005-0000-0000-000013210000}"/>
    <cellStyle name="Normal 50 2" xfId="8434" xr:uid="{00000000-0005-0000-0000-000014210000}"/>
    <cellStyle name="Normal 50 2 2" xfId="8435" xr:uid="{00000000-0005-0000-0000-000015210000}"/>
    <cellStyle name="Normal 50 3" xfId="8436" xr:uid="{00000000-0005-0000-0000-000016210000}"/>
    <cellStyle name="Normal 50 3 2" xfId="8437" xr:uid="{00000000-0005-0000-0000-000017210000}"/>
    <cellStyle name="Normal 50 4" xfId="8438" xr:uid="{00000000-0005-0000-0000-000018210000}"/>
    <cellStyle name="Normal 50 4 2" xfId="8439" xr:uid="{00000000-0005-0000-0000-000019210000}"/>
    <cellStyle name="Normal 51" xfId="8440" xr:uid="{00000000-0005-0000-0000-00001A210000}"/>
    <cellStyle name="Normal 51 2" xfId="8441" xr:uid="{00000000-0005-0000-0000-00001B210000}"/>
    <cellStyle name="Normal 51 2 2" xfId="8442" xr:uid="{00000000-0005-0000-0000-00001C210000}"/>
    <cellStyle name="Normal 51 2 3" xfId="8443" xr:uid="{00000000-0005-0000-0000-00001D210000}"/>
    <cellStyle name="Normal 51 3" xfId="8444" xr:uid="{00000000-0005-0000-0000-00001E210000}"/>
    <cellStyle name="Normal 51 4" xfId="8445" xr:uid="{00000000-0005-0000-0000-00001F210000}"/>
    <cellStyle name="Normal 51 5" xfId="8446" xr:uid="{00000000-0005-0000-0000-000020210000}"/>
    <cellStyle name="Normal 51 6" xfId="8447" xr:uid="{00000000-0005-0000-0000-000021210000}"/>
    <cellStyle name="Normal 52" xfId="8448" xr:uid="{00000000-0005-0000-0000-000022210000}"/>
    <cellStyle name="Normal 53" xfId="8449" xr:uid="{00000000-0005-0000-0000-000023210000}"/>
    <cellStyle name="Normal 53 2" xfId="8450" xr:uid="{00000000-0005-0000-0000-000024210000}"/>
    <cellStyle name="Normal 53 3" xfId="8451" xr:uid="{00000000-0005-0000-0000-000025210000}"/>
    <cellStyle name="Normal 53 3 2" xfId="8452" xr:uid="{00000000-0005-0000-0000-000026210000}"/>
    <cellStyle name="Normal 53 4" xfId="8453" xr:uid="{00000000-0005-0000-0000-000027210000}"/>
    <cellStyle name="Normal 54" xfId="8454" xr:uid="{00000000-0005-0000-0000-000028210000}"/>
    <cellStyle name="Normal 54 2" xfId="8455" xr:uid="{00000000-0005-0000-0000-000029210000}"/>
    <cellStyle name="Normal 54 3" xfId="8456" xr:uid="{00000000-0005-0000-0000-00002A210000}"/>
    <cellStyle name="Normal 54 3 2" xfId="8457" xr:uid="{00000000-0005-0000-0000-00002B210000}"/>
    <cellStyle name="Normal 54 4" xfId="8458" xr:uid="{00000000-0005-0000-0000-00002C210000}"/>
    <cellStyle name="Normal 55" xfId="8459" xr:uid="{00000000-0005-0000-0000-00002D210000}"/>
    <cellStyle name="Normal 55 2" xfId="8460" xr:uid="{00000000-0005-0000-0000-00002E210000}"/>
    <cellStyle name="Normal 55 2 2" xfId="8461" xr:uid="{00000000-0005-0000-0000-00002F210000}"/>
    <cellStyle name="Normal 55 3" xfId="8462" xr:uid="{00000000-0005-0000-0000-000030210000}"/>
    <cellStyle name="Normal 56" xfId="8463" xr:uid="{00000000-0005-0000-0000-000031210000}"/>
    <cellStyle name="Normal 56 2" xfId="8464" xr:uid="{00000000-0005-0000-0000-000032210000}"/>
    <cellStyle name="Normal 56 2 2" xfId="8465" xr:uid="{00000000-0005-0000-0000-000033210000}"/>
    <cellStyle name="Normal 56 3" xfId="8466" xr:uid="{00000000-0005-0000-0000-000034210000}"/>
    <cellStyle name="Normal 57" xfId="8467" xr:uid="{00000000-0005-0000-0000-000035210000}"/>
    <cellStyle name="Normal 57 2" xfId="8468" xr:uid="{00000000-0005-0000-0000-000036210000}"/>
    <cellStyle name="Normal 58" xfId="8469" xr:uid="{00000000-0005-0000-0000-000037210000}"/>
    <cellStyle name="Normal 58 2" xfId="8470" xr:uid="{00000000-0005-0000-0000-000038210000}"/>
    <cellStyle name="Normal 59" xfId="8471" xr:uid="{00000000-0005-0000-0000-000039210000}"/>
    <cellStyle name="Normal 59 2" xfId="8472" xr:uid="{00000000-0005-0000-0000-00003A210000}"/>
    <cellStyle name="Normal 6" xfId="8473" xr:uid="{00000000-0005-0000-0000-00003B210000}"/>
    <cellStyle name="Normal 6 2" xfId="8474" xr:uid="{00000000-0005-0000-0000-00003C210000}"/>
    <cellStyle name="Normal 6 2 2" xfId="8475" xr:uid="{00000000-0005-0000-0000-00003D210000}"/>
    <cellStyle name="Normal 6 2 2 2" xfId="8476" xr:uid="{00000000-0005-0000-0000-00003E210000}"/>
    <cellStyle name="Normal 6 2 3" xfId="8477" xr:uid="{00000000-0005-0000-0000-00003F210000}"/>
    <cellStyle name="Normal 6 2 4" xfId="8478" xr:uid="{00000000-0005-0000-0000-000040210000}"/>
    <cellStyle name="Normal 6 3" xfId="8479" xr:uid="{00000000-0005-0000-0000-000041210000}"/>
    <cellStyle name="Normal 6 3 2" xfId="8480" xr:uid="{00000000-0005-0000-0000-000042210000}"/>
    <cellStyle name="Normal 6 4" xfId="8481" xr:uid="{00000000-0005-0000-0000-000043210000}"/>
    <cellStyle name="Normal 6 5" xfId="8482" xr:uid="{00000000-0005-0000-0000-000044210000}"/>
    <cellStyle name="Normal 6 5 2" xfId="8483" xr:uid="{00000000-0005-0000-0000-000045210000}"/>
    <cellStyle name="Normal 6 6" xfId="8484" xr:uid="{00000000-0005-0000-0000-000046210000}"/>
    <cellStyle name="Normal 6 7" xfId="9519" xr:uid="{00000000-0005-0000-0000-000047210000}"/>
    <cellStyle name="Normal 6_Scenario 1 REC vs PTC Offset" xfId="8485" xr:uid="{00000000-0005-0000-0000-000048210000}"/>
    <cellStyle name="Normal 60" xfId="8486" xr:uid="{00000000-0005-0000-0000-000049210000}"/>
    <cellStyle name="Normal 60 2" xfId="8487" xr:uid="{00000000-0005-0000-0000-00004A210000}"/>
    <cellStyle name="Normal 61" xfId="8488" xr:uid="{00000000-0005-0000-0000-00004B210000}"/>
    <cellStyle name="Normal 61 2" xfId="8489" xr:uid="{00000000-0005-0000-0000-00004C210000}"/>
    <cellStyle name="Normal 62" xfId="8490" xr:uid="{00000000-0005-0000-0000-00004D210000}"/>
    <cellStyle name="Normal 62 2" xfId="8491" xr:uid="{00000000-0005-0000-0000-00004E210000}"/>
    <cellStyle name="Normal 63" xfId="8492" xr:uid="{00000000-0005-0000-0000-00004F210000}"/>
    <cellStyle name="Normal 63 2" xfId="8493" xr:uid="{00000000-0005-0000-0000-000050210000}"/>
    <cellStyle name="Normal 64" xfId="8494" xr:uid="{00000000-0005-0000-0000-000051210000}"/>
    <cellStyle name="Normal 64 2" xfId="8495" xr:uid="{00000000-0005-0000-0000-000052210000}"/>
    <cellStyle name="Normal 65" xfId="8496" xr:uid="{00000000-0005-0000-0000-000053210000}"/>
    <cellStyle name="Normal 65 2" xfId="8497" xr:uid="{00000000-0005-0000-0000-000054210000}"/>
    <cellStyle name="Normal 66" xfId="8498" xr:uid="{00000000-0005-0000-0000-000055210000}"/>
    <cellStyle name="Normal 66 2" xfId="8499" xr:uid="{00000000-0005-0000-0000-000056210000}"/>
    <cellStyle name="Normal 67" xfId="8500" xr:uid="{00000000-0005-0000-0000-000057210000}"/>
    <cellStyle name="Normal 67 2" xfId="8501" xr:uid="{00000000-0005-0000-0000-000058210000}"/>
    <cellStyle name="Normal 68" xfId="8502" xr:uid="{00000000-0005-0000-0000-000059210000}"/>
    <cellStyle name="Normal 68 2" xfId="8503" xr:uid="{00000000-0005-0000-0000-00005A210000}"/>
    <cellStyle name="Normal 69" xfId="8504" xr:uid="{00000000-0005-0000-0000-00005B210000}"/>
    <cellStyle name="Normal 69 2" xfId="8505" xr:uid="{00000000-0005-0000-0000-00005C210000}"/>
    <cellStyle name="Normal 7" xfId="8506" xr:uid="{00000000-0005-0000-0000-00005D210000}"/>
    <cellStyle name="Normal 7 2" xfId="8507" xr:uid="{00000000-0005-0000-0000-00005E210000}"/>
    <cellStyle name="Normal 7 2 2" xfId="8508" xr:uid="{00000000-0005-0000-0000-00005F210000}"/>
    <cellStyle name="Normal 7 2 2 2" xfId="8509" xr:uid="{00000000-0005-0000-0000-000060210000}"/>
    <cellStyle name="Normal 7 2 3" xfId="8510" xr:uid="{00000000-0005-0000-0000-000061210000}"/>
    <cellStyle name="Normal 7 3" xfId="8511" xr:uid="{00000000-0005-0000-0000-000062210000}"/>
    <cellStyle name="Normal 7 4" xfId="8512" xr:uid="{00000000-0005-0000-0000-000063210000}"/>
    <cellStyle name="Normal 7 4 2" xfId="8513" xr:uid="{00000000-0005-0000-0000-000064210000}"/>
    <cellStyle name="Normal 7 5" xfId="8514" xr:uid="{00000000-0005-0000-0000-000065210000}"/>
    <cellStyle name="Normal 70" xfId="8515" xr:uid="{00000000-0005-0000-0000-000066210000}"/>
    <cellStyle name="Normal 70 2" xfId="8516" xr:uid="{00000000-0005-0000-0000-000067210000}"/>
    <cellStyle name="Normal 71" xfId="8517" xr:uid="{00000000-0005-0000-0000-000068210000}"/>
    <cellStyle name="Normal 71 2" xfId="8518" xr:uid="{00000000-0005-0000-0000-000069210000}"/>
    <cellStyle name="Normal 72" xfId="8519" xr:uid="{00000000-0005-0000-0000-00006A210000}"/>
    <cellStyle name="Normal 72 2" xfId="8520" xr:uid="{00000000-0005-0000-0000-00006B210000}"/>
    <cellStyle name="Normal 73" xfId="8521" xr:uid="{00000000-0005-0000-0000-00006C210000}"/>
    <cellStyle name="Normal 73 2" xfId="8522" xr:uid="{00000000-0005-0000-0000-00006D210000}"/>
    <cellStyle name="Normal 74" xfId="8523" xr:uid="{00000000-0005-0000-0000-00006E210000}"/>
    <cellStyle name="Normal 75" xfId="8524" xr:uid="{00000000-0005-0000-0000-00006F210000}"/>
    <cellStyle name="Normal 76" xfId="8525" xr:uid="{00000000-0005-0000-0000-000070210000}"/>
    <cellStyle name="Normal 77" xfId="8526" xr:uid="{00000000-0005-0000-0000-000071210000}"/>
    <cellStyle name="Normal 78" xfId="8527" xr:uid="{00000000-0005-0000-0000-000072210000}"/>
    <cellStyle name="Normal 79" xfId="8528" xr:uid="{00000000-0005-0000-0000-000073210000}"/>
    <cellStyle name="Normal 8" xfId="8529" xr:uid="{00000000-0005-0000-0000-000074210000}"/>
    <cellStyle name="Normal 8 2" xfId="8530" xr:uid="{00000000-0005-0000-0000-000075210000}"/>
    <cellStyle name="Normal 8 2 2" xfId="8531" xr:uid="{00000000-0005-0000-0000-000076210000}"/>
    <cellStyle name="Normal 8 2 2 2" xfId="8532" xr:uid="{00000000-0005-0000-0000-000077210000}"/>
    <cellStyle name="Normal 8 2 3" xfId="8533" xr:uid="{00000000-0005-0000-0000-000078210000}"/>
    <cellStyle name="Normal 8 2 4" xfId="8534" xr:uid="{00000000-0005-0000-0000-000079210000}"/>
    <cellStyle name="Normal 8 3" xfId="8535" xr:uid="{00000000-0005-0000-0000-00007A210000}"/>
    <cellStyle name="Normal 8 4" xfId="8536" xr:uid="{00000000-0005-0000-0000-00007B210000}"/>
    <cellStyle name="Normal 8 4 2" xfId="8537" xr:uid="{00000000-0005-0000-0000-00007C210000}"/>
    <cellStyle name="Normal 8 5" xfId="8538" xr:uid="{00000000-0005-0000-0000-00007D210000}"/>
    <cellStyle name="Normal 8 6" xfId="8539" xr:uid="{00000000-0005-0000-0000-00007E210000}"/>
    <cellStyle name="Normal 8 7" xfId="9526" xr:uid="{00000000-0005-0000-0000-00007F210000}"/>
    <cellStyle name="Normal 80" xfId="8540" xr:uid="{00000000-0005-0000-0000-000080210000}"/>
    <cellStyle name="Normal 81" xfId="8541" xr:uid="{00000000-0005-0000-0000-000081210000}"/>
    <cellStyle name="Normal 82" xfId="8542" xr:uid="{00000000-0005-0000-0000-000082210000}"/>
    <cellStyle name="Normal 83" xfId="8543" xr:uid="{00000000-0005-0000-0000-000083210000}"/>
    <cellStyle name="Normal 84" xfId="8544" xr:uid="{00000000-0005-0000-0000-000084210000}"/>
    <cellStyle name="Normal 85" xfId="8545" xr:uid="{00000000-0005-0000-0000-000085210000}"/>
    <cellStyle name="Normal 86" xfId="8546" xr:uid="{00000000-0005-0000-0000-000086210000}"/>
    <cellStyle name="Normal 87" xfId="8547" xr:uid="{00000000-0005-0000-0000-000087210000}"/>
    <cellStyle name="Normal 88" xfId="8548" xr:uid="{00000000-0005-0000-0000-000088210000}"/>
    <cellStyle name="Normal 89" xfId="8549" xr:uid="{00000000-0005-0000-0000-000089210000}"/>
    <cellStyle name="Normal 9" xfId="8550" xr:uid="{00000000-0005-0000-0000-00008A210000}"/>
    <cellStyle name="Normal 9 2" xfId="8551" xr:uid="{00000000-0005-0000-0000-00008B210000}"/>
    <cellStyle name="Normal 9 2 2" xfId="8552" xr:uid="{00000000-0005-0000-0000-00008C210000}"/>
    <cellStyle name="Normal 9 2 2 2" xfId="8553" xr:uid="{00000000-0005-0000-0000-00008D210000}"/>
    <cellStyle name="Normal 9 2 3" xfId="8554" xr:uid="{00000000-0005-0000-0000-00008E210000}"/>
    <cellStyle name="Normal 9 3" xfId="8555" xr:uid="{00000000-0005-0000-0000-00008F210000}"/>
    <cellStyle name="Normal 9 3 2" xfId="8556" xr:uid="{00000000-0005-0000-0000-000090210000}"/>
    <cellStyle name="Normal 9 4" xfId="8557" xr:uid="{00000000-0005-0000-0000-000091210000}"/>
    <cellStyle name="Normal 90" xfId="8558" xr:uid="{00000000-0005-0000-0000-000092210000}"/>
    <cellStyle name="Normal 91" xfId="8559" xr:uid="{00000000-0005-0000-0000-000093210000}"/>
    <cellStyle name="Normal 92" xfId="8560" xr:uid="{00000000-0005-0000-0000-000094210000}"/>
    <cellStyle name="Normal 93" xfId="8561" xr:uid="{00000000-0005-0000-0000-000095210000}"/>
    <cellStyle name="Normal 94" xfId="8562" xr:uid="{00000000-0005-0000-0000-000096210000}"/>
    <cellStyle name="Normal 95" xfId="8563" xr:uid="{00000000-0005-0000-0000-000097210000}"/>
    <cellStyle name="Normal 96" xfId="8564" xr:uid="{00000000-0005-0000-0000-000098210000}"/>
    <cellStyle name="Normal 96 2" xfId="8565" xr:uid="{00000000-0005-0000-0000-000099210000}"/>
    <cellStyle name="Normal 97" xfId="8566" xr:uid="{00000000-0005-0000-0000-00009A210000}"/>
    <cellStyle name="Normal 98" xfId="8567" xr:uid="{00000000-0005-0000-0000-00009B210000}"/>
    <cellStyle name="Normal 99" xfId="8568" xr:uid="{00000000-0005-0000-0000-00009C210000}"/>
    <cellStyle name="Note 10" xfId="8569" xr:uid="{00000000-0005-0000-0000-00009D210000}"/>
    <cellStyle name="Note 10 2" xfId="8570" xr:uid="{00000000-0005-0000-0000-00009E210000}"/>
    <cellStyle name="Note 10 2 2" xfId="8571" xr:uid="{00000000-0005-0000-0000-00009F210000}"/>
    <cellStyle name="Note 10 3" xfId="8572" xr:uid="{00000000-0005-0000-0000-0000A0210000}"/>
    <cellStyle name="Note 11" xfId="8573" xr:uid="{00000000-0005-0000-0000-0000A1210000}"/>
    <cellStyle name="Note 11 2" xfId="8574" xr:uid="{00000000-0005-0000-0000-0000A2210000}"/>
    <cellStyle name="Note 11 2 2" xfId="8575" xr:uid="{00000000-0005-0000-0000-0000A3210000}"/>
    <cellStyle name="Note 11 3" xfId="8576" xr:uid="{00000000-0005-0000-0000-0000A4210000}"/>
    <cellStyle name="Note 12" xfId="8577" xr:uid="{00000000-0005-0000-0000-0000A5210000}"/>
    <cellStyle name="Note 12 2" xfId="8578" xr:uid="{00000000-0005-0000-0000-0000A6210000}"/>
    <cellStyle name="Note 12 2 2" xfId="8579" xr:uid="{00000000-0005-0000-0000-0000A7210000}"/>
    <cellStyle name="Note 12 3" xfId="8580" xr:uid="{00000000-0005-0000-0000-0000A8210000}"/>
    <cellStyle name="Note 12 3 2" xfId="8581" xr:uid="{00000000-0005-0000-0000-0000A9210000}"/>
    <cellStyle name="Note 12 4" xfId="8582" xr:uid="{00000000-0005-0000-0000-0000AA210000}"/>
    <cellStyle name="Note 13" xfId="8583" xr:uid="{00000000-0005-0000-0000-0000AB210000}"/>
    <cellStyle name="Note 13 2" xfId="8584" xr:uid="{00000000-0005-0000-0000-0000AC210000}"/>
    <cellStyle name="Note 14" xfId="8585" xr:uid="{00000000-0005-0000-0000-0000AD210000}"/>
    <cellStyle name="Note 2" xfId="8586" xr:uid="{00000000-0005-0000-0000-0000AE210000}"/>
    <cellStyle name="Note 2 2" xfId="8587" xr:uid="{00000000-0005-0000-0000-0000AF210000}"/>
    <cellStyle name="Note 2 2 2" xfId="8588" xr:uid="{00000000-0005-0000-0000-0000B0210000}"/>
    <cellStyle name="Note 2 2 3" xfId="8589" xr:uid="{00000000-0005-0000-0000-0000B1210000}"/>
    <cellStyle name="Note 2 2 4" xfId="8590" xr:uid="{00000000-0005-0000-0000-0000B2210000}"/>
    <cellStyle name="Note 2 3" xfId="8591" xr:uid="{00000000-0005-0000-0000-0000B3210000}"/>
    <cellStyle name="Note 2 3 2" xfId="8592" xr:uid="{00000000-0005-0000-0000-0000B4210000}"/>
    <cellStyle name="Note 2 4" xfId="8593" xr:uid="{00000000-0005-0000-0000-0000B5210000}"/>
    <cellStyle name="Note 2 4 2" xfId="8594" xr:uid="{00000000-0005-0000-0000-0000B6210000}"/>
    <cellStyle name="Note 2 5" xfId="8595" xr:uid="{00000000-0005-0000-0000-0000B7210000}"/>
    <cellStyle name="Note 2_AURORA Total New" xfId="8596" xr:uid="{00000000-0005-0000-0000-0000B8210000}"/>
    <cellStyle name="Note 3" xfId="8597" xr:uid="{00000000-0005-0000-0000-0000B9210000}"/>
    <cellStyle name="Note 3 2" xfId="8598" xr:uid="{00000000-0005-0000-0000-0000BA210000}"/>
    <cellStyle name="Note 3 2 2" xfId="8599" xr:uid="{00000000-0005-0000-0000-0000BB210000}"/>
    <cellStyle name="Note 3 3" xfId="8600" xr:uid="{00000000-0005-0000-0000-0000BC210000}"/>
    <cellStyle name="Note 3 4" xfId="8601" xr:uid="{00000000-0005-0000-0000-0000BD210000}"/>
    <cellStyle name="Note 4" xfId="8602" xr:uid="{00000000-0005-0000-0000-0000BE210000}"/>
    <cellStyle name="Note 4 2" xfId="8603" xr:uid="{00000000-0005-0000-0000-0000BF210000}"/>
    <cellStyle name="Note 4 2 2" xfId="8604" xr:uid="{00000000-0005-0000-0000-0000C0210000}"/>
    <cellStyle name="Note 4 3" xfId="8605" xr:uid="{00000000-0005-0000-0000-0000C1210000}"/>
    <cellStyle name="Note 4 4" xfId="8606" xr:uid="{00000000-0005-0000-0000-0000C2210000}"/>
    <cellStyle name="Note 5" xfId="8607" xr:uid="{00000000-0005-0000-0000-0000C3210000}"/>
    <cellStyle name="Note 5 2" xfId="8608" xr:uid="{00000000-0005-0000-0000-0000C4210000}"/>
    <cellStyle name="Note 5 2 2" xfId="8609" xr:uid="{00000000-0005-0000-0000-0000C5210000}"/>
    <cellStyle name="Note 5 3" xfId="8610" xr:uid="{00000000-0005-0000-0000-0000C6210000}"/>
    <cellStyle name="Note 5 4" xfId="8611" xr:uid="{00000000-0005-0000-0000-0000C7210000}"/>
    <cellStyle name="Note 6" xfId="8612" xr:uid="{00000000-0005-0000-0000-0000C8210000}"/>
    <cellStyle name="Note 6 2" xfId="8613" xr:uid="{00000000-0005-0000-0000-0000C9210000}"/>
    <cellStyle name="Note 6 2 2" xfId="8614" xr:uid="{00000000-0005-0000-0000-0000CA210000}"/>
    <cellStyle name="Note 6 3" xfId="8615" xr:uid="{00000000-0005-0000-0000-0000CB210000}"/>
    <cellStyle name="Note 6 4" xfId="8616" xr:uid="{00000000-0005-0000-0000-0000CC210000}"/>
    <cellStyle name="Note 7" xfId="8617" xr:uid="{00000000-0005-0000-0000-0000CD210000}"/>
    <cellStyle name="Note 7 2" xfId="8618" xr:uid="{00000000-0005-0000-0000-0000CE210000}"/>
    <cellStyle name="Note 7 2 2" xfId="8619" xr:uid="{00000000-0005-0000-0000-0000CF210000}"/>
    <cellStyle name="Note 7 3" xfId="8620" xr:uid="{00000000-0005-0000-0000-0000D0210000}"/>
    <cellStyle name="Note 7 4" xfId="8621" xr:uid="{00000000-0005-0000-0000-0000D1210000}"/>
    <cellStyle name="Note 8" xfId="8622" xr:uid="{00000000-0005-0000-0000-0000D2210000}"/>
    <cellStyle name="Note 8 2" xfId="8623" xr:uid="{00000000-0005-0000-0000-0000D3210000}"/>
    <cellStyle name="Note 8 2 2" xfId="8624" xr:uid="{00000000-0005-0000-0000-0000D4210000}"/>
    <cellStyle name="Note 8 3" xfId="8625" xr:uid="{00000000-0005-0000-0000-0000D5210000}"/>
    <cellStyle name="Note 8 4" xfId="8626" xr:uid="{00000000-0005-0000-0000-0000D6210000}"/>
    <cellStyle name="Note 9" xfId="8627" xr:uid="{00000000-0005-0000-0000-0000D7210000}"/>
    <cellStyle name="Note 9 2" xfId="8628" xr:uid="{00000000-0005-0000-0000-0000D8210000}"/>
    <cellStyle name="Note 9 2 2" xfId="8629" xr:uid="{00000000-0005-0000-0000-0000D9210000}"/>
    <cellStyle name="Note 9 3" xfId="8630" xr:uid="{00000000-0005-0000-0000-0000DA210000}"/>
    <cellStyle name="Note 9 4" xfId="8631" xr:uid="{00000000-0005-0000-0000-0000DB210000}"/>
    <cellStyle name="Output 2" xfId="8632" xr:uid="{00000000-0005-0000-0000-0000DC210000}"/>
    <cellStyle name="Output 2 2" xfId="8633" xr:uid="{00000000-0005-0000-0000-0000DD210000}"/>
    <cellStyle name="Output 2 2 2" xfId="8634" xr:uid="{00000000-0005-0000-0000-0000DE210000}"/>
    <cellStyle name="Output 2 2 3" xfId="8635" xr:uid="{00000000-0005-0000-0000-0000DF210000}"/>
    <cellStyle name="Output 2 3" xfId="8636" xr:uid="{00000000-0005-0000-0000-0000E0210000}"/>
    <cellStyle name="Output 2 4" xfId="8637" xr:uid="{00000000-0005-0000-0000-0000E1210000}"/>
    <cellStyle name="Output 3" xfId="8638" xr:uid="{00000000-0005-0000-0000-0000E2210000}"/>
    <cellStyle name="Output 3 2" xfId="8639" xr:uid="{00000000-0005-0000-0000-0000E3210000}"/>
    <cellStyle name="Output 3 3" xfId="8640" xr:uid="{00000000-0005-0000-0000-0000E4210000}"/>
    <cellStyle name="Output 3 4" xfId="8641" xr:uid="{00000000-0005-0000-0000-0000E5210000}"/>
    <cellStyle name="Output 4" xfId="8642" xr:uid="{00000000-0005-0000-0000-0000E6210000}"/>
    <cellStyle name="Output 5" xfId="8643" xr:uid="{00000000-0005-0000-0000-0000E7210000}"/>
    <cellStyle name="Output 6" xfId="8644" xr:uid="{00000000-0005-0000-0000-0000E8210000}"/>
    <cellStyle name="Percen - Style1" xfId="8645" xr:uid="{00000000-0005-0000-0000-0000E9210000}"/>
    <cellStyle name="Percen - Style1 2" xfId="8646" xr:uid="{00000000-0005-0000-0000-0000EA210000}"/>
    <cellStyle name="Percen - Style2" xfId="8647" xr:uid="{00000000-0005-0000-0000-0000EB210000}"/>
    <cellStyle name="Percen - Style2 2" xfId="8648" xr:uid="{00000000-0005-0000-0000-0000EC210000}"/>
    <cellStyle name="Percen - Style2 3" xfId="8649" xr:uid="{00000000-0005-0000-0000-0000ED210000}"/>
    <cellStyle name="Percen - Style3" xfId="8650" xr:uid="{00000000-0005-0000-0000-0000EE210000}"/>
    <cellStyle name="Percen - Style3 2" xfId="8651" xr:uid="{00000000-0005-0000-0000-0000EF210000}"/>
    <cellStyle name="Percen - Style3 2 2" xfId="8652" xr:uid="{00000000-0005-0000-0000-0000F0210000}"/>
    <cellStyle name="Percen - Style3 3" xfId="8653" xr:uid="{00000000-0005-0000-0000-0000F1210000}"/>
    <cellStyle name="Percen - Style3 4" xfId="8654" xr:uid="{00000000-0005-0000-0000-0000F2210000}"/>
    <cellStyle name="Percen - Style3_ACCOUNTS" xfId="8655" xr:uid="{00000000-0005-0000-0000-0000F3210000}"/>
    <cellStyle name="Percent" xfId="3" builtinId="5"/>
    <cellStyle name="Percent (0)" xfId="8656" xr:uid="{00000000-0005-0000-0000-0000F5210000}"/>
    <cellStyle name="Percent [2]" xfId="8657" xr:uid="{00000000-0005-0000-0000-0000F6210000}"/>
    <cellStyle name="Percent [2] 2" xfId="8658" xr:uid="{00000000-0005-0000-0000-0000F7210000}"/>
    <cellStyle name="Percent [2] 2 2" xfId="8659" xr:uid="{00000000-0005-0000-0000-0000F8210000}"/>
    <cellStyle name="Percent [2] 2 2 2" xfId="8660" xr:uid="{00000000-0005-0000-0000-0000F9210000}"/>
    <cellStyle name="Percent [2] 2 3" xfId="8661" xr:uid="{00000000-0005-0000-0000-0000FA210000}"/>
    <cellStyle name="Percent [2] 3" xfId="8662" xr:uid="{00000000-0005-0000-0000-0000FB210000}"/>
    <cellStyle name="Percent [2] 3 2" xfId="8663" xr:uid="{00000000-0005-0000-0000-0000FC210000}"/>
    <cellStyle name="Percent [2] 3 2 2" xfId="8664" xr:uid="{00000000-0005-0000-0000-0000FD210000}"/>
    <cellStyle name="Percent [2] 3 3" xfId="8665" xr:uid="{00000000-0005-0000-0000-0000FE210000}"/>
    <cellStyle name="Percent [2] 3 3 2" xfId="8666" xr:uid="{00000000-0005-0000-0000-0000FF210000}"/>
    <cellStyle name="Percent [2] 3 4" xfId="8667" xr:uid="{00000000-0005-0000-0000-000000220000}"/>
    <cellStyle name="Percent [2] 3 4 2" xfId="8668" xr:uid="{00000000-0005-0000-0000-000001220000}"/>
    <cellStyle name="Percent [2] 4" xfId="8669" xr:uid="{00000000-0005-0000-0000-000002220000}"/>
    <cellStyle name="Percent [2] 4 2" xfId="8670" xr:uid="{00000000-0005-0000-0000-000003220000}"/>
    <cellStyle name="Percent [2] 5" xfId="8671" xr:uid="{00000000-0005-0000-0000-000004220000}"/>
    <cellStyle name="Percent [2] 6" xfId="8672" xr:uid="{00000000-0005-0000-0000-000005220000}"/>
    <cellStyle name="Percent [2] 7" xfId="8673" xr:uid="{00000000-0005-0000-0000-000006220000}"/>
    <cellStyle name="Percent 10" xfId="8674" xr:uid="{00000000-0005-0000-0000-000007220000}"/>
    <cellStyle name="Percent 10 2" xfId="8675" xr:uid="{00000000-0005-0000-0000-000008220000}"/>
    <cellStyle name="Percent 10 3" xfId="8676" xr:uid="{00000000-0005-0000-0000-000009220000}"/>
    <cellStyle name="Percent 10 3 2" xfId="8677" xr:uid="{00000000-0005-0000-0000-00000A220000}"/>
    <cellStyle name="Percent 10 4" xfId="8678" xr:uid="{00000000-0005-0000-0000-00000B220000}"/>
    <cellStyle name="Percent 100" xfId="8679" xr:uid="{00000000-0005-0000-0000-00000C220000}"/>
    <cellStyle name="Percent 101" xfId="8680" xr:uid="{00000000-0005-0000-0000-00000D220000}"/>
    <cellStyle name="Percent 102" xfId="8681" xr:uid="{00000000-0005-0000-0000-00000E220000}"/>
    <cellStyle name="Percent 103" xfId="8682" xr:uid="{00000000-0005-0000-0000-00000F220000}"/>
    <cellStyle name="Percent 104" xfId="8683" xr:uid="{00000000-0005-0000-0000-000010220000}"/>
    <cellStyle name="Percent 105" xfId="8684" xr:uid="{00000000-0005-0000-0000-000011220000}"/>
    <cellStyle name="Percent 106" xfId="8685" xr:uid="{00000000-0005-0000-0000-000012220000}"/>
    <cellStyle name="Percent 107" xfId="8686" xr:uid="{00000000-0005-0000-0000-000013220000}"/>
    <cellStyle name="Percent 108" xfId="8687" xr:uid="{00000000-0005-0000-0000-000014220000}"/>
    <cellStyle name="Percent 109" xfId="8688" xr:uid="{00000000-0005-0000-0000-000015220000}"/>
    <cellStyle name="Percent 11" xfId="8689" xr:uid="{00000000-0005-0000-0000-000016220000}"/>
    <cellStyle name="Percent 11 2" xfId="8690" xr:uid="{00000000-0005-0000-0000-000017220000}"/>
    <cellStyle name="Percent 11 2 2" xfId="8691" xr:uid="{00000000-0005-0000-0000-000018220000}"/>
    <cellStyle name="Percent 11 3" xfId="8692" xr:uid="{00000000-0005-0000-0000-000019220000}"/>
    <cellStyle name="Percent 11 3 2" xfId="8693" xr:uid="{00000000-0005-0000-0000-00001A220000}"/>
    <cellStyle name="Percent 11 4" xfId="8694" xr:uid="{00000000-0005-0000-0000-00001B220000}"/>
    <cellStyle name="Percent 11 4 2" xfId="8695" xr:uid="{00000000-0005-0000-0000-00001C220000}"/>
    <cellStyle name="Percent 11 5" xfId="8696" xr:uid="{00000000-0005-0000-0000-00001D220000}"/>
    <cellStyle name="Percent 110" xfId="8697" xr:uid="{00000000-0005-0000-0000-00001E220000}"/>
    <cellStyle name="Percent 111" xfId="8698" xr:uid="{00000000-0005-0000-0000-00001F220000}"/>
    <cellStyle name="Percent 112" xfId="8699" xr:uid="{00000000-0005-0000-0000-000020220000}"/>
    <cellStyle name="Percent 113" xfId="8700" xr:uid="{00000000-0005-0000-0000-000021220000}"/>
    <cellStyle name="Percent 114" xfId="8701" xr:uid="{00000000-0005-0000-0000-000022220000}"/>
    <cellStyle name="Percent 115" xfId="8702" xr:uid="{00000000-0005-0000-0000-000023220000}"/>
    <cellStyle name="Percent 116" xfId="8703" xr:uid="{00000000-0005-0000-0000-000024220000}"/>
    <cellStyle name="Percent 117" xfId="8704" xr:uid="{00000000-0005-0000-0000-000025220000}"/>
    <cellStyle name="Percent 118" xfId="8705" xr:uid="{00000000-0005-0000-0000-000026220000}"/>
    <cellStyle name="Percent 119" xfId="8706" xr:uid="{00000000-0005-0000-0000-000027220000}"/>
    <cellStyle name="Percent 12" xfId="8707" xr:uid="{00000000-0005-0000-0000-000028220000}"/>
    <cellStyle name="Percent 12 2" xfId="8708" xr:uid="{00000000-0005-0000-0000-000029220000}"/>
    <cellStyle name="Percent 12 2 2" xfId="8709" xr:uid="{00000000-0005-0000-0000-00002A220000}"/>
    <cellStyle name="Percent 12 2 2 2" xfId="8710" xr:uid="{00000000-0005-0000-0000-00002B220000}"/>
    <cellStyle name="Percent 12 2 3" xfId="8711" xr:uid="{00000000-0005-0000-0000-00002C220000}"/>
    <cellStyle name="Percent 12 3" xfId="8712" xr:uid="{00000000-0005-0000-0000-00002D220000}"/>
    <cellStyle name="Percent 12 3 2" xfId="8713" xr:uid="{00000000-0005-0000-0000-00002E220000}"/>
    <cellStyle name="Percent 12 4" xfId="8714" xr:uid="{00000000-0005-0000-0000-00002F220000}"/>
    <cellStyle name="Percent 12 4 2" xfId="8715" xr:uid="{00000000-0005-0000-0000-000030220000}"/>
    <cellStyle name="Percent 12 5" xfId="8716" xr:uid="{00000000-0005-0000-0000-000031220000}"/>
    <cellStyle name="Percent 12 5 2" xfId="8717" xr:uid="{00000000-0005-0000-0000-000032220000}"/>
    <cellStyle name="Percent 120" xfId="8718" xr:uid="{00000000-0005-0000-0000-000033220000}"/>
    <cellStyle name="Percent 121" xfId="9516" xr:uid="{00000000-0005-0000-0000-000034220000}"/>
    <cellStyle name="Percent 122" xfId="9511" xr:uid="{00000000-0005-0000-0000-000035220000}"/>
    <cellStyle name="Percent 123" xfId="9508" xr:uid="{00000000-0005-0000-0000-000036220000}"/>
    <cellStyle name="Percent 124" xfId="9509" xr:uid="{00000000-0005-0000-0000-000037220000}"/>
    <cellStyle name="Percent 125" xfId="9541" xr:uid="{00000000-0005-0000-0000-000038220000}"/>
    <cellStyle name="Percent 13" xfId="8719" xr:uid="{00000000-0005-0000-0000-000039220000}"/>
    <cellStyle name="Percent 13 2" xfId="8720" xr:uid="{00000000-0005-0000-0000-00003A220000}"/>
    <cellStyle name="Percent 13 2 2" xfId="8721" xr:uid="{00000000-0005-0000-0000-00003B220000}"/>
    <cellStyle name="Percent 13 2 3" xfId="8722" xr:uid="{00000000-0005-0000-0000-00003C220000}"/>
    <cellStyle name="Percent 13 3" xfId="8723" xr:uid="{00000000-0005-0000-0000-00003D220000}"/>
    <cellStyle name="Percent 13 3 2" xfId="8724" xr:uid="{00000000-0005-0000-0000-00003E220000}"/>
    <cellStyle name="Percent 13 4" xfId="8725" xr:uid="{00000000-0005-0000-0000-00003F220000}"/>
    <cellStyle name="Percent 13 5" xfId="8726" xr:uid="{00000000-0005-0000-0000-000040220000}"/>
    <cellStyle name="Percent 13 6" xfId="8727" xr:uid="{00000000-0005-0000-0000-000041220000}"/>
    <cellStyle name="Percent 14" xfId="8728" xr:uid="{00000000-0005-0000-0000-000042220000}"/>
    <cellStyle name="Percent 14 2" xfId="8729" xr:uid="{00000000-0005-0000-0000-000043220000}"/>
    <cellStyle name="Percent 14 2 2" xfId="8730" xr:uid="{00000000-0005-0000-0000-000044220000}"/>
    <cellStyle name="Percent 14 3" xfId="8731" xr:uid="{00000000-0005-0000-0000-000045220000}"/>
    <cellStyle name="Percent 14 4" xfId="8732" xr:uid="{00000000-0005-0000-0000-000046220000}"/>
    <cellStyle name="Percent 14 4 2" xfId="8733" xr:uid="{00000000-0005-0000-0000-000047220000}"/>
    <cellStyle name="Percent 14 5" xfId="8734" xr:uid="{00000000-0005-0000-0000-000048220000}"/>
    <cellStyle name="Percent 15" xfId="8735" xr:uid="{00000000-0005-0000-0000-000049220000}"/>
    <cellStyle name="Percent 15 2" xfId="8736" xr:uid="{00000000-0005-0000-0000-00004A220000}"/>
    <cellStyle name="Percent 15 2 2" xfId="8737" xr:uid="{00000000-0005-0000-0000-00004B220000}"/>
    <cellStyle name="Percent 15 2 3" xfId="8738" xr:uid="{00000000-0005-0000-0000-00004C220000}"/>
    <cellStyle name="Percent 15 2 4" xfId="8739" xr:uid="{00000000-0005-0000-0000-00004D220000}"/>
    <cellStyle name="Percent 15 3" xfId="8740" xr:uid="{00000000-0005-0000-0000-00004E220000}"/>
    <cellStyle name="Percent 15 3 2" xfId="8741" xr:uid="{00000000-0005-0000-0000-00004F220000}"/>
    <cellStyle name="Percent 15 4" xfId="8742" xr:uid="{00000000-0005-0000-0000-000050220000}"/>
    <cellStyle name="Percent 15 4 2" xfId="8743" xr:uid="{00000000-0005-0000-0000-000051220000}"/>
    <cellStyle name="Percent 15 5" xfId="8744" xr:uid="{00000000-0005-0000-0000-000052220000}"/>
    <cellStyle name="Percent 15 6" xfId="8745" xr:uid="{00000000-0005-0000-0000-000053220000}"/>
    <cellStyle name="Percent 16" xfId="8746" xr:uid="{00000000-0005-0000-0000-000054220000}"/>
    <cellStyle name="Percent 16 2" xfId="8747" xr:uid="{00000000-0005-0000-0000-000055220000}"/>
    <cellStyle name="Percent 16 2 2" xfId="8748" xr:uid="{00000000-0005-0000-0000-000056220000}"/>
    <cellStyle name="Percent 16 3" xfId="8749" xr:uid="{00000000-0005-0000-0000-000057220000}"/>
    <cellStyle name="Percent 16 3 2" xfId="8750" xr:uid="{00000000-0005-0000-0000-000058220000}"/>
    <cellStyle name="Percent 16 4" xfId="8751" xr:uid="{00000000-0005-0000-0000-000059220000}"/>
    <cellStyle name="Percent 16 4 2" xfId="8752" xr:uid="{00000000-0005-0000-0000-00005A220000}"/>
    <cellStyle name="Percent 17" xfId="8753" xr:uid="{00000000-0005-0000-0000-00005B220000}"/>
    <cellStyle name="Percent 17 2" xfId="8754" xr:uid="{00000000-0005-0000-0000-00005C220000}"/>
    <cellStyle name="Percent 17 2 2" xfId="8755" xr:uid="{00000000-0005-0000-0000-00005D220000}"/>
    <cellStyle name="Percent 17 2 3" xfId="8756" xr:uid="{00000000-0005-0000-0000-00005E220000}"/>
    <cellStyle name="Percent 17 3" xfId="8757" xr:uid="{00000000-0005-0000-0000-00005F220000}"/>
    <cellStyle name="Percent 17 3 2" xfId="8758" xr:uid="{00000000-0005-0000-0000-000060220000}"/>
    <cellStyle name="Percent 17 4" xfId="8759" xr:uid="{00000000-0005-0000-0000-000061220000}"/>
    <cellStyle name="Percent 17 4 2" xfId="8760" xr:uid="{00000000-0005-0000-0000-000062220000}"/>
    <cellStyle name="Percent 18" xfId="8761" xr:uid="{00000000-0005-0000-0000-000063220000}"/>
    <cellStyle name="Percent 18 2" xfId="8762" xr:uid="{00000000-0005-0000-0000-000064220000}"/>
    <cellStyle name="Percent 18 2 2" xfId="8763" xr:uid="{00000000-0005-0000-0000-000065220000}"/>
    <cellStyle name="Percent 18 3" xfId="8764" xr:uid="{00000000-0005-0000-0000-000066220000}"/>
    <cellStyle name="Percent 18 3 2" xfId="8765" xr:uid="{00000000-0005-0000-0000-000067220000}"/>
    <cellStyle name="Percent 18 4" xfId="8766" xr:uid="{00000000-0005-0000-0000-000068220000}"/>
    <cellStyle name="Percent 18 4 2" xfId="8767" xr:uid="{00000000-0005-0000-0000-000069220000}"/>
    <cellStyle name="Percent 18 5" xfId="8768" xr:uid="{00000000-0005-0000-0000-00006A220000}"/>
    <cellStyle name="Percent 19" xfId="8769" xr:uid="{00000000-0005-0000-0000-00006B220000}"/>
    <cellStyle name="Percent 19 2" xfId="8770" xr:uid="{00000000-0005-0000-0000-00006C220000}"/>
    <cellStyle name="Percent 19 2 2" xfId="8771" xr:uid="{00000000-0005-0000-0000-00006D220000}"/>
    <cellStyle name="Percent 19 3" xfId="8772" xr:uid="{00000000-0005-0000-0000-00006E220000}"/>
    <cellStyle name="Percent 19 3 2" xfId="8773" xr:uid="{00000000-0005-0000-0000-00006F220000}"/>
    <cellStyle name="Percent 19 4" xfId="8774" xr:uid="{00000000-0005-0000-0000-000070220000}"/>
    <cellStyle name="Percent 19 4 2" xfId="8775" xr:uid="{00000000-0005-0000-0000-000071220000}"/>
    <cellStyle name="Percent 2" xfId="8776" xr:uid="{00000000-0005-0000-0000-000072220000}"/>
    <cellStyle name="Percent 2 2" xfId="8777" xr:uid="{00000000-0005-0000-0000-000073220000}"/>
    <cellStyle name="Percent 2 2 2" xfId="8778" xr:uid="{00000000-0005-0000-0000-000074220000}"/>
    <cellStyle name="Percent 2 2 2 2" xfId="8779" xr:uid="{00000000-0005-0000-0000-000075220000}"/>
    <cellStyle name="Percent 2 2 3" xfId="8780" xr:uid="{00000000-0005-0000-0000-000076220000}"/>
    <cellStyle name="Percent 2 2 4" xfId="8781" xr:uid="{00000000-0005-0000-0000-000077220000}"/>
    <cellStyle name="Percent 2 2 5" xfId="9525" xr:uid="{00000000-0005-0000-0000-000078220000}"/>
    <cellStyle name="Percent 2 3" xfId="8782" xr:uid="{00000000-0005-0000-0000-000079220000}"/>
    <cellStyle name="Percent 2 3 2" xfId="8783" xr:uid="{00000000-0005-0000-0000-00007A220000}"/>
    <cellStyle name="Percent 2 3 3" xfId="8784" xr:uid="{00000000-0005-0000-0000-00007B220000}"/>
    <cellStyle name="Percent 2 3 4" xfId="8785" xr:uid="{00000000-0005-0000-0000-00007C220000}"/>
    <cellStyle name="Percent 2 4" xfId="8786" xr:uid="{00000000-0005-0000-0000-00007D220000}"/>
    <cellStyle name="Percent 2 4 2" xfId="8787" xr:uid="{00000000-0005-0000-0000-00007E220000}"/>
    <cellStyle name="Percent 2 5" xfId="8788" xr:uid="{00000000-0005-0000-0000-00007F220000}"/>
    <cellStyle name="Percent 2 6" xfId="8789" xr:uid="{00000000-0005-0000-0000-000080220000}"/>
    <cellStyle name="Percent 20" xfId="8790" xr:uid="{00000000-0005-0000-0000-000081220000}"/>
    <cellStyle name="Percent 20 2" xfId="8791" xr:uid="{00000000-0005-0000-0000-000082220000}"/>
    <cellStyle name="Percent 20 2 2" xfId="8792" xr:uid="{00000000-0005-0000-0000-000083220000}"/>
    <cellStyle name="Percent 20 2 3" xfId="8793" xr:uid="{00000000-0005-0000-0000-000084220000}"/>
    <cellStyle name="Percent 20 2 4" xfId="8794" xr:uid="{00000000-0005-0000-0000-000085220000}"/>
    <cellStyle name="Percent 20 3" xfId="8795" xr:uid="{00000000-0005-0000-0000-000086220000}"/>
    <cellStyle name="Percent 20 4" xfId="8796" xr:uid="{00000000-0005-0000-0000-000087220000}"/>
    <cellStyle name="Percent 20 5" xfId="8797" xr:uid="{00000000-0005-0000-0000-000088220000}"/>
    <cellStyle name="Percent 21" xfId="8798" xr:uid="{00000000-0005-0000-0000-000089220000}"/>
    <cellStyle name="Percent 21 2" xfId="8799" xr:uid="{00000000-0005-0000-0000-00008A220000}"/>
    <cellStyle name="Percent 21 3" xfId="8800" xr:uid="{00000000-0005-0000-0000-00008B220000}"/>
    <cellStyle name="Percent 22" xfId="8801" xr:uid="{00000000-0005-0000-0000-00008C220000}"/>
    <cellStyle name="Percent 22 2" xfId="8802" xr:uid="{00000000-0005-0000-0000-00008D220000}"/>
    <cellStyle name="Percent 22 3" xfId="8803" xr:uid="{00000000-0005-0000-0000-00008E220000}"/>
    <cellStyle name="Percent 22 3 2" xfId="8804" xr:uid="{00000000-0005-0000-0000-00008F220000}"/>
    <cellStyle name="Percent 22 4" xfId="8805" xr:uid="{00000000-0005-0000-0000-000090220000}"/>
    <cellStyle name="Percent 23" xfId="8806" xr:uid="{00000000-0005-0000-0000-000091220000}"/>
    <cellStyle name="Percent 23 2" xfId="8807" xr:uid="{00000000-0005-0000-0000-000092220000}"/>
    <cellStyle name="Percent 23 3" xfId="8808" xr:uid="{00000000-0005-0000-0000-000093220000}"/>
    <cellStyle name="Percent 23 3 2" xfId="8809" xr:uid="{00000000-0005-0000-0000-000094220000}"/>
    <cellStyle name="Percent 23 4" xfId="8810" xr:uid="{00000000-0005-0000-0000-000095220000}"/>
    <cellStyle name="Percent 24" xfId="8811" xr:uid="{00000000-0005-0000-0000-000096220000}"/>
    <cellStyle name="Percent 24 2" xfId="8812" xr:uid="{00000000-0005-0000-0000-000097220000}"/>
    <cellStyle name="Percent 24 2 2" xfId="8813" xr:uid="{00000000-0005-0000-0000-000098220000}"/>
    <cellStyle name="Percent 24 3" xfId="8814" xr:uid="{00000000-0005-0000-0000-000099220000}"/>
    <cellStyle name="Percent 24 3 2" xfId="8815" xr:uid="{00000000-0005-0000-0000-00009A220000}"/>
    <cellStyle name="Percent 24 4" xfId="8816" xr:uid="{00000000-0005-0000-0000-00009B220000}"/>
    <cellStyle name="Percent 24 4 2" xfId="8817" xr:uid="{00000000-0005-0000-0000-00009C220000}"/>
    <cellStyle name="Percent 24 5" xfId="8818" xr:uid="{00000000-0005-0000-0000-00009D220000}"/>
    <cellStyle name="Percent 25" xfId="8819" xr:uid="{00000000-0005-0000-0000-00009E220000}"/>
    <cellStyle name="Percent 25 2" xfId="8820" xr:uid="{00000000-0005-0000-0000-00009F220000}"/>
    <cellStyle name="Percent 25 2 2" xfId="8821" xr:uid="{00000000-0005-0000-0000-0000A0220000}"/>
    <cellStyle name="Percent 25 3" xfId="8822" xr:uid="{00000000-0005-0000-0000-0000A1220000}"/>
    <cellStyle name="Percent 26" xfId="8823" xr:uid="{00000000-0005-0000-0000-0000A2220000}"/>
    <cellStyle name="Percent 26 2" xfId="8824" xr:uid="{00000000-0005-0000-0000-0000A3220000}"/>
    <cellStyle name="Percent 27" xfId="8825" xr:uid="{00000000-0005-0000-0000-0000A4220000}"/>
    <cellStyle name="Percent 27 2" xfId="8826" xr:uid="{00000000-0005-0000-0000-0000A5220000}"/>
    <cellStyle name="Percent 28" xfId="8827" xr:uid="{00000000-0005-0000-0000-0000A6220000}"/>
    <cellStyle name="Percent 28 2" xfId="8828" xr:uid="{00000000-0005-0000-0000-0000A7220000}"/>
    <cellStyle name="Percent 29" xfId="8829" xr:uid="{00000000-0005-0000-0000-0000A8220000}"/>
    <cellStyle name="Percent 29 2" xfId="8830" xr:uid="{00000000-0005-0000-0000-0000A9220000}"/>
    <cellStyle name="Percent 3" xfId="8831" xr:uid="{00000000-0005-0000-0000-0000AA220000}"/>
    <cellStyle name="Percent 3 2" xfId="8832" xr:uid="{00000000-0005-0000-0000-0000AB220000}"/>
    <cellStyle name="Percent 3 2 2" xfId="8833" xr:uid="{00000000-0005-0000-0000-0000AC220000}"/>
    <cellStyle name="Percent 3 2 2 2" xfId="8834" xr:uid="{00000000-0005-0000-0000-0000AD220000}"/>
    <cellStyle name="Percent 3 2 3" xfId="8835" xr:uid="{00000000-0005-0000-0000-0000AE220000}"/>
    <cellStyle name="Percent 3 2 4" xfId="9524" xr:uid="{00000000-0005-0000-0000-0000AF220000}"/>
    <cellStyle name="Percent 3 3" xfId="8836" xr:uid="{00000000-0005-0000-0000-0000B0220000}"/>
    <cellStyle name="Percent 3 3 2" xfId="8837" xr:uid="{00000000-0005-0000-0000-0000B1220000}"/>
    <cellStyle name="Percent 3 3 3" xfId="9523" xr:uid="{00000000-0005-0000-0000-0000B2220000}"/>
    <cellStyle name="Percent 3 4" xfId="8838" xr:uid="{00000000-0005-0000-0000-0000B3220000}"/>
    <cellStyle name="Percent 3 5" xfId="8839" xr:uid="{00000000-0005-0000-0000-0000B4220000}"/>
    <cellStyle name="Percent 30" xfId="8840" xr:uid="{00000000-0005-0000-0000-0000B5220000}"/>
    <cellStyle name="Percent 30 2" xfId="8841" xr:uid="{00000000-0005-0000-0000-0000B6220000}"/>
    <cellStyle name="Percent 31" xfId="8842" xr:uid="{00000000-0005-0000-0000-0000B7220000}"/>
    <cellStyle name="Percent 31 2" xfId="8843" xr:uid="{00000000-0005-0000-0000-0000B8220000}"/>
    <cellStyle name="Percent 32" xfId="8844" xr:uid="{00000000-0005-0000-0000-0000B9220000}"/>
    <cellStyle name="Percent 32 2" xfId="8845" xr:uid="{00000000-0005-0000-0000-0000BA220000}"/>
    <cellStyle name="Percent 33" xfId="8846" xr:uid="{00000000-0005-0000-0000-0000BB220000}"/>
    <cellStyle name="Percent 33 2" xfId="8847" xr:uid="{00000000-0005-0000-0000-0000BC220000}"/>
    <cellStyle name="Percent 34" xfId="8848" xr:uid="{00000000-0005-0000-0000-0000BD220000}"/>
    <cellStyle name="Percent 34 2" xfId="8849" xr:uid="{00000000-0005-0000-0000-0000BE220000}"/>
    <cellStyle name="Percent 35" xfId="8850" xr:uid="{00000000-0005-0000-0000-0000BF220000}"/>
    <cellStyle name="Percent 35 2" xfId="8851" xr:uid="{00000000-0005-0000-0000-0000C0220000}"/>
    <cellStyle name="Percent 36" xfId="8852" xr:uid="{00000000-0005-0000-0000-0000C1220000}"/>
    <cellStyle name="Percent 36 2" xfId="8853" xr:uid="{00000000-0005-0000-0000-0000C2220000}"/>
    <cellStyle name="Percent 37" xfId="8854" xr:uid="{00000000-0005-0000-0000-0000C3220000}"/>
    <cellStyle name="Percent 37 2" xfId="8855" xr:uid="{00000000-0005-0000-0000-0000C4220000}"/>
    <cellStyle name="Percent 38" xfId="8856" xr:uid="{00000000-0005-0000-0000-0000C5220000}"/>
    <cellStyle name="Percent 38 2" xfId="8857" xr:uid="{00000000-0005-0000-0000-0000C6220000}"/>
    <cellStyle name="Percent 39" xfId="8858" xr:uid="{00000000-0005-0000-0000-0000C7220000}"/>
    <cellStyle name="Percent 39 2" xfId="8859" xr:uid="{00000000-0005-0000-0000-0000C8220000}"/>
    <cellStyle name="Percent 4" xfId="8860" xr:uid="{00000000-0005-0000-0000-0000C9220000}"/>
    <cellStyle name="Percent 4 2" xfId="8861" xr:uid="{00000000-0005-0000-0000-0000CA220000}"/>
    <cellStyle name="Percent 4 2 2" xfId="8862" xr:uid="{00000000-0005-0000-0000-0000CB220000}"/>
    <cellStyle name="Percent 4 2 3" xfId="8863" xr:uid="{00000000-0005-0000-0000-0000CC220000}"/>
    <cellStyle name="Percent 4 2 3 2" xfId="8864" xr:uid="{00000000-0005-0000-0000-0000CD220000}"/>
    <cellStyle name="Percent 4 2 4" xfId="8865" xr:uid="{00000000-0005-0000-0000-0000CE220000}"/>
    <cellStyle name="Percent 4 2 5" xfId="8866" xr:uid="{00000000-0005-0000-0000-0000CF220000}"/>
    <cellStyle name="Percent 4 3" xfId="8867" xr:uid="{00000000-0005-0000-0000-0000D0220000}"/>
    <cellStyle name="Percent 4 3 2" xfId="8868" xr:uid="{00000000-0005-0000-0000-0000D1220000}"/>
    <cellStyle name="Percent 4 4" xfId="8869" xr:uid="{00000000-0005-0000-0000-0000D2220000}"/>
    <cellStyle name="Percent 4 5" xfId="8870" xr:uid="{00000000-0005-0000-0000-0000D3220000}"/>
    <cellStyle name="Percent 40" xfId="8871" xr:uid="{00000000-0005-0000-0000-0000D4220000}"/>
    <cellStyle name="Percent 40 2" xfId="8872" xr:uid="{00000000-0005-0000-0000-0000D5220000}"/>
    <cellStyle name="Percent 41" xfId="8873" xr:uid="{00000000-0005-0000-0000-0000D6220000}"/>
    <cellStyle name="Percent 41 2" xfId="8874" xr:uid="{00000000-0005-0000-0000-0000D7220000}"/>
    <cellStyle name="Percent 42" xfId="8875" xr:uid="{00000000-0005-0000-0000-0000D8220000}"/>
    <cellStyle name="Percent 42 2" xfId="8876" xr:uid="{00000000-0005-0000-0000-0000D9220000}"/>
    <cellStyle name="Percent 43" xfId="8877" xr:uid="{00000000-0005-0000-0000-0000DA220000}"/>
    <cellStyle name="Percent 43 2" xfId="8878" xr:uid="{00000000-0005-0000-0000-0000DB220000}"/>
    <cellStyle name="Percent 44" xfId="8879" xr:uid="{00000000-0005-0000-0000-0000DC220000}"/>
    <cellStyle name="Percent 44 2" xfId="8880" xr:uid="{00000000-0005-0000-0000-0000DD220000}"/>
    <cellStyle name="Percent 45" xfId="8881" xr:uid="{00000000-0005-0000-0000-0000DE220000}"/>
    <cellStyle name="Percent 45 2" xfId="8882" xr:uid="{00000000-0005-0000-0000-0000DF220000}"/>
    <cellStyle name="Percent 46" xfId="8883" xr:uid="{00000000-0005-0000-0000-0000E0220000}"/>
    <cellStyle name="Percent 47" xfId="8884" xr:uid="{00000000-0005-0000-0000-0000E1220000}"/>
    <cellStyle name="Percent 48" xfId="8885" xr:uid="{00000000-0005-0000-0000-0000E2220000}"/>
    <cellStyle name="Percent 49" xfId="8886" xr:uid="{00000000-0005-0000-0000-0000E3220000}"/>
    <cellStyle name="Percent 5" xfId="8887" xr:uid="{00000000-0005-0000-0000-0000E4220000}"/>
    <cellStyle name="Percent 5 2" xfId="8888" xr:uid="{00000000-0005-0000-0000-0000E5220000}"/>
    <cellStyle name="Percent 5 2 2" xfId="8889" xr:uid="{00000000-0005-0000-0000-0000E6220000}"/>
    <cellStyle name="Percent 5 3" xfId="8890" xr:uid="{00000000-0005-0000-0000-0000E7220000}"/>
    <cellStyle name="Percent 5 4" xfId="8891" xr:uid="{00000000-0005-0000-0000-0000E8220000}"/>
    <cellStyle name="Percent 5 5" xfId="9522" xr:uid="{00000000-0005-0000-0000-0000E9220000}"/>
    <cellStyle name="Percent 50" xfId="8892" xr:uid="{00000000-0005-0000-0000-0000EA220000}"/>
    <cellStyle name="Percent 51" xfId="8893" xr:uid="{00000000-0005-0000-0000-0000EB220000}"/>
    <cellStyle name="Percent 52" xfId="8894" xr:uid="{00000000-0005-0000-0000-0000EC220000}"/>
    <cellStyle name="Percent 53" xfId="8895" xr:uid="{00000000-0005-0000-0000-0000ED220000}"/>
    <cellStyle name="Percent 54" xfId="8896" xr:uid="{00000000-0005-0000-0000-0000EE220000}"/>
    <cellStyle name="Percent 55" xfId="8897" xr:uid="{00000000-0005-0000-0000-0000EF220000}"/>
    <cellStyle name="Percent 56" xfId="8898" xr:uid="{00000000-0005-0000-0000-0000F0220000}"/>
    <cellStyle name="Percent 57" xfId="8899" xr:uid="{00000000-0005-0000-0000-0000F1220000}"/>
    <cellStyle name="Percent 58" xfId="8900" xr:uid="{00000000-0005-0000-0000-0000F2220000}"/>
    <cellStyle name="Percent 59" xfId="8901" xr:uid="{00000000-0005-0000-0000-0000F3220000}"/>
    <cellStyle name="Percent 6" xfId="8902" xr:uid="{00000000-0005-0000-0000-0000F4220000}"/>
    <cellStyle name="Percent 6 2" xfId="8903" xr:uid="{00000000-0005-0000-0000-0000F5220000}"/>
    <cellStyle name="Percent 6 2 2" xfId="8904" xr:uid="{00000000-0005-0000-0000-0000F6220000}"/>
    <cellStyle name="Percent 6 2 2 2" xfId="8905" xr:uid="{00000000-0005-0000-0000-0000F7220000}"/>
    <cellStyle name="Percent 6 2 3" xfId="8906" xr:uid="{00000000-0005-0000-0000-0000F8220000}"/>
    <cellStyle name="Percent 6 3" xfId="8907" xr:uid="{00000000-0005-0000-0000-0000F9220000}"/>
    <cellStyle name="Percent 6 3 2" xfId="8908" xr:uid="{00000000-0005-0000-0000-0000FA220000}"/>
    <cellStyle name="Percent 6 4" xfId="8909" xr:uid="{00000000-0005-0000-0000-0000FB220000}"/>
    <cellStyle name="Percent 6 5" xfId="8910" xr:uid="{00000000-0005-0000-0000-0000FC220000}"/>
    <cellStyle name="Percent 60" xfId="8911" xr:uid="{00000000-0005-0000-0000-0000FD220000}"/>
    <cellStyle name="Percent 61" xfId="8912" xr:uid="{00000000-0005-0000-0000-0000FE220000}"/>
    <cellStyle name="Percent 62" xfId="8913" xr:uid="{00000000-0005-0000-0000-0000FF220000}"/>
    <cellStyle name="Percent 63" xfId="8914" xr:uid="{00000000-0005-0000-0000-000000230000}"/>
    <cellStyle name="Percent 64" xfId="8915" xr:uid="{00000000-0005-0000-0000-000001230000}"/>
    <cellStyle name="Percent 65" xfId="8916" xr:uid="{00000000-0005-0000-0000-000002230000}"/>
    <cellStyle name="Percent 66" xfId="8917" xr:uid="{00000000-0005-0000-0000-000003230000}"/>
    <cellStyle name="Percent 67" xfId="8918" xr:uid="{00000000-0005-0000-0000-000004230000}"/>
    <cellStyle name="Percent 68" xfId="8919" xr:uid="{00000000-0005-0000-0000-000005230000}"/>
    <cellStyle name="Percent 69" xfId="8920" xr:uid="{00000000-0005-0000-0000-000006230000}"/>
    <cellStyle name="Percent 7" xfId="8921" xr:uid="{00000000-0005-0000-0000-000007230000}"/>
    <cellStyle name="Percent 7 2" xfId="8922" xr:uid="{00000000-0005-0000-0000-000008230000}"/>
    <cellStyle name="Percent 7 2 2" xfId="8923" xr:uid="{00000000-0005-0000-0000-000009230000}"/>
    <cellStyle name="Percent 7 2 3" xfId="8924" xr:uid="{00000000-0005-0000-0000-00000A230000}"/>
    <cellStyle name="Percent 7 3" xfId="8925" xr:uid="{00000000-0005-0000-0000-00000B230000}"/>
    <cellStyle name="Percent 7 3 2" xfId="8926" xr:uid="{00000000-0005-0000-0000-00000C230000}"/>
    <cellStyle name="Percent 7 3 3" xfId="8927" xr:uid="{00000000-0005-0000-0000-00000D230000}"/>
    <cellStyle name="Percent 7 3 4" xfId="8928" xr:uid="{00000000-0005-0000-0000-00000E230000}"/>
    <cellStyle name="Percent 7 4" xfId="8929" xr:uid="{00000000-0005-0000-0000-00000F230000}"/>
    <cellStyle name="Percent 7 4 2" xfId="8930" xr:uid="{00000000-0005-0000-0000-000010230000}"/>
    <cellStyle name="Percent 7 5" xfId="8931" xr:uid="{00000000-0005-0000-0000-000011230000}"/>
    <cellStyle name="Percent 7 5 2" xfId="8932" xr:uid="{00000000-0005-0000-0000-000012230000}"/>
    <cellStyle name="Percent 7 6" xfId="8933" xr:uid="{00000000-0005-0000-0000-000013230000}"/>
    <cellStyle name="Percent 7 7" xfId="8934" xr:uid="{00000000-0005-0000-0000-000014230000}"/>
    <cellStyle name="Percent 7 8" xfId="8935" xr:uid="{00000000-0005-0000-0000-000015230000}"/>
    <cellStyle name="Percent 7 9" xfId="8936" xr:uid="{00000000-0005-0000-0000-000016230000}"/>
    <cellStyle name="Percent 70" xfId="8937" xr:uid="{00000000-0005-0000-0000-000017230000}"/>
    <cellStyle name="Percent 71" xfId="8938" xr:uid="{00000000-0005-0000-0000-000018230000}"/>
    <cellStyle name="Percent 72" xfId="8939" xr:uid="{00000000-0005-0000-0000-000019230000}"/>
    <cellStyle name="Percent 73" xfId="8940" xr:uid="{00000000-0005-0000-0000-00001A230000}"/>
    <cellStyle name="Percent 74" xfId="8941" xr:uid="{00000000-0005-0000-0000-00001B230000}"/>
    <cellStyle name="Percent 75" xfId="8942" xr:uid="{00000000-0005-0000-0000-00001C230000}"/>
    <cellStyle name="Percent 76" xfId="8943" xr:uid="{00000000-0005-0000-0000-00001D230000}"/>
    <cellStyle name="Percent 77" xfId="8944" xr:uid="{00000000-0005-0000-0000-00001E230000}"/>
    <cellStyle name="Percent 78" xfId="8945" xr:uid="{00000000-0005-0000-0000-00001F230000}"/>
    <cellStyle name="Percent 79" xfId="8946" xr:uid="{00000000-0005-0000-0000-000020230000}"/>
    <cellStyle name="Percent 8" xfId="8947" xr:uid="{00000000-0005-0000-0000-000021230000}"/>
    <cellStyle name="Percent 8 2" xfId="8948" xr:uid="{00000000-0005-0000-0000-000022230000}"/>
    <cellStyle name="Percent 8 2 2" xfId="8949" xr:uid="{00000000-0005-0000-0000-000023230000}"/>
    <cellStyle name="Percent 8 3" xfId="8950" xr:uid="{00000000-0005-0000-0000-000024230000}"/>
    <cellStyle name="Percent 80" xfId="8951" xr:uid="{00000000-0005-0000-0000-000025230000}"/>
    <cellStyle name="Percent 81" xfId="8952" xr:uid="{00000000-0005-0000-0000-000026230000}"/>
    <cellStyle name="Percent 82" xfId="8953" xr:uid="{00000000-0005-0000-0000-000027230000}"/>
    <cellStyle name="Percent 83" xfId="8954" xr:uid="{00000000-0005-0000-0000-000028230000}"/>
    <cellStyle name="Percent 84" xfId="8955" xr:uid="{00000000-0005-0000-0000-000029230000}"/>
    <cellStyle name="Percent 85" xfId="8956" xr:uid="{00000000-0005-0000-0000-00002A230000}"/>
    <cellStyle name="Percent 86" xfId="8957" xr:uid="{00000000-0005-0000-0000-00002B230000}"/>
    <cellStyle name="Percent 87" xfId="8958" xr:uid="{00000000-0005-0000-0000-00002C230000}"/>
    <cellStyle name="Percent 88" xfId="8959" xr:uid="{00000000-0005-0000-0000-00002D230000}"/>
    <cellStyle name="Percent 89" xfId="8960" xr:uid="{00000000-0005-0000-0000-00002E230000}"/>
    <cellStyle name="Percent 9" xfId="8961" xr:uid="{00000000-0005-0000-0000-00002F230000}"/>
    <cellStyle name="Percent 9 2" xfId="8962" xr:uid="{00000000-0005-0000-0000-000030230000}"/>
    <cellStyle name="Percent 9 2 2" xfId="8963" xr:uid="{00000000-0005-0000-0000-000031230000}"/>
    <cellStyle name="Percent 9 2 3" xfId="8964" xr:uid="{00000000-0005-0000-0000-000032230000}"/>
    <cellStyle name="Percent 9 3" xfId="8965" xr:uid="{00000000-0005-0000-0000-000033230000}"/>
    <cellStyle name="Percent 9 4" xfId="8966" xr:uid="{00000000-0005-0000-0000-000034230000}"/>
    <cellStyle name="Percent 90" xfId="8967" xr:uid="{00000000-0005-0000-0000-000035230000}"/>
    <cellStyle name="Percent 91" xfId="8968" xr:uid="{00000000-0005-0000-0000-000036230000}"/>
    <cellStyle name="Percent 92" xfId="8969" xr:uid="{00000000-0005-0000-0000-000037230000}"/>
    <cellStyle name="Percent 93" xfId="8970" xr:uid="{00000000-0005-0000-0000-000038230000}"/>
    <cellStyle name="Percent 94" xfId="8971" xr:uid="{00000000-0005-0000-0000-000039230000}"/>
    <cellStyle name="Percent 95" xfId="8972" xr:uid="{00000000-0005-0000-0000-00003A230000}"/>
    <cellStyle name="Percent 96" xfId="8973" xr:uid="{00000000-0005-0000-0000-00003B230000}"/>
    <cellStyle name="Percent 97" xfId="8974" xr:uid="{00000000-0005-0000-0000-00003C230000}"/>
    <cellStyle name="Percent 98" xfId="8975" xr:uid="{00000000-0005-0000-0000-00003D230000}"/>
    <cellStyle name="Percent 99" xfId="8976" xr:uid="{00000000-0005-0000-0000-00003E230000}"/>
    <cellStyle name="Processing" xfId="8977" xr:uid="{00000000-0005-0000-0000-00003F230000}"/>
    <cellStyle name="Processing 2" xfId="8978" xr:uid="{00000000-0005-0000-0000-000040230000}"/>
    <cellStyle name="Processing 2 2" xfId="8979" xr:uid="{00000000-0005-0000-0000-000041230000}"/>
    <cellStyle name="Processing 3" xfId="8980" xr:uid="{00000000-0005-0000-0000-000042230000}"/>
    <cellStyle name="Processing 4" xfId="8981" xr:uid="{00000000-0005-0000-0000-000043230000}"/>
    <cellStyle name="Processing_AURORA Total New" xfId="8982" xr:uid="{00000000-0005-0000-0000-000044230000}"/>
    <cellStyle name="PS_Comma" xfId="9521" xr:uid="{00000000-0005-0000-0000-000045230000}"/>
    <cellStyle name="PSChar" xfId="8983" xr:uid="{00000000-0005-0000-0000-000046230000}"/>
    <cellStyle name="PSChar 2" xfId="8984" xr:uid="{00000000-0005-0000-0000-000047230000}"/>
    <cellStyle name="PSChar 2 2" xfId="8985" xr:uid="{00000000-0005-0000-0000-000048230000}"/>
    <cellStyle name="PSChar 3" xfId="8986" xr:uid="{00000000-0005-0000-0000-000049230000}"/>
    <cellStyle name="PSChar 4" xfId="8987" xr:uid="{00000000-0005-0000-0000-00004A230000}"/>
    <cellStyle name="PSDate" xfId="8988" xr:uid="{00000000-0005-0000-0000-00004B230000}"/>
    <cellStyle name="PSDate 2" xfId="8989" xr:uid="{00000000-0005-0000-0000-00004C230000}"/>
    <cellStyle name="PSDate 2 2" xfId="8990" xr:uid="{00000000-0005-0000-0000-00004D230000}"/>
    <cellStyle name="PSDate 3" xfId="8991" xr:uid="{00000000-0005-0000-0000-00004E230000}"/>
    <cellStyle name="PSDate 4" xfId="8992" xr:uid="{00000000-0005-0000-0000-00004F230000}"/>
    <cellStyle name="PSDec" xfId="8993" xr:uid="{00000000-0005-0000-0000-000050230000}"/>
    <cellStyle name="PSDec 2" xfId="8994" xr:uid="{00000000-0005-0000-0000-000051230000}"/>
    <cellStyle name="PSDec 2 2" xfId="8995" xr:uid="{00000000-0005-0000-0000-000052230000}"/>
    <cellStyle name="PSDec 3" xfId="8996" xr:uid="{00000000-0005-0000-0000-000053230000}"/>
    <cellStyle name="PSDec 4" xfId="8997" xr:uid="{00000000-0005-0000-0000-000054230000}"/>
    <cellStyle name="PSHeading" xfId="8998" xr:uid="{00000000-0005-0000-0000-000055230000}"/>
    <cellStyle name="PSHeading 2" xfId="8999" xr:uid="{00000000-0005-0000-0000-000056230000}"/>
    <cellStyle name="PSHeading 2 2" xfId="9000" xr:uid="{00000000-0005-0000-0000-000057230000}"/>
    <cellStyle name="PSHeading 3" xfId="9001" xr:uid="{00000000-0005-0000-0000-000058230000}"/>
    <cellStyle name="PSHeading 4" xfId="9002" xr:uid="{00000000-0005-0000-0000-000059230000}"/>
    <cellStyle name="PSInt" xfId="9003" xr:uid="{00000000-0005-0000-0000-00005A230000}"/>
    <cellStyle name="PSInt 2" xfId="9004" xr:uid="{00000000-0005-0000-0000-00005B230000}"/>
    <cellStyle name="PSInt 2 2" xfId="9005" xr:uid="{00000000-0005-0000-0000-00005C230000}"/>
    <cellStyle name="PSInt 3" xfId="9006" xr:uid="{00000000-0005-0000-0000-00005D230000}"/>
    <cellStyle name="PSInt 4" xfId="9007" xr:uid="{00000000-0005-0000-0000-00005E230000}"/>
    <cellStyle name="PSSpacer" xfId="9008" xr:uid="{00000000-0005-0000-0000-00005F230000}"/>
    <cellStyle name="PSSpacer 2" xfId="9009" xr:uid="{00000000-0005-0000-0000-000060230000}"/>
    <cellStyle name="PSSpacer 2 2" xfId="9010" xr:uid="{00000000-0005-0000-0000-000061230000}"/>
    <cellStyle name="PSSpacer 3" xfId="9011" xr:uid="{00000000-0005-0000-0000-000062230000}"/>
    <cellStyle name="PSSpacer 4" xfId="9012" xr:uid="{00000000-0005-0000-0000-000063230000}"/>
    <cellStyle name="purple - Style8" xfId="9013" xr:uid="{00000000-0005-0000-0000-000064230000}"/>
    <cellStyle name="purple - Style8 2" xfId="9014" xr:uid="{00000000-0005-0000-0000-000065230000}"/>
    <cellStyle name="purple - Style8 2 2" xfId="9015" xr:uid="{00000000-0005-0000-0000-000066230000}"/>
    <cellStyle name="purple - Style8 3" xfId="9016" xr:uid="{00000000-0005-0000-0000-000067230000}"/>
    <cellStyle name="purple - Style8_ACCOUNTS" xfId="9017" xr:uid="{00000000-0005-0000-0000-000068230000}"/>
    <cellStyle name="RED" xfId="9018" xr:uid="{00000000-0005-0000-0000-000069230000}"/>
    <cellStyle name="Red - Style7" xfId="9019" xr:uid="{00000000-0005-0000-0000-00006A230000}"/>
    <cellStyle name="Red - Style7 2" xfId="9020" xr:uid="{00000000-0005-0000-0000-00006B230000}"/>
    <cellStyle name="Red - Style7 2 2" xfId="9021" xr:uid="{00000000-0005-0000-0000-00006C230000}"/>
    <cellStyle name="Red - Style7 3" xfId="9022" xr:uid="{00000000-0005-0000-0000-00006D230000}"/>
    <cellStyle name="Red - Style7_ACCOUNTS" xfId="9023" xr:uid="{00000000-0005-0000-0000-00006E230000}"/>
    <cellStyle name="RED 10" xfId="9024" xr:uid="{00000000-0005-0000-0000-00006F230000}"/>
    <cellStyle name="RED 11" xfId="9025" xr:uid="{00000000-0005-0000-0000-000070230000}"/>
    <cellStyle name="RED 12" xfId="9026" xr:uid="{00000000-0005-0000-0000-000071230000}"/>
    <cellStyle name="RED 13" xfId="9027" xr:uid="{00000000-0005-0000-0000-000072230000}"/>
    <cellStyle name="RED 14" xfId="9028" xr:uid="{00000000-0005-0000-0000-000073230000}"/>
    <cellStyle name="RED 15" xfId="9029" xr:uid="{00000000-0005-0000-0000-000074230000}"/>
    <cellStyle name="RED 16" xfId="9030" xr:uid="{00000000-0005-0000-0000-000075230000}"/>
    <cellStyle name="RED 17" xfId="9031" xr:uid="{00000000-0005-0000-0000-000076230000}"/>
    <cellStyle name="RED 18" xfId="9032" xr:uid="{00000000-0005-0000-0000-000077230000}"/>
    <cellStyle name="RED 19" xfId="9033" xr:uid="{00000000-0005-0000-0000-000078230000}"/>
    <cellStyle name="RED 2" xfId="9034" xr:uid="{00000000-0005-0000-0000-000079230000}"/>
    <cellStyle name="RED 2 2" xfId="9035" xr:uid="{00000000-0005-0000-0000-00007A230000}"/>
    <cellStyle name="RED 20" xfId="9036" xr:uid="{00000000-0005-0000-0000-00007B230000}"/>
    <cellStyle name="RED 21" xfId="9037" xr:uid="{00000000-0005-0000-0000-00007C230000}"/>
    <cellStyle name="RED 22" xfId="9038" xr:uid="{00000000-0005-0000-0000-00007D230000}"/>
    <cellStyle name="RED 23" xfId="9039" xr:uid="{00000000-0005-0000-0000-00007E230000}"/>
    <cellStyle name="RED 24" xfId="9040" xr:uid="{00000000-0005-0000-0000-00007F230000}"/>
    <cellStyle name="RED 3" xfId="9041" xr:uid="{00000000-0005-0000-0000-000080230000}"/>
    <cellStyle name="RED 4" xfId="9042" xr:uid="{00000000-0005-0000-0000-000081230000}"/>
    <cellStyle name="RED 5" xfId="9043" xr:uid="{00000000-0005-0000-0000-000082230000}"/>
    <cellStyle name="RED 6" xfId="9044" xr:uid="{00000000-0005-0000-0000-000083230000}"/>
    <cellStyle name="RED 7" xfId="9045" xr:uid="{00000000-0005-0000-0000-000084230000}"/>
    <cellStyle name="RED 8" xfId="9046" xr:uid="{00000000-0005-0000-0000-000085230000}"/>
    <cellStyle name="RED 9" xfId="9047" xr:uid="{00000000-0005-0000-0000-000086230000}"/>
    <cellStyle name="RED_04 07E Wild Horse Wind Expansion (C) (2)" xfId="9048" xr:uid="{00000000-0005-0000-0000-000087230000}"/>
    <cellStyle name="Report" xfId="9049" xr:uid="{00000000-0005-0000-0000-000088230000}"/>
    <cellStyle name="Report - Style5" xfId="9050" xr:uid="{00000000-0005-0000-0000-000089230000}"/>
    <cellStyle name="Report - Style6" xfId="9051" xr:uid="{00000000-0005-0000-0000-00008A230000}"/>
    <cellStyle name="Report - Style7" xfId="9052" xr:uid="{00000000-0005-0000-0000-00008B230000}"/>
    <cellStyle name="Report - Style8" xfId="9053" xr:uid="{00000000-0005-0000-0000-00008C230000}"/>
    <cellStyle name="Report 2" xfId="9054" xr:uid="{00000000-0005-0000-0000-00008D230000}"/>
    <cellStyle name="Report 2 2" xfId="9055" xr:uid="{00000000-0005-0000-0000-00008E230000}"/>
    <cellStyle name="Report 3" xfId="9056" xr:uid="{00000000-0005-0000-0000-00008F230000}"/>
    <cellStyle name="Report 4" xfId="9057" xr:uid="{00000000-0005-0000-0000-000090230000}"/>
    <cellStyle name="Report 5" xfId="9058" xr:uid="{00000000-0005-0000-0000-000091230000}"/>
    <cellStyle name="Report 6" xfId="9059" xr:uid="{00000000-0005-0000-0000-000092230000}"/>
    <cellStyle name="Report Bar" xfId="9060" xr:uid="{00000000-0005-0000-0000-000093230000}"/>
    <cellStyle name="Report Bar 2" xfId="9061" xr:uid="{00000000-0005-0000-0000-000094230000}"/>
    <cellStyle name="Report Bar 2 2" xfId="9062" xr:uid="{00000000-0005-0000-0000-000095230000}"/>
    <cellStyle name="Report Bar 3" xfId="9063" xr:uid="{00000000-0005-0000-0000-000096230000}"/>
    <cellStyle name="Report Bar 4" xfId="9064" xr:uid="{00000000-0005-0000-0000-000097230000}"/>
    <cellStyle name="Report Bar 5" xfId="9065" xr:uid="{00000000-0005-0000-0000-000098230000}"/>
    <cellStyle name="Report Bar_AURORA Total New" xfId="9066" xr:uid="{00000000-0005-0000-0000-000099230000}"/>
    <cellStyle name="Report Heading" xfId="9067" xr:uid="{00000000-0005-0000-0000-00009A230000}"/>
    <cellStyle name="Report Heading 2" xfId="9068" xr:uid="{00000000-0005-0000-0000-00009B230000}"/>
    <cellStyle name="Report Heading 3" xfId="9069" xr:uid="{00000000-0005-0000-0000-00009C230000}"/>
    <cellStyle name="Report Heading 3 2" xfId="9505" xr:uid="{00000000-0005-0000-0000-00009D230000}"/>
    <cellStyle name="Report Heading_Electric Rev Req Model (2009 GRC) Rebuttal" xfId="9070" xr:uid="{00000000-0005-0000-0000-00009E230000}"/>
    <cellStyle name="Report Percent" xfId="9071" xr:uid="{00000000-0005-0000-0000-00009F230000}"/>
    <cellStyle name="Report Percent 2" xfId="9072" xr:uid="{00000000-0005-0000-0000-0000A0230000}"/>
    <cellStyle name="Report Percent 2 2" xfId="9073" xr:uid="{00000000-0005-0000-0000-0000A1230000}"/>
    <cellStyle name="Report Percent 2 2 2" xfId="9074" xr:uid="{00000000-0005-0000-0000-0000A2230000}"/>
    <cellStyle name="Report Percent 2 3" xfId="9075" xr:uid="{00000000-0005-0000-0000-0000A3230000}"/>
    <cellStyle name="Report Percent 3" xfId="9076" xr:uid="{00000000-0005-0000-0000-0000A4230000}"/>
    <cellStyle name="Report Percent 3 2" xfId="9077" xr:uid="{00000000-0005-0000-0000-0000A5230000}"/>
    <cellStyle name="Report Percent 3 2 2" xfId="9078" xr:uid="{00000000-0005-0000-0000-0000A6230000}"/>
    <cellStyle name="Report Percent 3 3" xfId="9079" xr:uid="{00000000-0005-0000-0000-0000A7230000}"/>
    <cellStyle name="Report Percent 3 3 2" xfId="9080" xr:uid="{00000000-0005-0000-0000-0000A8230000}"/>
    <cellStyle name="Report Percent 3 4" xfId="9081" xr:uid="{00000000-0005-0000-0000-0000A9230000}"/>
    <cellStyle name="Report Percent 3 4 2" xfId="9082" xr:uid="{00000000-0005-0000-0000-0000AA230000}"/>
    <cellStyle name="Report Percent 4" xfId="9083" xr:uid="{00000000-0005-0000-0000-0000AB230000}"/>
    <cellStyle name="Report Percent 4 2" xfId="9084" xr:uid="{00000000-0005-0000-0000-0000AC230000}"/>
    <cellStyle name="Report Percent 5" xfId="9085" xr:uid="{00000000-0005-0000-0000-0000AD230000}"/>
    <cellStyle name="Report Percent 6" xfId="9086" xr:uid="{00000000-0005-0000-0000-0000AE230000}"/>
    <cellStyle name="Report Percent 7" xfId="9087" xr:uid="{00000000-0005-0000-0000-0000AF230000}"/>
    <cellStyle name="Report Percent_ACCOUNTS" xfId="9088" xr:uid="{00000000-0005-0000-0000-0000B0230000}"/>
    <cellStyle name="Report Unit Cost" xfId="9089" xr:uid="{00000000-0005-0000-0000-0000B1230000}"/>
    <cellStyle name="Report Unit Cost 2" xfId="9090" xr:uid="{00000000-0005-0000-0000-0000B2230000}"/>
    <cellStyle name="Report Unit Cost 2 2" xfId="9091" xr:uid="{00000000-0005-0000-0000-0000B3230000}"/>
    <cellStyle name="Report Unit Cost 2 2 2" xfId="9092" xr:uid="{00000000-0005-0000-0000-0000B4230000}"/>
    <cellStyle name="Report Unit Cost 2 3" xfId="9093" xr:uid="{00000000-0005-0000-0000-0000B5230000}"/>
    <cellStyle name="Report Unit Cost 3" xfId="9094" xr:uid="{00000000-0005-0000-0000-0000B6230000}"/>
    <cellStyle name="Report Unit Cost 3 2" xfId="9095" xr:uid="{00000000-0005-0000-0000-0000B7230000}"/>
    <cellStyle name="Report Unit Cost 3 2 2" xfId="9096" xr:uid="{00000000-0005-0000-0000-0000B8230000}"/>
    <cellStyle name="Report Unit Cost 3 3" xfId="9097" xr:uid="{00000000-0005-0000-0000-0000B9230000}"/>
    <cellStyle name="Report Unit Cost 3 3 2" xfId="9098" xr:uid="{00000000-0005-0000-0000-0000BA230000}"/>
    <cellStyle name="Report Unit Cost 3 4" xfId="9099" xr:uid="{00000000-0005-0000-0000-0000BB230000}"/>
    <cellStyle name="Report Unit Cost 3 4 2" xfId="9100" xr:uid="{00000000-0005-0000-0000-0000BC230000}"/>
    <cellStyle name="Report Unit Cost 4" xfId="9101" xr:uid="{00000000-0005-0000-0000-0000BD230000}"/>
    <cellStyle name="Report Unit Cost 4 2" xfId="9102" xr:uid="{00000000-0005-0000-0000-0000BE230000}"/>
    <cellStyle name="Report Unit Cost 5" xfId="9103" xr:uid="{00000000-0005-0000-0000-0000BF230000}"/>
    <cellStyle name="Report Unit Cost 6" xfId="9104" xr:uid="{00000000-0005-0000-0000-0000C0230000}"/>
    <cellStyle name="Report Unit Cost 7" xfId="9105" xr:uid="{00000000-0005-0000-0000-0000C1230000}"/>
    <cellStyle name="Report Unit Cost_ACCOUNTS" xfId="9106" xr:uid="{00000000-0005-0000-0000-0000C2230000}"/>
    <cellStyle name="Report_Adj Bench DR 3 for Initial Briefs (Electric)" xfId="9107" xr:uid="{00000000-0005-0000-0000-0000C3230000}"/>
    <cellStyle name="Reports" xfId="9108" xr:uid="{00000000-0005-0000-0000-0000C4230000}"/>
    <cellStyle name="Reports 2" xfId="9109" xr:uid="{00000000-0005-0000-0000-0000C5230000}"/>
    <cellStyle name="Reports 3" xfId="9110" xr:uid="{00000000-0005-0000-0000-0000C6230000}"/>
    <cellStyle name="Reports Total" xfId="9111" xr:uid="{00000000-0005-0000-0000-0000C7230000}"/>
    <cellStyle name="Reports Total 2" xfId="9112" xr:uid="{00000000-0005-0000-0000-0000C8230000}"/>
    <cellStyle name="Reports Total 2 2" xfId="9113" xr:uid="{00000000-0005-0000-0000-0000C9230000}"/>
    <cellStyle name="Reports Total 3" xfId="9114" xr:uid="{00000000-0005-0000-0000-0000CA230000}"/>
    <cellStyle name="Reports Total 4" xfId="9115" xr:uid="{00000000-0005-0000-0000-0000CB230000}"/>
    <cellStyle name="Reports Total 5" xfId="9116" xr:uid="{00000000-0005-0000-0000-0000CC230000}"/>
    <cellStyle name="Reports Total_AURORA Total New" xfId="9117" xr:uid="{00000000-0005-0000-0000-0000CD230000}"/>
    <cellStyle name="Reports Unit Cost Total" xfId="9118" xr:uid="{00000000-0005-0000-0000-0000CE230000}"/>
    <cellStyle name="Reports Unit Cost Total 2" xfId="9119" xr:uid="{00000000-0005-0000-0000-0000CF230000}"/>
    <cellStyle name="Reports Unit Cost Total 3" xfId="9120" xr:uid="{00000000-0005-0000-0000-0000D0230000}"/>
    <cellStyle name="Reports_14.21G &amp; 16.28E Incentive Pay" xfId="9121" xr:uid="{00000000-0005-0000-0000-0000D1230000}"/>
    <cellStyle name="RevList" xfId="9122" xr:uid="{00000000-0005-0000-0000-0000D2230000}"/>
    <cellStyle name="RevList 2" xfId="9123" xr:uid="{00000000-0005-0000-0000-0000D3230000}"/>
    <cellStyle name="round100" xfId="9124" xr:uid="{00000000-0005-0000-0000-0000D4230000}"/>
    <cellStyle name="round100 2" xfId="9125" xr:uid="{00000000-0005-0000-0000-0000D5230000}"/>
    <cellStyle name="round100 2 2" xfId="9126" xr:uid="{00000000-0005-0000-0000-0000D6230000}"/>
    <cellStyle name="round100 2 2 2" xfId="9127" xr:uid="{00000000-0005-0000-0000-0000D7230000}"/>
    <cellStyle name="round100 2 3" xfId="9128" xr:uid="{00000000-0005-0000-0000-0000D8230000}"/>
    <cellStyle name="round100 3" xfId="9129" xr:uid="{00000000-0005-0000-0000-0000D9230000}"/>
    <cellStyle name="round100 3 2" xfId="9130" xr:uid="{00000000-0005-0000-0000-0000DA230000}"/>
    <cellStyle name="round100 3 2 2" xfId="9131" xr:uid="{00000000-0005-0000-0000-0000DB230000}"/>
    <cellStyle name="round100 3 3" xfId="9132" xr:uid="{00000000-0005-0000-0000-0000DC230000}"/>
    <cellStyle name="round100 3 3 2" xfId="9133" xr:uid="{00000000-0005-0000-0000-0000DD230000}"/>
    <cellStyle name="round100 3 4" xfId="9134" xr:uid="{00000000-0005-0000-0000-0000DE230000}"/>
    <cellStyle name="round100 3 4 2" xfId="9135" xr:uid="{00000000-0005-0000-0000-0000DF230000}"/>
    <cellStyle name="round100 4" xfId="9136" xr:uid="{00000000-0005-0000-0000-0000E0230000}"/>
    <cellStyle name="round100 4 2" xfId="9137" xr:uid="{00000000-0005-0000-0000-0000E1230000}"/>
    <cellStyle name="round100 5" xfId="9138" xr:uid="{00000000-0005-0000-0000-0000E2230000}"/>
    <cellStyle name="round100 6" xfId="9139" xr:uid="{00000000-0005-0000-0000-0000E3230000}"/>
    <cellStyle name="round100 7" xfId="9140" xr:uid="{00000000-0005-0000-0000-0000E4230000}"/>
    <cellStyle name="SAPBEXaggData" xfId="9141" xr:uid="{00000000-0005-0000-0000-0000E5230000}"/>
    <cellStyle name="SAPBEXaggData 2" xfId="9142" xr:uid="{00000000-0005-0000-0000-0000E6230000}"/>
    <cellStyle name="SAPBEXaggData 3" xfId="9143" xr:uid="{00000000-0005-0000-0000-0000E7230000}"/>
    <cellStyle name="SAPBEXaggDataEmph" xfId="9144" xr:uid="{00000000-0005-0000-0000-0000E8230000}"/>
    <cellStyle name="SAPBEXaggDataEmph 2" xfId="9145" xr:uid="{00000000-0005-0000-0000-0000E9230000}"/>
    <cellStyle name="SAPBEXaggDataEmph 3" xfId="9146" xr:uid="{00000000-0005-0000-0000-0000EA230000}"/>
    <cellStyle name="SAPBEXaggItem" xfId="9147" xr:uid="{00000000-0005-0000-0000-0000EB230000}"/>
    <cellStyle name="SAPBEXaggItem 2" xfId="9148" xr:uid="{00000000-0005-0000-0000-0000EC230000}"/>
    <cellStyle name="SAPBEXaggItem 3" xfId="9149" xr:uid="{00000000-0005-0000-0000-0000ED230000}"/>
    <cellStyle name="SAPBEXaggItemX" xfId="9150" xr:uid="{00000000-0005-0000-0000-0000EE230000}"/>
    <cellStyle name="SAPBEXaggItemX 2" xfId="9151" xr:uid="{00000000-0005-0000-0000-0000EF230000}"/>
    <cellStyle name="SAPBEXaggItemX 3" xfId="9152" xr:uid="{00000000-0005-0000-0000-0000F0230000}"/>
    <cellStyle name="SAPBEXchaText" xfId="9153" xr:uid="{00000000-0005-0000-0000-0000F1230000}"/>
    <cellStyle name="SAPBEXchaText 2" xfId="9154" xr:uid="{00000000-0005-0000-0000-0000F2230000}"/>
    <cellStyle name="SAPBEXchaText 2 2" xfId="9155" xr:uid="{00000000-0005-0000-0000-0000F3230000}"/>
    <cellStyle name="SAPBEXchaText 2 2 2" xfId="9156" xr:uid="{00000000-0005-0000-0000-0000F4230000}"/>
    <cellStyle name="SAPBEXchaText 2 3" xfId="9157" xr:uid="{00000000-0005-0000-0000-0000F5230000}"/>
    <cellStyle name="SAPBEXchaText 3" xfId="9158" xr:uid="{00000000-0005-0000-0000-0000F6230000}"/>
    <cellStyle name="SAPBEXchaText 3 2" xfId="9159" xr:uid="{00000000-0005-0000-0000-0000F7230000}"/>
    <cellStyle name="SAPBEXchaText 3 2 2" xfId="9160" xr:uid="{00000000-0005-0000-0000-0000F8230000}"/>
    <cellStyle name="SAPBEXchaText 3 3" xfId="9161" xr:uid="{00000000-0005-0000-0000-0000F9230000}"/>
    <cellStyle name="SAPBEXchaText 3 3 2" xfId="9162" xr:uid="{00000000-0005-0000-0000-0000FA230000}"/>
    <cellStyle name="SAPBEXchaText 3 4" xfId="9163" xr:uid="{00000000-0005-0000-0000-0000FB230000}"/>
    <cellStyle name="SAPBEXchaText 3 4 2" xfId="9164" xr:uid="{00000000-0005-0000-0000-0000FC230000}"/>
    <cellStyle name="SAPBEXchaText 4" xfId="9165" xr:uid="{00000000-0005-0000-0000-0000FD230000}"/>
    <cellStyle name="SAPBEXchaText 4 2" xfId="9166" xr:uid="{00000000-0005-0000-0000-0000FE230000}"/>
    <cellStyle name="SAPBEXchaText 5" xfId="9167" xr:uid="{00000000-0005-0000-0000-0000FF230000}"/>
    <cellStyle name="SAPBEXchaText 6" xfId="9168" xr:uid="{00000000-0005-0000-0000-000000240000}"/>
    <cellStyle name="SAPBEXchaText 7" xfId="9169" xr:uid="{00000000-0005-0000-0000-000001240000}"/>
    <cellStyle name="SAPBEXchaText 8" xfId="9170" xr:uid="{00000000-0005-0000-0000-000002240000}"/>
    <cellStyle name="SAPBEXchaText 9" xfId="9171" xr:uid="{00000000-0005-0000-0000-000003240000}"/>
    <cellStyle name="SAPBEXexcBad7" xfId="9172" xr:uid="{00000000-0005-0000-0000-000004240000}"/>
    <cellStyle name="SAPBEXexcBad7 2" xfId="9173" xr:uid="{00000000-0005-0000-0000-000005240000}"/>
    <cellStyle name="SAPBEXexcBad7 3" xfId="9174" xr:uid="{00000000-0005-0000-0000-000006240000}"/>
    <cellStyle name="SAPBEXexcBad8" xfId="9175" xr:uid="{00000000-0005-0000-0000-000007240000}"/>
    <cellStyle name="SAPBEXexcBad8 2" xfId="9176" xr:uid="{00000000-0005-0000-0000-000008240000}"/>
    <cellStyle name="SAPBEXexcBad8 3" xfId="9177" xr:uid="{00000000-0005-0000-0000-000009240000}"/>
    <cellStyle name="SAPBEXexcBad9" xfId="9178" xr:uid="{00000000-0005-0000-0000-00000A240000}"/>
    <cellStyle name="SAPBEXexcBad9 2" xfId="9179" xr:uid="{00000000-0005-0000-0000-00000B240000}"/>
    <cellStyle name="SAPBEXexcBad9 3" xfId="9180" xr:uid="{00000000-0005-0000-0000-00000C240000}"/>
    <cellStyle name="SAPBEXexcCritical4" xfId="9181" xr:uid="{00000000-0005-0000-0000-00000D240000}"/>
    <cellStyle name="SAPBEXexcCritical4 2" xfId="9182" xr:uid="{00000000-0005-0000-0000-00000E240000}"/>
    <cellStyle name="SAPBEXexcCritical4 3" xfId="9183" xr:uid="{00000000-0005-0000-0000-00000F240000}"/>
    <cellStyle name="SAPBEXexcCritical5" xfId="9184" xr:uid="{00000000-0005-0000-0000-000010240000}"/>
    <cellStyle name="SAPBEXexcCritical5 2" xfId="9185" xr:uid="{00000000-0005-0000-0000-000011240000}"/>
    <cellStyle name="SAPBEXexcCritical5 3" xfId="9186" xr:uid="{00000000-0005-0000-0000-000012240000}"/>
    <cellStyle name="SAPBEXexcCritical6" xfId="9187" xr:uid="{00000000-0005-0000-0000-000013240000}"/>
    <cellStyle name="SAPBEXexcCritical6 2" xfId="9188" xr:uid="{00000000-0005-0000-0000-000014240000}"/>
    <cellStyle name="SAPBEXexcCritical6 3" xfId="9189" xr:uid="{00000000-0005-0000-0000-000015240000}"/>
    <cellStyle name="SAPBEXexcGood1" xfId="9190" xr:uid="{00000000-0005-0000-0000-000016240000}"/>
    <cellStyle name="SAPBEXexcGood1 2" xfId="9191" xr:uid="{00000000-0005-0000-0000-000017240000}"/>
    <cellStyle name="SAPBEXexcGood1 3" xfId="9192" xr:uid="{00000000-0005-0000-0000-000018240000}"/>
    <cellStyle name="SAPBEXexcGood2" xfId="9193" xr:uid="{00000000-0005-0000-0000-000019240000}"/>
    <cellStyle name="SAPBEXexcGood2 2" xfId="9194" xr:uid="{00000000-0005-0000-0000-00001A240000}"/>
    <cellStyle name="SAPBEXexcGood2 3" xfId="9195" xr:uid="{00000000-0005-0000-0000-00001B240000}"/>
    <cellStyle name="SAPBEXexcGood3" xfId="9196" xr:uid="{00000000-0005-0000-0000-00001C240000}"/>
    <cellStyle name="SAPBEXexcGood3 2" xfId="9197" xr:uid="{00000000-0005-0000-0000-00001D240000}"/>
    <cellStyle name="SAPBEXexcGood3 3" xfId="9198" xr:uid="{00000000-0005-0000-0000-00001E240000}"/>
    <cellStyle name="SAPBEXfilterDrill" xfId="9199" xr:uid="{00000000-0005-0000-0000-00001F240000}"/>
    <cellStyle name="SAPBEXfilterDrill 2" xfId="9200" xr:uid="{00000000-0005-0000-0000-000020240000}"/>
    <cellStyle name="SAPBEXfilterDrill 3" xfId="9201" xr:uid="{00000000-0005-0000-0000-000021240000}"/>
    <cellStyle name="SAPBEXfilterDrill 4" xfId="9202" xr:uid="{00000000-0005-0000-0000-000022240000}"/>
    <cellStyle name="SAPBEXfilterItem" xfId="9203" xr:uid="{00000000-0005-0000-0000-000023240000}"/>
    <cellStyle name="SAPBEXfilterItem 2" xfId="9204" xr:uid="{00000000-0005-0000-0000-000024240000}"/>
    <cellStyle name="SAPBEXfilterItem 3" xfId="9205" xr:uid="{00000000-0005-0000-0000-000025240000}"/>
    <cellStyle name="SAPBEXfilterText" xfId="9206" xr:uid="{00000000-0005-0000-0000-000026240000}"/>
    <cellStyle name="SAPBEXfilterText 2" xfId="9207" xr:uid="{00000000-0005-0000-0000-000027240000}"/>
    <cellStyle name="SAPBEXfilterText 3" xfId="9208" xr:uid="{00000000-0005-0000-0000-000028240000}"/>
    <cellStyle name="SAPBEXformats" xfId="9209" xr:uid="{00000000-0005-0000-0000-000029240000}"/>
    <cellStyle name="SAPBEXformats 2" xfId="9210" xr:uid="{00000000-0005-0000-0000-00002A240000}"/>
    <cellStyle name="SAPBEXformats 2 2" xfId="9211" xr:uid="{00000000-0005-0000-0000-00002B240000}"/>
    <cellStyle name="SAPBEXformats 3" xfId="9212" xr:uid="{00000000-0005-0000-0000-00002C240000}"/>
    <cellStyle name="SAPBEXformats 4" xfId="9213" xr:uid="{00000000-0005-0000-0000-00002D240000}"/>
    <cellStyle name="SAPBEXheaderItem" xfId="9214" xr:uid="{00000000-0005-0000-0000-00002E240000}"/>
    <cellStyle name="SAPBEXheaderItem 2" xfId="9215" xr:uid="{00000000-0005-0000-0000-00002F240000}"/>
    <cellStyle name="SAPBEXheaderItem 3" xfId="9216" xr:uid="{00000000-0005-0000-0000-000030240000}"/>
    <cellStyle name="SAPBEXheaderItem 4" xfId="9217" xr:uid="{00000000-0005-0000-0000-000031240000}"/>
    <cellStyle name="SAPBEXheaderText" xfId="9218" xr:uid="{00000000-0005-0000-0000-000032240000}"/>
    <cellStyle name="SAPBEXheaderText 2" xfId="9219" xr:uid="{00000000-0005-0000-0000-000033240000}"/>
    <cellStyle name="SAPBEXheaderText 3" xfId="9220" xr:uid="{00000000-0005-0000-0000-000034240000}"/>
    <cellStyle name="SAPBEXheaderText 4" xfId="9221" xr:uid="{00000000-0005-0000-0000-000035240000}"/>
    <cellStyle name="SAPBEXHLevel0" xfId="9222" xr:uid="{00000000-0005-0000-0000-000036240000}"/>
    <cellStyle name="SAPBEXHLevel0 2" xfId="9223" xr:uid="{00000000-0005-0000-0000-000037240000}"/>
    <cellStyle name="SAPBEXHLevel0 2 2" xfId="9224" xr:uid="{00000000-0005-0000-0000-000038240000}"/>
    <cellStyle name="SAPBEXHLevel0 3" xfId="9225" xr:uid="{00000000-0005-0000-0000-000039240000}"/>
    <cellStyle name="SAPBEXHLevel0 4" xfId="9226" xr:uid="{00000000-0005-0000-0000-00003A240000}"/>
    <cellStyle name="SAPBEXHLevel0X" xfId="9227" xr:uid="{00000000-0005-0000-0000-00003B240000}"/>
    <cellStyle name="SAPBEXHLevel0X 2" xfId="9228" xr:uid="{00000000-0005-0000-0000-00003C240000}"/>
    <cellStyle name="SAPBEXHLevel0X 2 2" xfId="9229" xr:uid="{00000000-0005-0000-0000-00003D240000}"/>
    <cellStyle name="SAPBEXHLevel0X 2 2 2" xfId="9230" xr:uid="{00000000-0005-0000-0000-00003E240000}"/>
    <cellStyle name="SAPBEXHLevel0X 2 3" xfId="9231" xr:uid="{00000000-0005-0000-0000-00003F240000}"/>
    <cellStyle name="SAPBEXHLevel0X 3" xfId="9232" xr:uid="{00000000-0005-0000-0000-000040240000}"/>
    <cellStyle name="SAPBEXHLevel0X 3 2" xfId="9233" xr:uid="{00000000-0005-0000-0000-000041240000}"/>
    <cellStyle name="SAPBEXHLevel0X 3 2 2" xfId="9234" xr:uid="{00000000-0005-0000-0000-000042240000}"/>
    <cellStyle name="SAPBEXHLevel0X 3 3" xfId="9235" xr:uid="{00000000-0005-0000-0000-000043240000}"/>
    <cellStyle name="SAPBEXHLevel0X 3 3 2" xfId="9236" xr:uid="{00000000-0005-0000-0000-000044240000}"/>
    <cellStyle name="SAPBEXHLevel0X 3 4" xfId="9237" xr:uid="{00000000-0005-0000-0000-000045240000}"/>
    <cellStyle name="SAPBEXHLevel0X 3 4 2" xfId="9238" xr:uid="{00000000-0005-0000-0000-000046240000}"/>
    <cellStyle name="SAPBEXHLevel0X 4" xfId="9239" xr:uid="{00000000-0005-0000-0000-000047240000}"/>
    <cellStyle name="SAPBEXHLevel0X 4 2" xfId="9240" xr:uid="{00000000-0005-0000-0000-000048240000}"/>
    <cellStyle name="SAPBEXHLevel0X 5" xfId="9241" xr:uid="{00000000-0005-0000-0000-000049240000}"/>
    <cellStyle name="SAPBEXHLevel0X 6" xfId="9242" xr:uid="{00000000-0005-0000-0000-00004A240000}"/>
    <cellStyle name="SAPBEXHLevel0X 7" xfId="9243" xr:uid="{00000000-0005-0000-0000-00004B240000}"/>
    <cellStyle name="SAPBEXHLevel0X 8" xfId="9244" xr:uid="{00000000-0005-0000-0000-00004C240000}"/>
    <cellStyle name="SAPBEXHLevel1" xfId="9245" xr:uid="{00000000-0005-0000-0000-00004D240000}"/>
    <cellStyle name="SAPBEXHLevel1 2" xfId="9246" xr:uid="{00000000-0005-0000-0000-00004E240000}"/>
    <cellStyle name="SAPBEXHLevel1 2 2" xfId="9247" xr:uid="{00000000-0005-0000-0000-00004F240000}"/>
    <cellStyle name="SAPBEXHLevel1 3" xfId="9248" xr:uid="{00000000-0005-0000-0000-000050240000}"/>
    <cellStyle name="SAPBEXHLevel1 4" xfId="9249" xr:uid="{00000000-0005-0000-0000-000051240000}"/>
    <cellStyle name="SAPBEXHLevel1X" xfId="9250" xr:uid="{00000000-0005-0000-0000-000052240000}"/>
    <cellStyle name="SAPBEXHLevel1X 2" xfId="9251" xr:uid="{00000000-0005-0000-0000-000053240000}"/>
    <cellStyle name="SAPBEXHLevel1X 2 2" xfId="9252" xr:uid="{00000000-0005-0000-0000-000054240000}"/>
    <cellStyle name="SAPBEXHLevel1X 3" xfId="9253" xr:uid="{00000000-0005-0000-0000-000055240000}"/>
    <cellStyle name="SAPBEXHLevel1X 4" xfId="9254" xr:uid="{00000000-0005-0000-0000-000056240000}"/>
    <cellStyle name="SAPBEXHLevel2" xfId="9255" xr:uid="{00000000-0005-0000-0000-000057240000}"/>
    <cellStyle name="SAPBEXHLevel2 2" xfId="9256" xr:uid="{00000000-0005-0000-0000-000058240000}"/>
    <cellStyle name="SAPBEXHLevel2 2 2" xfId="9257" xr:uid="{00000000-0005-0000-0000-000059240000}"/>
    <cellStyle name="SAPBEXHLevel2 3" xfId="9258" xr:uid="{00000000-0005-0000-0000-00005A240000}"/>
    <cellStyle name="SAPBEXHLevel2 4" xfId="9259" xr:uid="{00000000-0005-0000-0000-00005B240000}"/>
    <cellStyle name="SAPBEXHLevel2X" xfId="9260" xr:uid="{00000000-0005-0000-0000-00005C240000}"/>
    <cellStyle name="SAPBEXHLevel2X 2" xfId="9261" xr:uid="{00000000-0005-0000-0000-00005D240000}"/>
    <cellStyle name="SAPBEXHLevel2X 2 2" xfId="9262" xr:uid="{00000000-0005-0000-0000-00005E240000}"/>
    <cellStyle name="SAPBEXHLevel2X 3" xfId="9263" xr:uid="{00000000-0005-0000-0000-00005F240000}"/>
    <cellStyle name="SAPBEXHLevel2X 4" xfId="9264" xr:uid="{00000000-0005-0000-0000-000060240000}"/>
    <cellStyle name="SAPBEXHLevel3" xfId="9265" xr:uid="{00000000-0005-0000-0000-000061240000}"/>
    <cellStyle name="SAPBEXHLevel3 2" xfId="9266" xr:uid="{00000000-0005-0000-0000-000062240000}"/>
    <cellStyle name="SAPBEXHLevel3 2 2" xfId="9267" xr:uid="{00000000-0005-0000-0000-000063240000}"/>
    <cellStyle name="SAPBEXHLevel3 3" xfId="9268" xr:uid="{00000000-0005-0000-0000-000064240000}"/>
    <cellStyle name="SAPBEXHLevel3 4" xfId="9269" xr:uid="{00000000-0005-0000-0000-000065240000}"/>
    <cellStyle name="SAPBEXHLevel3X" xfId="9270" xr:uid="{00000000-0005-0000-0000-000066240000}"/>
    <cellStyle name="SAPBEXHLevel3X 2" xfId="9271" xr:uid="{00000000-0005-0000-0000-000067240000}"/>
    <cellStyle name="SAPBEXHLevel3X 2 2" xfId="9272" xr:uid="{00000000-0005-0000-0000-000068240000}"/>
    <cellStyle name="SAPBEXHLevel3X 3" xfId="9273" xr:uid="{00000000-0005-0000-0000-000069240000}"/>
    <cellStyle name="SAPBEXHLevel3X 4" xfId="9274" xr:uid="{00000000-0005-0000-0000-00006A240000}"/>
    <cellStyle name="SAPBEXinputData" xfId="9275" xr:uid="{00000000-0005-0000-0000-00006B240000}"/>
    <cellStyle name="SAPBEXinputData 2" xfId="9276" xr:uid="{00000000-0005-0000-0000-00006C240000}"/>
    <cellStyle name="SAPBEXinputData 2 2" xfId="9277" xr:uid="{00000000-0005-0000-0000-00006D240000}"/>
    <cellStyle name="SAPBEXinputData 3" xfId="9278" xr:uid="{00000000-0005-0000-0000-00006E240000}"/>
    <cellStyle name="SAPBEXItemHeader" xfId="9279" xr:uid="{00000000-0005-0000-0000-00006F240000}"/>
    <cellStyle name="SAPBEXresData" xfId="9280" xr:uid="{00000000-0005-0000-0000-000070240000}"/>
    <cellStyle name="SAPBEXresData 2" xfId="9281" xr:uid="{00000000-0005-0000-0000-000071240000}"/>
    <cellStyle name="SAPBEXresData 3" xfId="9282" xr:uid="{00000000-0005-0000-0000-000072240000}"/>
    <cellStyle name="SAPBEXresDataEmph" xfId="9283" xr:uid="{00000000-0005-0000-0000-000073240000}"/>
    <cellStyle name="SAPBEXresDataEmph 2" xfId="9284" xr:uid="{00000000-0005-0000-0000-000074240000}"/>
    <cellStyle name="SAPBEXresDataEmph 3" xfId="9285" xr:uid="{00000000-0005-0000-0000-000075240000}"/>
    <cellStyle name="SAPBEXresItem" xfId="9286" xr:uid="{00000000-0005-0000-0000-000076240000}"/>
    <cellStyle name="SAPBEXresItem 2" xfId="9287" xr:uid="{00000000-0005-0000-0000-000077240000}"/>
    <cellStyle name="SAPBEXresItem 3" xfId="9288" xr:uid="{00000000-0005-0000-0000-000078240000}"/>
    <cellStyle name="SAPBEXresItemX" xfId="9289" xr:uid="{00000000-0005-0000-0000-000079240000}"/>
    <cellStyle name="SAPBEXresItemX 2" xfId="9290" xr:uid="{00000000-0005-0000-0000-00007A240000}"/>
    <cellStyle name="SAPBEXresItemX 3" xfId="9291" xr:uid="{00000000-0005-0000-0000-00007B240000}"/>
    <cellStyle name="SAPBEXstdData" xfId="9292" xr:uid="{00000000-0005-0000-0000-00007C240000}"/>
    <cellStyle name="SAPBEXstdData 2" xfId="9293" xr:uid="{00000000-0005-0000-0000-00007D240000}"/>
    <cellStyle name="SAPBEXstdData 3" xfId="9294" xr:uid="{00000000-0005-0000-0000-00007E240000}"/>
    <cellStyle name="SAPBEXstdData 4" xfId="9295" xr:uid="{00000000-0005-0000-0000-00007F240000}"/>
    <cellStyle name="SAPBEXstdDataEmph" xfId="9296" xr:uid="{00000000-0005-0000-0000-000080240000}"/>
    <cellStyle name="SAPBEXstdDataEmph 2" xfId="9297" xr:uid="{00000000-0005-0000-0000-000081240000}"/>
    <cellStyle name="SAPBEXstdDataEmph 3" xfId="9298" xr:uid="{00000000-0005-0000-0000-000082240000}"/>
    <cellStyle name="SAPBEXstdItem" xfId="9299" xr:uid="{00000000-0005-0000-0000-000083240000}"/>
    <cellStyle name="SAPBEXstdItem 2" xfId="9300" xr:uid="{00000000-0005-0000-0000-000084240000}"/>
    <cellStyle name="SAPBEXstdItem 2 2" xfId="9301" xr:uid="{00000000-0005-0000-0000-000085240000}"/>
    <cellStyle name="SAPBEXstdItem 2 2 2" xfId="9302" xr:uid="{00000000-0005-0000-0000-000086240000}"/>
    <cellStyle name="SAPBEXstdItem 2 3" xfId="9303" xr:uid="{00000000-0005-0000-0000-000087240000}"/>
    <cellStyle name="SAPBEXstdItem 3" xfId="9304" xr:uid="{00000000-0005-0000-0000-000088240000}"/>
    <cellStyle name="SAPBEXstdItem 3 2" xfId="9305" xr:uid="{00000000-0005-0000-0000-000089240000}"/>
    <cellStyle name="SAPBEXstdItem 3 2 2" xfId="9306" xr:uid="{00000000-0005-0000-0000-00008A240000}"/>
    <cellStyle name="SAPBEXstdItem 3 3" xfId="9307" xr:uid="{00000000-0005-0000-0000-00008B240000}"/>
    <cellStyle name="SAPBEXstdItem 3 3 2" xfId="9308" xr:uid="{00000000-0005-0000-0000-00008C240000}"/>
    <cellStyle name="SAPBEXstdItem 3 4" xfId="9309" xr:uid="{00000000-0005-0000-0000-00008D240000}"/>
    <cellStyle name="SAPBEXstdItem 3 4 2" xfId="9310" xr:uid="{00000000-0005-0000-0000-00008E240000}"/>
    <cellStyle name="SAPBEXstdItem 4" xfId="9311" xr:uid="{00000000-0005-0000-0000-00008F240000}"/>
    <cellStyle name="SAPBEXstdItem 4 2" xfId="9312" xr:uid="{00000000-0005-0000-0000-000090240000}"/>
    <cellStyle name="SAPBEXstdItem 5" xfId="9313" xr:uid="{00000000-0005-0000-0000-000091240000}"/>
    <cellStyle name="SAPBEXstdItem 6" xfId="9314" xr:uid="{00000000-0005-0000-0000-000092240000}"/>
    <cellStyle name="SAPBEXstdItem 7" xfId="9315" xr:uid="{00000000-0005-0000-0000-000093240000}"/>
    <cellStyle name="SAPBEXstdItem 8" xfId="9316" xr:uid="{00000000-0005-0000-0000-000094240000}"/>
    <cellStyle name="SAPBEXstdItemX" xfId="9317" xr:uid="{00000000-0005-0000-0000-000095240000}"/>
    <cellStyle name="SAPBEXstdItemX 2" xfId="9318" xr:uid="{00000000-0005-0000-0000-000096240000}"/>
    <cellStyle name="SAPBEXstdItemX 2 2" xfId="9319" xr:uid="{00000000-0005-0000-0000-000097240000}"/>
    <cellStyle name="SAPBEXstdItemX 2 2 2" xfId="9320" xr:uid="{00000000-0005-0000-0000-000098240000}"/>
    <cellStyle name="SAPBEXstdItemX 2 3" xfId="9321" xr:uid="{00000000-0005-0000-0000-000099240000}"/>
    <cellStyle name="SAPBEXstdItemX 3" xfId="9322" xr:uid="{00000000-0005-0000-0000-00009A240000}"/>
    <cellStyle name="SAPBEXstdItemX 3 2" xfId="9323" xr:uid="{00000000-0005-0000-0000-00009B240000}"/>
    <cellStyle name="SAPBEXstdItemX 3 2 2" xfId="9324" xr:uid="{00000000-0005-0000-0000-00009C240000}"/>
    <cellStyle name="SAPBEXstdItemX 3 3" xfId="9325" xr:uid="{00000000-0005-0000-0000-00009D240000}"/>
    <cellStyle name="SAPBEXstdItemX 3 3 2" xfId="9326" xr:uid="{00000000-0005-0000-0000-00009E240000}"/>
    <cellStyle name="SAPBEXstdItemX 3 4" xfId="9327" xr:uid="{00000000-0005-0000-0000-00009F240000}"/>
    <cellStyle name="SAPBEXstdItemX 3 4 2" xfId="9328" xr:uid="{00000000-0005-0000-0000-0000A0240000}"/>
    <cellStyle name="SAPBEXstdItemX 4" xfId="9329" xr:uid="{00000000-0005-0000-0000-0000A1240000}"/>
    <cellStyle name="SAPBEXstdItemX 4 2" xfId="9330" xr:uid="{00000000-0005-0000-0000-0000A2240000}"/>
    <cellStyle name="SAPBEXstdItemX 5" xfId="9331" xr:uid="{00000000-0005-0000-0000-0000A3240000}"/>
    <cellStyle name="SAPBEXstdItemX 6" xfId="9332" xr:uid="{00000000-0005-0000-0000-0000A4240000}"/>
    <cellStyle name="SAPBEXstdItemX 7" xfId="9333" xr:uid="{00000000-0005-0000-0000-0000A5240000}"/>
    <cellStyle name="SAPBEXstdItemX 8" xfId="9334" xr:uid="{00000000-0005-0000-0000-0000A6240000}"/>
    <cellStyle name="SAPBEXtitle" xfId="9335" xr:uid="{00000000-0005-0000-0000-0000A7240000}"/>
    <cellStyle name="SAPBEXtitle 2" xfId="9336" xr:uid="{00000000-0005-0000-0000-0000A8240000}"/>
    <cellStyle name="SAPBEXtitle 3" xfId="9337" xr:uid="{00000000-0005-0000-0000-0000A9240000}"/>
    <cellStyle name="SAPBEXunassignedItem" xfId="9338" xr:uid="{00000000-0005-0000-0000-0000AA240000}"/>
    <cellStyle name="SAPBEXundefined" xfId="9339" xr:uid="{00000000-0005-0000-0000-0000AB240000}"/>
    <cellStyle name="SAPBEXundefined 2" xfId="9340" xr:uid="{00000000-0005-0000-0000-0000AC240000}"/>
    <cellStyle name="SAPBEXundefined 3" xfId="9341" xr:uid="{00000000-0005-0000-0000-0000AD240000}"/>
    <cellStyle name="shade" xfId="9342" xr:uid="{00000000-0005-0000-0000-0000AE240000}"/>
    <cellStyle name="shade 2" xfId="9343" xr:uid="{00000000-0005-0000-0000-0000AF240000}"/>
    <cellStyle name="shade 2 2" xfId="9344" xr:uid="{00000000-0005-0000-0000-0000B0240000}"/>
    <cellStyle name="shade 2 2 2" xfId="9345" xr:uid="{00000000-0005-0000-0000-0000B1240000}"/>
    <cellStyle name="shade 2 3" xfId="9346" xr:uid="{00000000-0005-0000-0000-0000B2240000}"/>
    <cellStyle name="shade 3" xfId="9347" xr:uid="{00000000-0005-0000-0000-0000B3240000}"/>
    <cellStyle name="shade 3 2" xfId="9348" xr:uid="{00000000-0005-0000-0000-0000B4240000}"/>
    <cellStyle name="shade 3 2 2" xfId="9349" xr:uid="{00000000-0005-0000-0000-0000B5240000}"/>
    <cellStyle name="shade 3 3" xfId="9350" xr:uid="{00000000-0005-0000-0000-0000B6240000}"/>
    <cellStyle name="shade 3 3 2" xfId="9351" xr:uid="{00000000-0005-0000-0000-0000B7240000}"/>
    <cellStyle name="shade 3 4" xfId="9352" xr:uid="{00000000-0005-0000-0000-0000B8240000}"/>
    <cellStyle name="shade 3 4 2" xfId="9353" xr:uid="{00000000-0005-0000-0000-0000B9240000}"/>
    <cellStyle name="shade 4" xfId="9354" xr:uid="{00000000-0005-0000-0000-0000BA240000}"/>
    <cellStyle name="shade 4 2" xfId="9355" xr:uid="{00000000-0005-0000-0000-0000BB240000}"/>
    <cellStyle name="shade 5" xfId="9356" xr:uid="{00000000-0005-0000-0000-0000BC240000}"/>
    <cellStyle name="shade 6" xfId="9357" xr:uid="{00000000-0005-0000-0000-0000BD240000}"/>
    <cellStyle name="shade 7" xfId="9358" xr:uid="{00000000-0005-0000-0000-0000BE240000}"/>
    <cellStyle name="shade_ACCOUNTS" xfId="9359" xr:uid="{00000000-0005-0000-0000-0000BF240000}"/>
    <cellStyle name="Sheet Title" xfId="9360" xr:uid="{00000000-0005-0000-0000-0000C0240000}"/>
    <cellStyle name="StmtTtl1" xfId="9361" xr:uid="{00000000-0005-0000-0000-0000C1240000}"/>
    <cellStyle name="StmtTtl1 2" xfId="9362" xr:uid="{00000000-0005-0000-0000-0000C2240000}"/>
    <cellStyle name="StmtTtl1 2 2" xfId="9363" xr:uid="{00000000-0005-0000-0000-0000C3240000}"/>
    <cellStyle name="StmtTtl1 2 3" xfId="9364" xr:uid="{00000000-0005-0000-0000-0000C4240000}"/>
    <cellStyle name="StmtTtl1 2 4" xfId="9365" xr:uid="{00000000-0005-0000-0000-0000C5240000}"/>
    <cellStyle name="StmtTtl1 3" xfId="9366" xr:uid="{00000000-0005-0000-0000-0000C6240000}"/>
    <cellStyle name="StmtTtl1 3 2" xfId="9367" xr:uid="{00000000-0005-0000-0000-0000C7240000}"/>
    <cellStyle name="StmtTtl1 3 3" xfId="9368" xr:uid="{00000000-0005-0000-0000-0000C8240000}"/>
    <cellStyle name="StmtTtl1 3 4" xfId="9369" xr:uid="{00000000-0005-0000-0000-0000C9240000}"/>
    <cellStyle name="StmtTtl1 4" xfId="9370" xr:uid="{00000000-0005-0000-0000-0000CA240000}"/>
    <cellStyle name="StmtTtl1 4 2" xfId="9371" xr:uid="{00000000-0005-0000-0000-0000CB240000}"/>
    <cellStyle name="StmtTtl1 4 3" xfId="9372" xr:uid="{00000000-0005-0000-0000-0000CC240000}"/>
    <cellStyle name="StmtTtl1 4 4" xfId="9373" xr:uid="{00000000-0005-0000-0000-0000CD240000}"/>
    <cellStyle name="StmtTtl1 5" xfId="9374" xr:uid="{00000000-0005-0000-0000-0000CE240000}"/>
    <cellStyle name="StmtTtl1 5 2" xfId="9375" xr:uid="{00000000-0005-0000-0000-0000CF240000}"/>
    <cellStyle name="StmtTtl1 6" xfId="9376" xr:uid="{00000000-0005-0000-0000-0000D0240000}"/>
    <cellStyle name="StmtTtl1 6 2" xfId="9377" xr:uid="{00000000-0005-0000-0000-0000D1240000}"/>
    <cellStyle name="StmtTtl1 7" xfId="9378" xr:uid="{00000000-0005-0000-0000-0000D2240000}"/>
    <cellStyle name="StmtTtl1 8" xfId="9379" xr:uid="{00000000-0005-0000-0000-0000D3240000}"/>
    <cellStyle name="StmtTtl1_(C) WHE Proforma with ITC cash grant 10 Yr Amort_for deferral_102809" xfId="9380" xr:uid="{00000000-0005-0000-0000-0000D4240000}"/>
    <cellStyle name="StmtTtl2" xfId="9381" xr:uid="{00000000-0005-0000-0000-0000D5240000}"/>
    <cellStyle name="StmtTtl2 2" xfId="9382" xr:uid="{00000000-0005-0000-0000-0000D6240000}"/>
    <cellStyle name="StmtTtl2 2 2" xfId="9383" xr:uid="{00000000-0005-0000-0000-0000D7240000}"/>
    <cellStyle name="StmtTtl2 3" xfId="9384" xr:uid="{00000000-0005-0000-0000-0000D8240000}"/>
    <cellStyle name="StmtTtl2 3 2" xfId="9385" xr:uid="{00000000-0005-0000-0000-0000D9240000}"/>
    <cellStyle name="StmtTtl2 4" xfId="9386" xr:uid="{00000000-0005-0000-0000-0000DA240000}"/>
    <cellStyle name="StmtTtl2 5" xfId="9387" xr:uid="{00000000-0005-0000-0000-0000DB240000}"/>
    <cellStyle name="StmtTtl2 6" xfId="9388" xr:uid="{00000000-0005-0000-0000-0000DC240000}"/>
    <cellStyle name="StmtTtl2 7" xfId="9389" xr:uid="{00000000-0005-0000-0000-0000DD240000}"/>
    <cellStyle name="StmtTtl2 8" xfId="9390" xr:uid="{00000000-0005-0000-0000-0000DE240000}"/>
    <cellStyle name="StmtTtl2 9" xfId="9391" xr:uid="{00000000-0005-0000-0000-0000DF240000}"/>
    <cellStyle name="StmtTtl2_4.32E Depreciation Study Robs file" xfId="9392" xr:uid="{00000000-0005-0000-0000-0000E0240000}"/>
    <cellStyle name="STYL1 - Style1" xfId="9393" xr:uid="{00000000-0005-0000-0000-0000E1240000}"/>
    <cellStyle name="STYL1 - Style1 2" xfId="9394" xr:uid="{00000000-0005-0000-0000-0000E2240000}"/>
    <cellStyle name="Style 1" xfId="9395" xr:uid="{00000000-0005-0000-0000-0000E3240000}"/>
    <cellStyle name="Style 1 10" xfId="9396" xr:uid="{00000000-0005-0000-0000-0000E4240000}"/>
    <cellStyle name="Style 1 11" xfId="9397" xr:uid="{00000000-0005-0000-0000-0000E5240000}"/>
    <cellStyle name="Style 1 2" xfId="9398" xr:uid="{00000000-0005-0000-0000-0000E6240000}"/>
    <cellStyle name="Style 1 2 2" xfId="9399" xr:uid="{00000000-0005-0000-0000-0000E7240000}"/>
    <cellStyle name="Style 1 2 2 2" xfId="9400" xr:uid="{00000000-0005-0000-0000-0000E8240000}"/>
    <cellStyle name="Style 1 2 3" xfId="9401" xr:uid="{00000000-0005-0000-0000-0000E9240000}"/>
    <cellStyle name="Style 1 2 4" xfId="9402" xr:uid="{00000000-0005-0000-0000-0000EA240000}"/>
    <cellStyle name="Style 1 2 5" xfId="9403" xr:uid="{00000000-0005-0000-0000-0000EB240000}"/>
    <cellStyle name="Style 1 2 6" xfId="9404" xr:uid="{00000000-0005-0000-0000-0000EC240000}"/>
    <cellStyle name="Style 1 2_Chelan PUD Power Costs (8-10)" xfId="9405" xr:uid="{00000000-0005-0000-0000-0000ED240000}"/>
    <cellStyle name="Style 1 3" xfId="9406" xr:uid="{00000000-0005-0000-0000-0000EE240000}"/>
    <cellStyle name="Style 1 3 2" xfId="9407" xr:uid="{00000000-0005-0000-0000-0000EF240000}"/>
    <cellStyle name="Style 1 3 2 2" xfId="9408" xr:uid="{00000000-0005-0000-0000-0000F0240000}"/>
    <cellStyle name="Style 1 3 2 3" xfId="9409" xr:uid="{00000000-0005-0000-0000-0000F1240000}"/>
    <cellStyle name="Style 1 3 3" xfId="9410" xr:uid="{00000000-0005-0000-0000-0000F2240000}"/>
    <cellStyle name="Style 1 3 3 2" xfId="9411" xr:uid="{00000000-0005-0000-0000-0000F3240000}"/>
    <cellStyle name="Style 1 3 4" xfId="9412" xr:uid="{00000000-0005-0000-0000-0000F4240000}"/>
    <cellStyle name="Style 1 3 5" xfId="9413" xr:uid="{00000000-0005-0000-0000-0000F5240000}"/>
    <cellStyle name="Style 1 4" xfId="9414" xr:uid="{00000000-0005-0000-0000-0000F6240000}"/>
    <cellStyle name="Style 1 4 2" xfId="9415" xr:uid="{00000000-0005-0000-0000-0000F7240000}"/>
    <cellStyle name="Style 1 4 2 2" xfId="9416" xr:uid="{00000000-0005-0000-0000-0000F8240000}"/>
    <cellStyle name="Style 1 4 3" xfId="9417" xr:uid="{00000000-0005-0000-0000-0000F9240000}"/>
    <cellStyle name="Style 1 4 4" xfId="9418" xr:uid="{00000000-0005-0000-0000-0000FA240000}"/>
    <cellStyle name="Style 1 5" xfId="9419" xr:uid="{00000000-0005-0000-0000-0000FB240000}"/>
    <cellStyle name="Style 1 5 2" xfId="9420" xr:uid="{00000000-0005-0000-0000-0000FC240000}"/>
    <cellStyle name="Style 1 5 2 2" xfId="9421" xr:uid="{00000000-0005-0000-0000-0000FD240000}"/>
    <cellStyle name="Style 1 5 3" xfId="9422" xr:uid="{00000000-0005-0000-0000-0000FE240000}"/>
    <cellStyle name="Style 1 5 4" xfId="9423" xr:uid="{00000000-0005-0000-0000-0000FF240000}"/>
    <cellStyle name="Style 1 6" xfId="9424" xr:uid="{00000000-0005-0000-0000-000000250000}"/>
    <cellStyle name="Style 1 6 2" xfId="9425" xr:uid="{00000000-0005-0000-0000-000001250000}"/>
    <cellStyle name="Style 1 6 2 2" xfId="9426" xr:uid="{00000000-0005-0000-0000-000002250000}"/>
    <cellStyle name="Style 1 6 2 3" xfId="9427" xr:uid="{00000000-0005-0000-0000-000003250000}"/>
    <cellStyle name="Style 1 6 3" xfId="9428" xr:uid="{00000000-0005-0000-0000-000004250000}"/>
    <cellStyle name="Style 1 6 3 2" xfId="9429" xr:uid="{00000000-0005-0000-0000-000005250000}"/>
    <cellStyle name="Style 1 6 4" xfId="9430" xr:uid="{00000000-0005-0000-0000-000006250000}"/>
    <cellStyle name="Style 1 6 4 2" xfId="9431" xr:uid="{00000000-0005-0000-0000-000007250000}"/>
    <cellStyle name="Style 1 6 5" xfId="9432" xr:uid="{00000000-0005-0000-0000-000008250000}"/>
    <cellStyle name="Style 1 6 5 2" xfId="9433" xr:uid="{00000000-0005-0000-0000-000009250000}"/>
    <cellStyle name="Style 1 6 6" xfId="9434" xr:uid="{00000000-0005-0000-0000-00000A250000}"/>
    <cellStyle name="Style 1 7" xfId="9435" xr:uid="{00000000-0005-0000-0000-00000B250000}"/>
    <cellStyle name="Style 1 8" xfId="9436" xr:uid="{00000000-0005-0000-0000-00000C250000}"/>
    <cellStyle name="Style 1 9" xfId="9437" xr:uid="{00000000-0005-0000-0000-00000D250000}"/>
    <cellStyle name="Style 1_ Price Inputs" xfId="9438" xr:uid="{00000000-0005-0000-0000-00000E250000}"/>
    <cellStyle name="STYLE1" xfId="9439" xr:uid="{00000000-0005-0000-0000-00000F250000}"/>
    <cellStyle name="STYLE2" xfId="9440" xr:uid="{00000000-0005-0000-0000-000010250000}"/>
    <cellStyle name="STYLE3" xfId="9441" xr:uid="{00000000-0005-0000-0000-000011250000}"/>
    <cellStyle name="sub-tl - Style3" xfId="9442" xr:uid="{00000000-0005-0000-0000-000012250000}"/>
    <cellStyle name="subtot - Style5" xfId="9443" xr:uid="{00000000-0005-0000-0000-000013250000}"/>
    <cellStyle name="Subtotal" xfId="9444" xr:uid="{00000000-0005-0000-0000-000014250000}"/>
    <cellStyle name="Sub-total" xfId="9445" xr:uid="{00000000-0005-0000-0000-000015250000}"/>
    <cellStyle name="Subtotal 2" xfId="9446" xr:uid="{00000000-0005-0000-0000-000016250000}"/>
    <cellStyle name="Sub-total 2" xfId="9447" xr:uid="{00000000-0005-0000-0000-000017250000}"/>
    <cellStyle name="Subtotal 3" xfId="9448" xr:uid="{00000000-0005-0000-0000-000018250000}"/>
    <cellStyle name="Sub-total 3" xfId="9449" xr:uid="{00000000-0005-0000-0000-000019250000}"/>
    <cellStyle name="taples Plaza" xfId="9450" xr:uid="{00000000-0005-0000-0000-00001A250000}"/>
    <cellStyle name="Test" xfId="9451" xr:uid="{00000000-0005-0000-0000-00001B250000}"/>
    <cellStyle name="Tickmark" xfId="9452" xr:uid="{00000000-0005-0000-0000-00001C250000}"/>
    <cellStyle name="Title 2" xfId="9453" xr:uid="{00000000-0005-0000-0000-00001D250000}"/>
    <cellStyle name="Title 2 2" xfId="9454" xr:uid="{00000000-0005-0000-0000-00001E250000}"/>
    <cellStyle name="Title 2 2 2" xfId="9455" xr:uid="{00000000-0005-0000-0000-00001F250000}"/>
    <cellStyle name="Title 2 3" xfId="9456" xr:uid="{00000000-0005-0000-0000-000020250000}"/>
    <cellStyle name="Title 3" xfId="9457" xr:uid="{00000000-0005-0000-0000-000021250000}"/>
    <cellStyle name="Title 3 2" xfId="9458" xr:uid="{00000000-0005-0000-0000-000022250000}"/>
    <cellStyle name="Title 3 3" xfId="9459" xr:uid="{00000000-0005-0000-0000-000023250000}"/>
    <cellStyle name="Title 3 4" xfId="9460" xr:uid="{00000000-0005-0000-0000-000024250000}"/>
    <cellStyle name="Title 4" xfId="9461" xr:uid="{00000000-0005-0000-0000-000025250000}"/>
    <cellStyle name="Title 5" xfId="9462" xr:uid="{00000000-0005-0000-0000-000026250000}"/>
    <cellStyle name="Title 6" xfId="9463" xr:uid="{00000000-0005-0000-0000-000027250000}"/>
    <cellStyle name="Title: - Style3" xfId="9464" xr:uid="{00000000-0005-0000-0000-000028250000}"/>
    <cellStyle name="Title: - Style4" xfId="9465" xr:uid="{00000000-0005-0000-0000-000029250000}"/>
    <cellStyle name="Title: Major" xfId="9466" xr:uid="{00000000-0005-0000-0000-00002A250000}"/>
    <cellStyle name="Title: Major 2" xfId="9467" xr:uid="{00000000-0005-0000-0000-00002B250000}"/>
    <cellStyle name="Title: Major 3" xfId="9468" xr:uid="{00000000-0005-0000-0000-00002C250000}"/>
    <cellStyle name="Title: Minor" xfId="9469" xr:uid="{00000000-0005-0000-0000-00002D250000}"/>
    <cellStyle name="Title: Minor 2" xfId="9470" xr:uid="{00000000-0005-0000-0000-00002E250000}"/>
    <cellStyle name="Title: Minor 3" xfId="9471" xr:uid="{00000000-0005-0000-0000-00002F250000}"/>
    <cellStyle name="Title: Minor_Electric Rev Req Model (2009 GRC) Rebuttal" xfId="9472" xr:uid="{00000000-0005-0000-0000-000030250000}"/>
    <cellStyle name="Title: Worksheet" xfId="9473" xr:uid="{00000000-0005-0000-0000-000031250000}"/>
    <cellStyle name="Title: Worksheet 2" xfId="9474" xr:uid="{00000000-0005-0000-0000-000032250000}"/>
    <cellStyle name="Total 2" xfId="9475" xr:uid="{00000000-0005-0000-0000-000033250000}"/>
    <cellStyle name="Total 2 2" xfId="9476" xr:uid="{00000000-0005-0000-0000-000034250000}"/>
    <cellStyle name="Total 2 2 2" xfId="9477" xr:uid="{00000000-0005-0000-0000-000035250000}"/>
    <cellStyle name="Total 2 2 3" xfId="9478" xr:uid="{00000000-0005-0000-0000-000036250000}"/>
    <cellStyle name="Total 2 3" xfId="9479" xr:uid="{00000000-0005-0000-0000-000037250000}"/>
    <cellStyle name="Total 2 3 2" xfId="9480" xr:uid="{00000000-0005-0000-0000-000038250000}"/>
    <cellStyle name="Total 2 3 3" xfId="9481" xr:uid="{00000000-0005-0000-0000-000039250000}"/>
    <cellStyle name="Total 2 3 4" xfId="9482" xr:uid="{00000000-0005-0000-0000-00003A250000}"/>
    <cellStyle name="Total 2 4" xfId="9483" xr:uid="{00000000-0005-0000-0000-00003B250000}"/>
    <cellStyle name="Total 3" xfId="9484" xr:uid="{00000000-0005-0000-0000-00003C250000}"/>
    <cellStyle name="Total 3 2" xfId="9485" xr:uid="{00000000-0005-0000-0000-00003D250000}"/>
    <cellStyle name="Total 3 3" xfId="9486" xr:uid="{00000000-0005-0000-0000-00003E250000}"/>
    <cellStyle name="Total 3 4" xfId="9487" xr:uid="{00000000-0005-0000-0000-00003F250000}"/>
    <cellStyle name="Total 4" xfId="9488" xr:uid="{00000000-0005-0000-0000-000040250000}"/>
    <cellStyle name="Total 4 2" xfId="9489" xr:uid="{00000000-0005-0000-0000-000041250000}"/>
    <cellStyle name="Total 5" xfId="9490" xr:uid="{00000000-0005-0000-0000-000042250000}"/>
    <cellStyle name="Total 6" xfId="9491" xr:uid="{00000000-0005-0000-0000-000043250000}"/>
    <cellStyle name="Total 9" xfId="9492" xr:uid="{00000000-0005-0000-0000-000044250000}"/>
    <cellStyle name="Total 9 2" xfId="9493" xr:uid="{00000000-0005-0000-0000-000045250000}"/>
    <cellStyle name="Total4 - Style4" xfId="9494" xr:uid="{00000000-0005-0000-0000-000046250000}"/>
    <cellStyle name="Total4 - Style4 2" xfId="9495" xr:uid="{00000000-0005-0000-0000-000047250000}"/>
    <cellStyle name="Total4 - Style4 2 2" xfId="9496" xr:uid="{00000000-0005-0000-0000-000048250000}"/>
    <cellStyle name="Total4 - Style4 3" xfId="9497" xr:uid="{00000000-0005-0000-0000-000049250000}"/>
    <cellStyle name="Total4 - Style4_ACCOUNTS" xfId="9498" xr:uid="{00000000-0005-0000-0000-00004A250000}"/>
    <cellStyle name="Warning Text 2" xfId="9499" xr:uid="{00000000-0005-0000-0000-00004B250000}"/>
    <cellStyle name="Warning Text 2 2" xfId="9500" xr:uid="{00000000-0005-0000-0000-00004C250000}"/>
    <cellStyle name="Warning Text 2 2 2" xfId="9501" xr:uid="{00000000-0005-0000-0000-00004D250000}"/>
    <cellStyle name="Warning Text 2 3" xfId="9502" xr:uid="{00000000-0005-0000-0000-00004E250000}"/>
    <cellStyle name="Warning Text 3" xfId="9503" xr:uid="{00000000-0005-0000-0000-00004F250000}"/>
    <cellStyle name="Warning Text 4" xfId="9504" xr:uid="{00000000-0005-0000-0000-000050250000}"/>
    <cellStyle name="WM_STANDARD" xfId="9518" xr:uid="{00000000-0005-0000-0000-000051250000}"/>
    <cellStyle name="WMI_Standard" xfId="9517" xr:uid="{00000000-0005-0000-0000-000052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workbookViewId="0">
      <selection activeCell="G14" sqref="G14"/>
    </sheetView>
  </sheetViews>
  <sheetFormatPr defaultRowHeight="14.4"/>
  <cols>
    <col min="1" max="1" width="2.44140625" customWidth="1"/>
    <col min="2" max="2" width="22.6640625" customWidth="1"/>
    <col min="4" max="15" width="12.5546875" bestFit="1" customWidth="1"/>
    <col min="16" max="16" width="14.33203125" bestFit="1" customWidth="1"/>
  </cols>
  <sheetData>
    <row r="1" spans="1:16">
      <c r="A1" t="s">
        <v>177</v>
      </c>
    </row>
    <row r="2" spans="1:16">
      <c r="A2" t="s">
        <v>83</v>
      </c>
    </row>
    <row r="3" spans="1:16">
      <c r="A3" t="s">
        <v>84</v>
      </c>
    </row>
    <row r="4" spans="1:16">
      <c r="A4" t="s">
        <v>85</v>
      </c>
    </row>
    <row r="5" spans="1:16">
      <c r="D5" t="s">
        <v>89</v>
      </c>
      <c r="E5" t="s">
        <v>90</v>
      </c>
      <c r="F5" t="s">
        <v>91</v>
      </c>
      <c r="G5" t="s">
        <v>92</v>
      </c>
      <c r="H5" t="s">
        <v>40</v>
      </c>
      <c r="I5" t="s">
        <v>93</v>
      </c>
      <c r="J5" t="s">
        <v>94</v>
      </c>
      <c r="K5" t="s">
        <v>95</v>
      </c>
      <c r="L5" t="s">
        <v>96</v>
      </c>
      <c r="M5" t="s">
        <v>86</v>
      </c>
      <c r="N5" t="s">
        <v>87</v>
      </c>
      <c r="O5" t="s">
        <v>88</v>
      </c>
      <c r="P5" t="s">
        <v>67</v>
      </c>
    </row>
    <row r="6" spans="1:16">
      <c r="A6" t="s">
        <v>97</v>
      </c>
    </row>
    <row r="7" spans="1:16">
      <c r="B7" t="s">
        <v>98</v>
      </c>
      <c r="D7" s="50">
        <v>289886480</v>
      </c>
      <c r="E7" s="50">
        <v>265521283</v>
      </c>
      <c r="F7" s="50">
        <v>243798239</v>
      </c>
      <c r="G7" s="50">
        <v>186717371</v>
      </c>
      <c r="H7" s="50">
        <v>166632949</v>
      </c>
      <c r="I7" s="50">
        <v>143928993</v>
      </c>
      <c r="J7" s="50">
        <v>156298537</v>
      </c>
      <c r="K7" s="50">
        <v>190162484</v>
      </c>
      <c r="L7" s="50">
        <v>183763954</v>
      </c>
      <c r="M7" s="50">
        <v>172515690</v>
      </c>
      <c r="N7" s="50">
        <v>182389214</v>
      </c>
      <c r="O7" s="50">
        <v>262077988</v>
      </c>
      <c r="P7" s="50">
        <f>SUM(D7:O7)</f>
        <v>2443693182</v>
      </c>
    </row>
    <row r="8" spans="1:16">
      <c r="B8" t="s">
        <v>99</v>
      </c>
      <c r="D8" s="50">
        <v>59897515</v>
      </c>
      <c r="E8" s="50">
        <v>57189947</v>
      </c>
      <c r="F8" s="50">
        <v>53416031</v>
      </c>
      <c r="G8" s="50">
        <v>45515376</v>
      </c>
      <c r="H8" s="50">
        <v>44349209</v>
      </c>
      <c r="I8" s="50">
        <v>40552190</v>
      </c>
      <c r="J8" s="50">
        <v>43982858</v>
      </c>
      <c r="K8" s="50">
        <v>50216491</v>
      </c>
      <c r="L8" s="50">
        <v>52391286</v>
      </c>
      <c r="M8" s="50">
        <v>48027262</v>
      </c>
      <c r="N8" s="50">
        <v>44565871</v>
      </c>
      <c r="O8" s="50">
        <v>56546224</v>
      </c>
      <c r="P8" s="50">
        <f t="shared" ref="P8:P12" si="0">SUM(D8:O8)</f>
        <v>596650260</v>
      </c>
    </row>
    <row r="9" spans="1:16">
      <c r="B9" t="s">
        <v>100</v>
      </c>
      <c r="D9" s="50">
        <v>124987510</v>
      </c>
      <c r="E9" s="50">
        <v>121599193</v>
      </c>
      <c r="F9" s="50">
        <v>116342928</v>
      </c>
      <c r="G9" s="50">
        <v>108793173</v>
      </c>
      <c r="H9" s="50">
        <v>113179392</v>
      </c>
      <c r="I9" s="50">
        <v>112320632</v>
      </c>
      <c r="J9" s="50">
        <v>115086097</v>
      </c>
      <c r="K9" s="50">
        <v>125217488</v>
      </c>
      <c r="L9" s="50">
        <v>132529218</v>
      </c>
      <c r="M9" s="50">
        <v>122102098</v>
      </c>
      <c r="N9" s="50">
        <v>110516653</v>
      </c>
      <c r="O9" s="50">
        <v>126020571</v>
      </c>
      <c r="P9" s="50">
        <f t="shared" si="0"/>
        <v>1428694953</v>
      </c>
    </row>
    <row r="10" spans="1:16">
      <c r="B10" t="s">
        <v>101</v>
      </c>
      <c r="D10" s="50">
        <v>91489298</v>
      </c>
      <c r="E10" s="50">
        <v>94615706</v>
      </c>
      <c r="F10" s="50">
        <v>86450358</v>
      </c>
      <c r="G10" s="50">
        <v>94974601</v>
      </c>
      <c r="H10" s="50">
        <v>91311649</v>
      </c>
      <c r="I10" s="50">
        <v>91684982</v>
      </c>
      <c r="J10" s="50">
        <v>87883840</v>
      </c>
      <c r="K10" s="50">
        <v>94835244</v>
      </c>
      <c r="L10" s="50">
        <v>98265527</v>
      </c>
      <c r="M10" s="50">
        <v>90540039</v>
      </c>
      <c r="N10" s="50">
        <v>89392627</v>
      </c>
      <c r="O10" s="50">
        <v>90598623</v>
      </c>
      <c r="P10" s="50">
        <f t="shared" si="0"/>
        <v>1102042494</v>
      </c>
    </row>
    <row r="11" spans="1:16">
      <c r="B11" t="s">
        <v>102</v>
      </c>
      <c r="D11" s="50">
        <v>4672648</v>
      </c>
      <c r="E11" s="50">
        <v>4692329</v>
      </c>
      <c r="F11" s="50">
        <v>4018427</v>
      </c>
      <c r="G11" s="50">
        <v>5516677</v>
      </c>
      <c r="H11" s="50">
        <v>10758607</v>
      </c>
      <c r="I11" s="50">
        <v>19067966</v>
      </c>
      <c r="J11" s="50">
        <v>22113559</v>
      </c>
      <c r="K11" s="50">
        <v>23803945</v>
      </c>
      <c r="L11" s="50">
        <v>22699934</v>
      </c>
      <c r="M11" s="50">
        <v>10534589</v>
      </c>
      <c r="N11" s="50">
        <v>4961688</v>
      </c>
      <c r="O11" s="50">
        <v>4285935</v>
      </c>
      <c r="P11" s="50">
        <f t="shared" si="0"/>
        <v>137126304</v>
      </c>
    </row>
    <row r="12" spans="1:16">
      <c r="B12" t="s">
        <v>103</v>
      </c>
      <c r="D12" s="50">
        <v>2098291</v>
      </c>
      <c r="E12" s="50">
        <v>2097748</v>
      </c>
      <c r="F12" s="50">
        <v>2097084</v>
      </c>
      <c r="G12" s="50">
        <v>2092917</v>
      </c>
      <c r="H12" s="50">
        <v>2080667</v>
      </c>
      <c r="I12" s="50">
        <v>2071670</v>
      </c>
      <c r="J12" s="50">
        <v>2091912</v>
      </c>
      <c r="K12" s="50">
        <v>2091315</v>
      </c>
      <c r="L12" s="50">
        <v>2086444</v>
      </c>
      <c r="M12" s="50">
        <v>2114106</v>
      </c>
      <c r="N12" s="50">
        <v>2103410</v>
      </c>
      <c r="O12" s="50">
        <v>2102201</v>
      </c>
      <c r="P12" s="50">
        <f t="shared" si="0"/>
        <v>25127765</v>
      </c>
    </row>
    <row r="13" spans="1:16">
      <c r="A13" t="s">
        <v>104</v>
      </c>
      <c r="D13" s="51">
        <f>SUM(D7:D12)</f>
        <v>573031742</v>
      </c>
      <c r="E13" s="51">
        <f t="shared" ref="E13:P13" si="1">SUM(E7:E12)</f>
        <v>545716206</v>
      </c>
      <c r="F13" s="51">
        <f t="shared" si="1"/>
        <v>506123067</v>
      </c>
      <c r="G13" s="51">
        <f t="shared" si="1"/>
        <v>443610115</v>
      </c>
      <c r="H13" s="51">
        <f t="shared" si="1"/>
        <v>428312473</v>
      </c>
      <c r="I13" s="51">
        <f t="shared" si="1"/>
        <v>409626433</v>
      </c>
      <c r="J13" s="51">
        <f t="shared" si="1"/>
        <v>427456803</v>
      </c>
      <c r="K13" s="51">
        <f t="shared" si="1"/>
        <v>486326967</v>
      </c>
      <c r="L13" s="51">
        <f t="shared" si="1"/>
        <v>491736363</v>
      </c>
      <c r="M13" s="51">
        <f t="shared" si="1"/>
        <v>445833784</v>
      </c>
      <c r="N13" s="51">
        <f t="shared" si="1"/>
        <v>433929463</v>
      </c>
      <c r="O13" s="51">
        <f t="shared" si="1"/>
        <v>541631542</v>
      </c>
      <c r="P13" s="51">
        <f t="shared" si="1"/>
        <v>5733334958</v>
      </c>
    </row>
    <row r="14" spans="1:16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>
      <c r="A15" t="s">
        <v>105</v>
      </c>
    </row>
    <row r="16" spans="1:16">
      <c r="B16" t="s">
        <v>98</v>
      </c>
      <c r="D16" s="50">
        <v>-8629013</v>
      </c>
      <c r="E16" s="50">
        <v>-13249697</v>
      </c>
      <c r="F16" s="50">
        <v>-15167724</v>
      </c>
      <c r="G16" s="50">
        <v>-15020391</v>
      </c>
      <c r="H16" s="50">
        <v>-8320850</v>
      </c>
      <c r="I16" s="50">
        <v>-6289455</v>
      </c>
      <c r="J16" s="50">
        <v>32359748</v>
      </c>
      <c r="K16" s="50">
        <v>7875571</v>
      </c>
      <c r="L16" s="50">
        <v>-35572443</v>
      </c>
      <c r="M16" s="50">
        <v>5552393</v>
      </c>
      <c r="N16" s="50">
        <v>31259449</v>
      </c>
      <c r="O16" s="50">
        <v>21876369</v>
      </c>
      <c r="P16" s="50">
        <f>SUM(D16:O16)</f>
        <v>-3326043</v>
      </c>
    </row>
    <row r="17" spans="1:16">
      <c r="B17" t="s">
        <v>99</v>
      </c>
      <c r="D17" s="50">
        <v>-3303565</v>
      </c>
      <c r="E17" s="50">
        <v>-1535906</v>
      </c>
      <c r="F17" s="50">
        <v>-2730463</v>
      </c>
      <c r="G17" s="50">
        <v>-359642</v>
      </c>
      <c r="H17" s="50">
        <v>330134</v>
      </c>
      <c r="I17" s="50">
        <v>-8117</v>
      </c>
      <c r="J17" s="50">
        <v>8770260</v>
      </c>
      <c r="K17" s="50">
        <v>-66022</v>
      </c>
      <c r="L17" s="50">
        <v>-7064268</v>
      </c>
      <c r="M17" s="50">
        <v>1915402</v>
      </c>
      <c r="N17" s="50">
        <v>3710756</v>
      </c>
      <c r="O17" s="50">
        <v>571774</v>
      </c>
      <c r="P17" s="50">
        <f t="shared" ref="P17:P21" si="2">SUM(D17:O17)</f>
        <v>230343</v>
      </c>
    </row>
    <row r="18" spans="1:16">
      <c r="B18" t="s">
        <v>100</v>
      </c>
      <c r="D18" s="50">
        <v>-12112408</v>
      </c>
      <c r="E18" s="50">
        <v>-1842619</v>
      </c>
      <c r="F18" s="50">
        <v>-4416151</v>
      </c>
      <c r="G18" s="50">
        <v>5108117</v>
      </c>
      <c r="H18" s="50">
        <v>5506971</v>
      </c>
      <c r="I18" s="50">
        <v>6019940</v>
      </c>
      <c r="J18" s="50">
        <v>19264215</v>
      </c>
      <c r="K18" s="50">
        <v>-5195728</v>
      </c>
      <c r="L18" s="50">
        <v>-16717293</v>
      </c>
      <c r="M18" s="50">
        <v>5029228</v>
      </c>
      <c r="N18" s="50">
        <v>7159702</v>
      </c>
      <c r="O18" s="50">
        <v>-7595920</v>
      </c>
      <c r="P18" s="50">
        <f t="shared" si="2"/>
        <v>208054</v>
      </c>
    </row>
    <row r="19" spans="1:16">
      <c r="B19" t="s">
        <v>101</v>
      </c>
      <c r="D19" s="50">
        <v>2241859</v>
      </c>
      <c r="E19" s="50">
        <v>-8070452</v>
      </c>
      <c r="F19" s="50">
        <v>8650454</v>
      </c>
      <c r="G19" s="50">
        <v>-3806069</v>
      </c>
      <c r="H19" s="50">
        <v>364651</v>
      </c>
      <c r="I19" s="50">
        <v>-3831904</v>
      </c>
      <c r="J19" s="50">
        <v>7018703</v>
      </c>
      <c r="K19" s="50">
        <v>3501763</v>
      </c>
      <c r="L19" s="50">
        <v>-4414487</v>
      </c>
      <c r="M19" s="50">
        <v>1351394</v>
      </c>
      <c r="N19" s="50">
        <v>-1068952</v>
      </c>
      <c r="O19" s="50">
        <v>1470945</v>
      </c>
      <c r="P19" s="50">
        <f t="shared" si="2"/>
        <v>3407905</v>
      </c>
    </row>
    <row r="20" spans="1:16">
      <c r="B20" t="s">
        <v>102</v>
      </c>
      <c r="D20" s="50">
        <v>-43021</v>
      </c>
      <c r="E20" s="50">
        <v>-25142</v>
      </c>
      <c r="F20" s="50">
        <v>-357896</v>
      </c>
      <c r="G20" s="50">
        <v>812155</v>
      </c>
      <c r="H20" s="50">
        <v>2291358</v>
      </c>
      <c r="I20" s="50">
        <v>4650004</v>
      </c>
      <c r="J20" s="50">
        <v>4465624</v>
      </c>
      <c r="K20" s="50">
        <v>-265677</v>
      </c>
      <c r="L20" s="50">
        <v>-3821209</v>
      </c>
      <c r="M20" s="50">
        <v>-4323417</v>
      </c>
      <c r="N20" s="50">
        <v>-2327262</v>
      </c>
      <c r="O20" s="50">
        <v>-954777</v>
      </c>
      <c r="P20" s="50">
        <f t="shared" si="2"/>
        <v>100740</v>
      </c>
    </row>
    <row r="21" spans="1:16">
      <c r="B21" t="s">
        <v>103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f t="shared" si="2"/>
        <v>0</v>
      </c>
    </row>
    <row r="22" spans="1:16">
      <c r="A22" t="s">
        <v>106</v>
      </c>
      <c r="D22" s="51">
        <f>SUM(D16:D21)</f>
        <v>-21846148</v>
      </c>
      <c r="E22" s="51">
        <f t="shared" ref="E22:P22" si="3">SUM(E16:E21)</f>
        <v>-24723816</v>
      </c>
      <c r="F22" s="51">
        <f t="shared" si="3"/>
        <v>-14021780</v>
      </c>
      <c r="G22" s="51">
        <f t="shared" si="3"/>
        <v>-13265830</v>
      </c>
      <c r="H22" s="51">
        <f t="shared" si="3"/>
        <v>172264</v>
      </c>
      <c r="I22" s="51">
        <f t="shared" si="3"/>
        <v>540468</v>
      </c>
      <c r="J22" s="51">
        <f t="shared" si="3"/>
        <v>71878550</v>
      </c>
      <c r="K22" s="51">
        <f t="shared" si="3"/>
        <v>5849907</v>
      </c>
      <c r="L22" s="51">
        <f t="shared" si="3"/>
        <v>-67589700</v>
      </c>
      <c r="M22" s="51">
        <f t="shared" si="3"/>
        <v>9525000</v>
      </c>
      <c r="N22" s="51">
        <f t="shared" si="3"/>
        <v>38733693</v>
      </c>
      <c r="O22" s="51">
        <f t="shared" si="3"/>
        <v>15368391</v>
      </c>
      <c r="P22" s="51">
        <f t="shared" si="3"/>
        <v>620999</v>
      </c>
    </row>
    <row r="24" spans="1:16">
      <c r="A24" t="s">
        <v>107</v>
      </c>
    </row>
    <row r="25" spans="1:16">
      <c r="B25" t="s">
        <v>99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>
        <v>0</v>
      </c>
    </row>
    <row r="26" spans="1:16">
      <c r="B26" t="s">
        <v>100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0</v>
      </c>
    </row>
    <row r="27" spans="1:16">
      <c r="A27" t="s">
        <v>107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</row>
    <row r="28" spans="1:16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>
      <c r="A29" t="s">
        <v>108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>
      <c r="B30" t="s">
        <v>101</v>
      </c>
      <c r="D30" s="50">
        <v>884548</v>
      </c>
      <c r="E30" s="50">
        <v>-94896</v>
      </c>
      <c r="F30" s="50">
        <v>-126211</v>
      </c>
      <c r="G30" s="50">
        <v>143117</v>
      </c>
      <c r="H30" s="50">
        <v>8682</v>
      </c>
      <c r="I30" s="50">
        <v>30762</v>
      </c>
      <c r="J30" s="50">
        <v>-67299</v>
      </c>
      <c r="K30" s="50">
        <v>-71480</v>
      </c>
      <c r="L30" s="50">
        <v>27399</v>
      </c>
      <c r="M30" s="50">
        <v>-49742</v>
      </c>
      <c r="N30" s="50">
        <v>-182874</v>
      </c>
      <c r="O30" s="50">
        <v>-580269</v>
      </c>
      <c r="P30" s="50">
        <f>SUM(D30:O30)</f>
        <v>-78263</v>
      </c>
    </row>
    <row r="32" spans="1:16">
      <c r="A32" t="s">
        <v>109</v>
      </c>
    </row>
    <row r="33" spans="1:16">
      <c r="B33" t="s">
        <v>98</v>
      </c>
      <c r="D33" s="50">
        <v>3418458</v>
      </c>
      <c r="E33" s="50">
        <v>-19673731</v>
      </c>
      <c r="F33" s="50">
        <v>122066</v>
      </c>
      <c r="G33" s="50">
        <v>625889</v>
      </c>
      <c r="H33" s="50">
        <v>8320450</v>
      </c>
      <c r="I33" s="50">
        <v>10531416</v>
      </c>
      <c r="J33" s="50">
        <v>-35298252</v>
      </c>
      <c r="K33" s="50">
        <v>-16715738</v>
      </c>
      <c r="L33" s="50">
        <v>-1630970</v>
      </c>
      <c r="M33" s="50">
        <v>-4013526</v>
      </c>
      <c r="N33" s="50">
        <v>-983199</v>
      </c>
      <c r="O33" s="50">
        <v>-6591971</v>
      </c>
      <c r="P33" s="50">
        <f>SUM(D33:O33)</f>
        <v>-61889108</v>
      </c>
    </row>
    <row r="34" spans="1:16">
      <c r="B34" t="s">
        <v>99</v>
      </c>
      <c r="D34" s="50">
        <v>296016</v>
      </c>
      <c r="E34" s="50">
        <v>-1701682</v>
      </c>
      <c r="F34" s="50">
        <v>10735</v>
      </c>
      <c r="G34" s="50">
        <v>28318</v>
      </c>
      <c r="H34" s="50">
        <v>785394</v>
      </c>
      <c r="I34" s="50">
        <v>1336350</v>
      </c>
      <c r="J34" s="50">
        <v>-5560783</v>
      </c>
      <c r="K34" s="50">
        <v>-2629971</v>
      </c>
      <c r="L34" s="50">
        <v>-255968</v>
      </c>
      <c r="M34" s="50">
        <v>-166876</v>
      </c>
      <c r="N34" s="50">
        <v>-51342</v>
      </c>
      <c r="O34" s="50">
        <v>-569558</v>
      </c>
      <c r="P34" s="50">
        <f t="shared" ref="P34:P38" si="4">SUM(D34:O34)</f>
        <v>-8479367</v>
      </c>
    </row>
    <row r="35" spans="1:16">
      <c r="B35" t="s">
        <v>100</v>
      </c>
      <c r="D35" s="50">
        <v>152288</v>
      </c>
      <c r="E35" s="50">
        <v>-875266</v>
      </c>
      <c r="F35" s="50">
        <v>5418</v>
      </c>
      <c r="G35" s="50">
        <v>3281</v>
      </c>
      <c r="H35" s="50">
        <v>907824</v>
      </c>
      <c r="I35" s="50">
        <v>1564232</v>
      </c>
      <c r="J35" s="50">
        <v>-7384749</v>
      </c>
      <c r="K35" s="50">
        <v>-3492514</v>
      </c>
      <c r="L35" s="50">
        <v>-340803</v>
      </c>
      <c r="M35" s="50">
        <v>84965</v>
      </c>
      <c r="N35" s="50">
        <v>-5447</v>
      </c>
      <c r="O35" s="50">
        <v>-293965</v>
      </c>
      <c r="P35" s="50">
        <f t="shared" si="4"/>
        <v>-9674736</v>
      </c>
    </row>
    <row r="36" spans="1:16">
      <c r="B36" t="s">
        <v>101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f t="shared" si="4"/>
        <v>0</v>
      </c>
    </row>
    <row r="37" spans="1:16">
      <c r="B37" t="s">
        <v>102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f t="shared" si="4"/>
        <v>0</v>
      </c>
    </row>
    <row r="38" spans="1:16">
      <c r="B38" t="s">
        <v>103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f t="shared" si="4"/>
        <v>0</v>
      </c>
    </row>
    <row r="39" spans="1:16">
      <c r="A39" t="s">
        <v>110</v>
      </c>
      <c r="D39" s="51">
        <f>SUM(D33:D38)</f>
        <v>3866762</v>
      </c>
      <c r="E39" s="51">
        <f t="shared" ref="E39:P39" si="5">SUM(E33:E38)</f>
        <v>-22250679</v>
      </c>
      <c r="F39" s="51">
        <f t="shared" si="5"/>
        <v>138219</v>
      </c>
      <c r="G39" s="51">
        <f t="shared" si="5"/>
        <v>657488</v>
      </c>
      <c r="H39" s="51">
        <f t="shared" si="5"/>
        <v>10013668</v>
      </c>
      <c r="I39" s="51">
        <f t="shared" si="5"/>
        <v>13431998</v>
      </c>
      <c r="J39" s="51">
        <f t="shared" si="5"/>
        <v>-48243784</v>
      </c>
      <c r="K39" s="51">
        <f t="shared" si="5"/>
        <v>-22838223</v>
      </c>
      <c r="L39" s="51">
        <f t="shared" si="5"/>
        <v>-2227741</v>
      </c>
      <c r="M39" s="51">
        <f t="shared" si="5"/>
        <v>-4095437</v>
      </c>
      <c r="N39" s="51">
        <f t="shared" si="5"/>
        <v>-1039988</v>
      </c>
      <c r="O39" s="51">
        <f t="shared" si="5"/>
        <v>-7455494</v>
      </c>
      <c r="P39" s="51">
        <f t="shared" si="5"/>
        <v>-80043211</v>
      </c>
    </row>
    <row r="41" spans="1:16">
      <c r="A41" t="s">
        <v>111</v>
      </c>
    </row>
    <row r="42" spans="1:16">
      <c r="B42" t="s">
        <v>98</v>
      </c>
      <c r="D42" s="50">
        <f t="shared" ref="D42:O42" si="6">D7+D16+D33</f>
        <v>284675925</v>
      </c>
      <c r="E42" s="50">
        <f t="shared" si="6"/>
        <v>232597855</v>
      </c>
      <c r="F42" s="50">
        <f t="shared" si="6"/>
        <v>228752581</v>
      </c>
      <c r="G42" s="50">
        <f t="shared" si="6"/>
        <v>172322869</v>
      </c>
      <c r="H42" s="50">
        <f t="shared" si="6"/>
        <v>166632549</v>
      </c>
      <c r="I42" s="50">
        <f t="shared" si="6"/>
        <v>148170954</v>
      </c>
      <c r="J42" s="50">
        <f t="shared" si="6"/>
        <v>153360033</v>
      </c>
      <c r="K42" s="50">
        <f t="shared" si="6"/>
        <v>181322317</v>
      </c>
      <c r="L42" s="50">
        <f t="shared" si="6"/>
        <v>146560541</v>
      </c>
      <c r="M42" s="50">
        <f t="shared" si="6"/>
        <v>174054557</v>
      </c>
      <c r="N42" s="50">
        <f t="shared" si="6"/>
        <v>212665464</v>
      </c>
      <c r="O42" s="50">
        <f t="shared" si="6"/>
        <v>277362386</v>
      </c>
      <c r="P42" s="50">
        <f t="shared" ref="P42:P47" si="7">SUM(D42:O42)</f>
        <v>2378478031</v>
      </c>
    </row>
    <row r="43" spans="1:16">
      <c r="B43" t="s">
        <v>99</v>
      </c>
      <c r="D43" s="50">
        <f>D8+D17+D34+D25</f>
        <v>56889966</v>
      </c>
      <c r="E43" s="50">
        <f t="shared" ref="E43:O44" si="8">E8+E17+E34+E25</f>
        <v>53952359</v>
      </c>
      <c r="F43" s="50">
        <f t="shared" si="8"/>
        <v>50696303</v>
      </c>
      <c r="G43" s="50">
        <f t="shared" si="8"/>
        <v>45184052</v>
      </c>
      <c r="H43" s="50">
        <f t="shared" si="8"/>
        <v>45464737</v>
      </c>
      <c r="I43" s="50">
        <f t="shared" si="8"/>
        <v>41880423</v>
      </c>
      <c r="J43" s="50">
        <f t="shared" si="8"/>
        <v>47192335</v>
      </c>
      <c r="K43" s="50">
        <f t="shared" si="8"/>
        <v>47520498</v>
      </c>
      <c r="L43" s="50">
        <f t="shared" si="8"/>
        <v>45071050</v>
      </c>
      <c r="M43" s="50">
        <f t="shared" si="8"/>
        <v>49775788</v>
      </c>
      <c r="N43" s="50">
        <f t="shared" si="8"/>
        <v>48225285</v>
      </c>
      <c r="O43" s="50">
        <f t="shared" si="8"/>
        <v>56548440</v>
      </c>
      <c r="P43" s="50">
        <f t="shared" si="7"/>
        <v>588401236</v>
      </c>
    </row>
    <row r="44" spans="1:16">
      <c r="B44" t="s">
        <v>100</v>
      </c>
      <c r="D44" s="50">
        <f>D9+D18+D35+D26</f>
        <v>113027390</v>
      </c>
      <c r="E44" s="50">
        <f t="shared" si="8"/>
        <v>118881308</v>
      </c>
      <c r="F44" s="50">
        <f t="shared" si="8"/>
        <v>111932195</v>
      </c>
      <c r="G44" s="50">
        <f t="shared" si="8"/>
        <v>113904571</v>
      </c>
      <c r="H44" s="50">
        <f t="shared" si="8"/>
        <v>119594187</v>
      </c>
      <c r="I44" s="50">
        <f t="shared" si="8"/>
        <v>119904804</v>
      </c>
      <c r="J44" s="50">
        <f t="shared" si="8"/>
        <v>126965563</v>
      </c>
      <c r="K44" s="50">
        <f t="shared" si="8"/>
        <v>116529246</v>
      </c>
      <c r="L44" s="50">
        <f t="shared" si="8"/>
        <v>115471122</v>
      </c>
      <c r="M44" s="50">
        <f t="shared" si="8"/>
        <v>127216291</v>
      </c>
      <c r="N44" s="50">
        <f t="shared" si="8"/>
        <v>117670908</v>
      </c>
      <c r="O44" s="50">
        <f t="shared" si="8"/>
        <v>118130686</v>
      </c>
      <c r="P44" s="50">
        <f t="shared" si="7"/>
        <v>1419228271</v>
      </c>
    </row>
    <row r="45" spans="1:16">
      <c r="B45" t="s">
        <v>101</v>
      </c>
      <c r="D45" s="50">
        <f>D10+D19+D30+D36</f>
        <v>94615705</v>
      </c>
      <c r="E45" s="50">
        <f t="shared" ref="E45:O45" si="9">E10+E19+E30+E36</f>
        <v>86450358</v>
      </c>
      <c r="F45" s="50">
        <f t="shared" si="9"/>
        <v>94974601</v>
      </c>
      <c r="G45" s="50">
        <f t="shared" si="9"/>
        <v>91311649</v>
      </c>
      <c r="H45" s="50">
        <f t="shared" si="9"/>
        <v>91684982</v>
      </c>
      <c r="I45" s="50">
        <f t="shared" si="9"/>
        <v>87883840</v>
      </c>
      <c r="J45" s="50">
        <f t="shared" si="9"/>
        <v>94835244</v>
      </c>
      <c r="K45" s="50">
        <f t="shared" si="9"/>
        <v>98265527</v>
      </c>
      <c r="L45" s="50">
        <f t="shared" si="9"/>
        <v>93878439</v>
      </c>
      <c r="M45" s="50">
        <f t="shared" si="9"/>
        <v>91841691</v>
      </c>
      <c r="N45" s="50">
        <f t="shared" si="9"/>
        <v>88140801</v>
      </c>
      <c r="O45" s="50">
        <f t="shared" si="9"/>
        <v>91489299</v>
      </c>
      <c r="P45" s="50">
        <f t="shared" si="7"/>
        <v>1105372136</v>
      </c>
    </row>
    <row r="46" spans="1:16">
      <c r="B46" t="s">
        <v>102</v>
      </c>
      <c r="D46" s="50">
        <f t="shared" ref="D46:O47" si="10">D11+D20+D37</f>
        <v>4629627</v>
      </c>
      <c r="E46" s="50">
        <f t="shared" si="10"/>
        <v>4667187</v>
      </c>
      <c r="F46" s="50">
        <f t="shared" si="10"/>
        <v>3660531</v>
      </c>
      <c r="G46" s="50">
        <f t="shared" si="10"/>
        <v>6328832</v>
      </c>
      <c r="H46" s="50">
        <f t="shared" si="10"/>
        <v>13049965</v>
      </c>
      <c r="I46" s="50">
        <f t="shared" si="10"/>
        <v>23717970</v>
      </c>
      <c r="J46" s="50">
        <f t="shared" si="10"/>
        <v>26579183</v>
      </c>
      <c r="K46" s="50">
        <f t="shared" si="10"/>
        <v>23538268</v>
      </c>
      <c r="L46" s="50">
        <f t="shared" si="10"/>
        <v>18878725</v>
      </c>
      <c r="M46" s="50">
        <f t="shared" si="10"/>
        <v>6211172</v>
      </c>
      <c r="N46" s="50">
        <f t="shared" si="10"/>
        <v>2634426</v>
      </c>
      <c r="O46" s="50">
        <f t="shared" si="10"/>
        <v>3331158</v>
      </c>
      <c r="P46" s="50">
        <f t="shared" si="7"/>
        <v>137227044</v>
      </c>
    </row>
    <row r="47" spans="1:16">
      <c r="B47" t="s">
        <v>103</v>
      </c>
      <c r="D47" s="50">
        <f t="shared" si="10"/>
        <v>2098291</v>
      </c>
      <c r="E47" s="50">
        <f t="shared" si="10"/>
        <v>2097748</v>
      </c>
      <c r="F47" s="50">
        <f t="shared" si="10"/>
        <v>2097084</v>
      </c>
      <c r="G47" s="50">
        <f t="shared" si="10"/>
        <v>2092917</v>
      </c>
      <c r="H47" s="50">
        <f t="shared" si="10"/>
        <v>2080667</v>
      </c>
      <c r="I47" s="50">
        <f t="shared" si="10"/>
        <v>2071670</v>
      </c>
      <c r="J47" s="50">
        <f t="shared" si="10"/>
        <v>2091912</v>
      </c>
      <c r="K47" s="50">
        <f t="shared" si="10"/>
        <v>2091315</v>
      </c>
      <c r="L47" s="50">
        <f t="shared" si="10"/>
        <v>2086444</v>
      </c>
      <c r="M47" s="50">
        <f t="shared" si="10"/>
        <v>2114106</v>
      </c>
      <c r="N47" s="50">
        <f t="shared" si="10"/>
        <v>2103410</v>
      </c>
      <c r="O47" s="50">
        <f t="shared" si="10"/>
        <v>2102201</v>
      </c>
      <c r="P47" s="50">
        <f t="shared" si="7"/>
        <v>25127765</v>
      </c>
    </row>
    <row r="48" spans="1:16">
      <c r="A48" t="s">
        <v>112</v>
      </c>
      <c r="D48" s="51">
        <f>SUM(D42:D47)</f>
        <v>555936904</v>
      </c>
      <c r="E48" s="51">
        <f t="shared" ref="E48:P48" si="11">SUM(E42:E47)</f>
        <v>498646815</v>
      </c>
      <c r="F48" s="51">
        <f t="shared" si="11"/>
        <v>492113295</v>
      </c>
      <c r="G48" s="51">
        <f t="shared" si="11"/>
        <v>431144890</v>
      </c>
      <c r="H48" s="51">
        <f t="shared" si="11"/>
        <v>438507087</v>
      </c>
      <c r="I48" s="51">
        <f t="shared" si="11"/>
        <v>423629661</v>
      </c>
      <c r="J48" s="51">
        <f t="shared" si="11"/>
        <v>451024270</v>
      </c>
      <c r="K48" s="51">
        <f t="shared" si="11"/>
        <v>469267171</v>
      </c>
      <c r="L48" s="51">
        <f t="shared" si="11"/>
        <v>421946321</v>
      </c>
      <c r="M48" s="51">
        <f t="shared" si="11"/>
        <v>451213605</v>
      </c>
      <c r="N48" s="51">
        <f t="shared" si="11"/>
        <v>471440294</v>
      </c>
      <c r="O48" s="51">
        <f t="shared" si="11"/>
        <v>548964170</v>
      </c>
      <c r="P48" s="51">
        <f t="shared" si="11"/>
        <v>5653834483</v>
      </c>
    </row>
    <row r="50" spans="2:16">
      <c r="B50" t="s">
        <v>113</v>
      </c>
      <c r="D50" s="50">
        <f>D42</f>
        <v>284675925</v>
      </c>
      <c r="E50" s="50">
        <f t="shared" ref="E50:O50" si="12">E42</f>
        <v>232597855</v>
      </c>
      <c r="F50" s="50">
        <f t="shared" si="12"/>
        <v>228752581</v>
      </c>
      <c r="G50" s="50">
        <f t="shared" si="12"/>
        <v>172322869</v>
      </c>
      <c r="H50" s="50">
        <f t="shared" si="12"/>
        <v>166632549</v>
      </c>
      <c r="I50" s="50">
        <f t="shared" si="12"/>
        <v>148170954</v>
      </c>
      <c r="J50" s="50">
        <f t="shared" si="12"/>
        <v>153360033</v>
      </c>
      <c r="K50" s="50">
        <f t="shared" si="12"/>
        <v>181322317</v>
      </c>
      <c r="L50" s="50">
        <f t="shared" si="12"/>
        <v>146560541</v>
      </c>
      <c r="M50" s="50">
        <f t="shared" si="12"/>
        <v>174054557</v>
      </c>
      <c r="N50" s="50">
        <f t="shared" si="12"/>
        <v>212665464</v>
      </c>
      <c r="O50" s="50">
        <f t="shared" si="12"/>
        <v>277362386</v>
      </c>
      <c r="P50" s="50">
        <f t="shared" ref="P50:P51" si="13">SUM(D50:O50)</f>
        <v>2378478031</v>
      </c>
    </row>
    <row r="51" spans="2:16">
      <c r="B51" t="s">
        <v>114</v>
      </c>
      <c r="D51" s="50">
        <v>204564</v>
      </c>
      <c r="E51" s="50">
        <v>205005</v>
      </c>
      <c r="F51" s="50">
        <v>205512</v>
      </c>
      <c r="G51" s="50">
        <v>205536</v>
      </c>
      <c r="H51" s="50">
        <v>205720</v>
      </c>
      <c r="I51" s="50">
        <v>205499</v>
      </c>
      <c r="J51" s="50">
        <v>205076</v>
      </c>
      <c r="K51" s="50">
        <v>205201</v>
      </c>
      <c r="L51" s="50">
        <v>204431</v>
      </c>
      <c r="M51" s="50">
        <v>204966</v>
      </c>
      <c r="N51" s="50">
        <v>204911</v>
      </c>
      <c r="O51" s="50">
        <v>205646</v>
      </c>
      <c r="P51" s="50">
        <f t="shared" si="13"/>
        <v>2462067</v>
      </c>
    </row>
    <row r="52" spans="2:16">
      <c r="B52" t="s">
        <v>115</v>
      </c>
      <c r="D52" s="56">
        <f>D50/D51</f>
        <v>1391.6227928667802</v>
      </c>
      <c r="E52" s="56">
        <f t="shared" ref="E52:P52" si="14">E50/E51</f>
        <v>1134.5960098534183</v>
      </c>
      <c r="F52" s="56">
        <f t="shared" si="14"/>
        <v>1113.0862480049827</v>
      </c>
      <c r="G52" s="56">
        <f t="shared" si="14"/>
        <v>838.40723279620113</v>
      </c>
      <c r="H52" s="56">
        <f t="shared" si="14"/>
        <v>809.99683550456928</v>
      </c>
      <c r="I52" s="56">
        <f t="shared" si="14"/>
        <v>721.03004880802337</v>
      </c>
      <c r="J52" s="56">
        <f t="shared" si="14"/>
        <v>747.82048118746218</v>
      </c>
      <c r="K52" s="56">
        <f t="shared" si="14"/>
        <v>883.63271621483329</v>
      </c>
      <c r="L52" s="56">
        <f t="shared" si="14"/>
        <v>716.91935665334518</v>
      </c>
      <c r="M52" s="56">
        <f t="shared" si="14"/>
        <v>849.18746035927904</v>
      </c>
      <c r="N52" s="56">
        <f t="shared" si="14"/>
        <v>1037.8430830946118</v>
      </c>
      <c r="O52" s="56">
        <f t="shared" si="14"/>
        <v>1348.7370821703316</v>
      </c>
      <c r="P52" s="56">
        <f t="shared" si="14"/>
        <v>966.04927120179912</v>
      </c>
    </row>
    <row r="53" spans="2:16">
      <c r="B53" t="s">
        <v>116</v>
      </c>
      <c r="D53" s="50">
        <f>D43+D44+D46</f>
        <v>174546983</v>
      </c>
      <c r="E53" s="50">
        <f t="shared" ref="E53:O53" si="15">E43+E44+E46</f>
        <v>177500854</v>
      </c>
      <c r="F53" s="50">
        <f t="shared" si="15"/>
        <v>166289029</v>
      </c>
      <c r="G53" s="50">
        <f t="shared" si="15"/>
        <v>165417455</v>
      </c>
      <c r="H53" s="50">
        <f t="shared" si="15"/>
        <v>178108889</v>
      </c>
      <c r="I53" s="50">
        <f t="shared" si="15"/>
        <v>185503197</v>
      </c>
      <c r="J53" s="50">
        <f t="shared" si="15"/>
        <v>200737081</v>
      </c>
      <c r="K53" s="50">
        <f t="shared" si="15"/>
        <v>187588012</v>
      </c>
      <c r="L53" s="50">
        <f t="shared" si="15"/>
        <v>179420897</v>
      </c>
      <c r="M53" s="50">
        <f t="shared" si="15"/>
        <v>183203251</v>
      </c>
      <c r="N53" s="50">
        <f t="shared" si="15"/>
        <v>168530619</v>
      </c>
      <c r="O53" s="50">
        <f t="shared" si="15"/>
        <v>178010284</v>
      </c>
      <c r="P53" s="50">
        <f t="shared" ref="P53:P54" si="16">SUM(D53:O53)</f>
        <v>2144856551</v>
      </c>
    </row>
    <row r="54" spans="2:16">
      <c r="B54" t="s">
        <v>117</v>
      </c>
      <c r="D54" s="50">
        <v>34308</v>
      </c>
      <c r="E54" s="50">
        <v>34460</v>
      </c>
      <c r="F54" s="50">
        <v>34515</v>
      </c>
      <c r="G54" s="50">
        <v>34554</v>
      </c>
      <c r="H54" s="50">
        <v>34555</v>
      </c>
      <c r="I54" s="50">
        <v>35013</v>
      </c>
      <c r="J54" s="50">
        <v>34957</v>
      </c>
      <c r="K54" s="50">
        <v>35067</v>
      </c>
      <c r="L54" s="50">
        <v>35085</v>
      </c>
      <c r="M54" s="50">
        <v>35115</v>
      </c>
      <c r="N54" s="50">
        <v>35091</v>
      </c>
      <c r="O54" s="50">
        <v>35158</v>
      </c>
      <c r="P54" s="50">
        <f t="shared" si="16"/>
        <v>417878</v>
      </c>
    </row>
    <row r="55" spans="2:16">
      <c r="B55" t="s">
        <v>118</v>
      </c>
      <c r="D55" s="50">
        <f>D53/D54</f>
        <v>5087.6467004780225</v>
      </c>
      <c r="E55" s="50">
        <f t="shared" ref="E55:P55" si="17">E53/E54</f>
        <v>5150.9243760882182</v>
      </c>
      <c r="F55" s="50">
        <f t="shared" si="17"/>
        <v>4817.8771258872957</v>
      </c>
      <c r="G55" s="50">
        <f t="shared" si="17"/>
        <v>4787.2158071424437</v>
      </c>
      <c r="H55" s="50">
        <f t="shared" si="17"/>
        <v>5154.3593980610622</v>
      </c>
      <c r="I55" s="50">
        <f t="shared" si="17"/>
        <v>5298.1234684260135</v>
      </c>
      <c r="J55" s="50">
        <f t="shared" si="17"/>
        <v>5742.4001201476103</v>
      </c>
      <c r="K55" s="50">
        <f t="shared" si="17"/>
        <v>5349.4171728405627</v>
      </c>
      <c r="L55" s="50">
        <f t="shared" si="17"/>
        <v>5113.8918911215624</v>
      </c>
      <c r="M55" s="50">
        <f t="shared" si="17"/>
        <v>5217.2362523138263</v>
      </c>
      <c r="N55" s="50">
        <f t="shared" si="17"/>
        <v>4802.673591519193</v>
      </c>
      <c r="O55" s="50">
        <f t="shared" si="17"/>
        <v>5063.1516013425107</v>
      </c>
      <c r="P55" s="50">
        <f t="shared" si="17"/>
        <v>5132.7338385844669</v>
      </c>
    </row>
    <row r="57" spans="2:16">
      <c r="B57" t="s">
        <v>119</v>
      </c>
      <c r="D57" s="57">
        <f>D48/$P48</f>
        <v>9.8329179191855728E-2</v>
      </c>
      <c r="E57" s="57">
        <f t="shared" ref="E57:O57" si="18">E48/$P48</f>
        <v>8.8196217363514212E-2</v>
      </c>
      <c r="F57" s="57">
        <f t="shared" si="18"/>
        <v>8.7040626406678631E-2</v>
      </c>
      <c r="G57" s="57">
        <f t="shared" si="18"/>
        <v>7.6257076731971962E-2</v>
      </c>
      <c r="H57" s="57">
        <f t="shared" si="18"/>
        <v>7.755923671244834E-2</v>
      </c>
      <c r="I57" s="57">
        <f t="shared" si="18"/>
        <v>7.4927849811269404E-2</v>
      </c>
      <c r="J57" s="57">
        <f t="shared" si="18"/>
        <v>7.977316480631752E-2</v>
      </c>
      <c r="K57" s="57">
        <f t="shared" si="18"/>
        <v>8.2999807017873753E-2</v>
      </c>
      <c r="L57" s="57">
        <f t="shared" si="18"/>
        <v>7.4630115591234933E-2</v>
      </c>
      <c r="M57" s="57">
        <f t="shared" si="18"/>
        <v>7.9806652698573524E-2</v>
      </c>
      <c r="N57" s="57">
        <f t="shared" si="18"/>
        <v>8.3384169702443695E-2</v>
      </c>
      <c r="O57" s="57">
        <f t="shared" si="18"/>
        <v>9.7095903965818312E-2</v>
      </c>
      <c r="P57" s="57">
        <f>SUM(D57:O57)</f>
        <v>1</v>
      </c>
    </row>
  </sheetData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M79"/>
  <sheetViews>
    <sheetView zoomScaleNormal="100" zoomScaleSheetLayoutView="90" workbookViewId="0">
      <selection activeCell="M25" sqref="M25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4.1093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213359</v>
      </c>
      <c r="D3" s="224"/>
      <c r="E3" s="197">
        <v>157738693</v>
      </c>
      <c r="F3" s="197">
        <v>-92455751</v>
      </c>
      <c r="G3" s="197">
        <v>98182541</v>
      </c>
      <c r="H3" s="218">
        <f>SUM(F3:G3)</f>
        <v>5726790</v>
      </c>
      <c r="I3" s="171">
        <f>E3+H3</f>
        <v>163465483</v>
      </c>
    </row>
    <row r="4" spans="1:9">
      <c r="A4" s="195" t="s">
        <v>203</v>
      </c>
      <c r="B4" s="164"/>
      <c r="C4" s="170">
        <v>439</v>
      </c>
      <c r="D4" s="224"/>
      <c r="E4" s="197">
        <v>344842</v>
      </c>
      <c r="F4" s="197">
        <v>-191760</v>
      </c>
      <c r="G4" s="197">
        <v>210951</v>
      </c>
      <c r="H4" s="218">
        <f t="shared" ref="H4:H16" si="0">SUM(F4:G4)</f>
        <v>19191</v>
      </c>
      <c r="I4" s="171">
        <f t="shared" ref="I4:I16" si="1">E4+H4</f>
        <v>364033</v>
      </c>
    </row>
    <row r="5" spans="1:9">
      <c r="A5" s="195" t="s">
        <v>149</v>
      </c>
      <c r="B5" s="164"/>
      <c r="C5" s="170">
        <v>22623</v>
      </c>
      <c r="D5" s="224"/>
      <c r="E5" s="197">
        <v>42229122</v>
      </c>
      <c r="F5" s="197">
        <v>-24189163</v>
      </c>
      <c r="G5" s="197">
        <v>26218176</v>
      </c>
      <c r="H5" s="218">
        <f t="shared" si="0"/>
        <v>2029013</v>
      </c>
      <c r="I5" s="171">
        <f t="shared" si="1"/>
        <v>44258135</v>
      </c>
    </row>
    <row r="6" spans="1:9">
      <c r="A6" s="195" t="s">
        <v>150</v>
      </c>
      <c r="B6" s="164"/>
      <c r="C6" s="170">
        <v>9267</v>
      </c>
      <c r="D6" s="224"/>
      <c r="E6" s="197">
        <v>4113683</v>
      </c>
      <c r="F6" s="197">
        <v>-2109361</v>
      </c>
      <c r="G6" s="197">
        <v>2561546</v>
      </c>
      <c r="H6" s="218">
        <f t="shared" si="0"/>
        <v>452185</v>
      </c>
      <c r="I6" s="171">
        <f t="shared" si="1"/>
        <v>4565868</v>
      </c>
    </row>
    <row r="7" spans="1:9">
      <c r="A7" s="195" t="s">
        <v>151</v>
      </c>
      <c r="B7" s="164"/>
      <c r="C7" s="170">
        <v>1845</v>
      </c>
      <c r="D7" s="224"/>
      <c r="E7" s="197">
        <v>106599206</v>
      </c>
      <c r="F7" s="197">
        <v>-55528239</v>
      </c>
      <c r="G7" s="197">
        <f>60904520+5092956</f>
        <v>65997476</v>
      </c>
      <c r="H7" s="218">
        <f t="shared" si="0"/>
        <v>10469237</v>
      </c>
      <c r="I7" s="171">
        <f t="shared" si="1"/>
        <v>117068443</v>
      </c>
    </row>
    <row r="8" spans="1:9">
      <c r="A8" s="195" t="s">
        <v>152</v>
      </c>
      <c r="B8" s="164"/>
      <c r="C8" s="170">
        <v>48</v>
      </c>
      <c r="D8" s="224"/>
      <c r="E8" s="197">
        <v>2348818</v>
      </c>
      <c r="F8" s="197">
        <v>-1287532</v>
      </c>
      <c r="G8" s="197">
        <v>1476656</v>
      </c>
      <c r="H8" s="218">
        <f t="shared" si="0"/>
        <v>189124</v>
      </c>
      <c r="I8" s="171">
        <f t="shared" si="1"/>
        <v>2537942</v>
      </c>
    </row>
    <row r="9" spans="1:9">
      <c r="A9" s="195" t="s">
        <v>153</v>
      </c>
      <c r="B9" s="164"/>
      <c r="C9" s="170">
        <v>19</v>
      </c>
      <c r="D9" s="224"/>
      <c r="E9" s="197">
        <f>45417192-E10</f>
        <v>45327977</v>
      </c>
      <c r="F9" s="197">
        <v>0</v>
      </c>
      <c r="G9" s="197">
        <f>48677097-G10</f>
        <v>18677097</v>
      </c>
      <c r="H9" s="218">
        <f t="shared" si="0"/>
        <v>18677097</v>
      </c>
      <c r="I9" s="171">
        <f t="shared" si="1"/>
        <v>64005074</v>
      </c>
    </row>
    <row r="10" spans="1:9">
      <c r="A10" s="195" t="s">
        <v>204</v>
      </c>
      <c r="B10" s="164"/>
      <c r="C10" s="170"/>
      <c r="D10" s="224"/>
      <c r="E10" s="197">
        <v>89215</v>
      </c>
      <c r="F10" s="197">
        <v>0</v>
      </c>
      <c r="G10" s="197">
        <v>30000000</v>
      </c>
      <c r="H10" s="218">
        <f t="shared" si="0"/>
        <v>30000000</v>
      </c>
      <c r="I10" s="171">
        <f t="shared" si="1"/>
        <v>30089215</v>
      </c>
    </row>
    <row r="11" spans="1:9">
      <c r="A11" s="195" t="s">
        <v>205</v>
      </c>
      <c r="B11" s="164"/>
      <c r="C11" s="170">
        <v>49</v>
      </c>
      <c r="D11" s="224"/>
      <c r="E11" s="197">
        <v>3146720</v>
      </c>
      <c r="F11" s="197">
        <v>0</v>
      </c>
      <c r="G11" s="197">
        <v>0</v>
      </c>
      <c r="H11" s="218">
        <f t="shared" si="0"/>
        <v>0</v>
      </c>
      <c r="I11" s="171">
        <f t="shared" si="1"/>
        <v>3146720</v>
      </c>
    </row>
    <row r="12" spans="1:9">
      <c r="A12" s="195" t="s">
        <v>154</v>
      </c>
      <c r="B12" s="164"/>
      <c r="C12" s="170">
        <v>1188</v>
      </c>
      <c r="D12" s="224"/>
      <c r="E12" s="197">
        <v>7961806</v>
      </c>
      <c r="F12" s="197">
        <v>-11039902</v>
      </c>
      <c r="G12" s="197">
        <v>4158745</v>
      </c>
      <c r="H12" s="218">
        <f t="shared" si="0"/>
        <v>-6881157</v>
      </c>
      <c r="I12" s="171">
        <f t="shared" si="1"/>
        <v>1080649</v>
      </c>
    </row>
    <row r="13" spans="1:9">
      <c r="A13" s="195" t="s">
        <v>155</v>
      </c>
      <c r="B13" s="164"/>
      <c r="C13" s="170">
        <v>1192</v>
      </c>
      <c r="D13" s="224"/>
      <c r="E13" s="197">
        <v>580472</v>
      </c>
      <c r="F13" s="197">
        <v>-493097</v>
      </c>
      <c r="G13" s="197">
        <v>241087</v>
      </c>
      <c r="H13" s="218">
        <f t="shared" si="0"/>
        <v>-252010</v>
      </c>
      <c r="I13" s="171">
        <f t="shared" si="1"/>
        <v>328462</v>
      </c>
    </row>
    <row r="14" spans="1:9">
      <c r="A14" s="195" t="s">
        <v>206</v>
      </c>
      <c r="B14" s="164"/>
      <c r="C14" s="170">
        <v>423</v>
      </c>
      <c r="D14" s="224"/>
      <c r="E14" s="197">
        <v>977334</v>
      </c>
      <c r="F14" s="197"/>
      <c r="G14" s="197"/>
      <c r="H14" s="218"/>
      <c r="I14" s="171">
        <f t="shared" si="1"/>
        <v>977334</v>
      </c>
    </row>
    <row r="15" spans="1:9">
      <c r="A15" s="195" t="s">
        <v>207</v>
      </c>
      <c r="B15" s="164"/>
      <c r="C15" s="170"/>
      <c r="D15" s="224"/>
      <c r="E15" s="197">
        <v>410091</v>
      </c>
      <c r="F15" s="197"/>
      <c r="G15" s="197"/>
      <c r="H15" s="218">
        <f t="shared" si="0"/>
        <v>0</v>
      </c>
      <c r="I15" s="171">
        <f t="shared" si="1"/>
        <v>410091</v>
      </c>
    </row>
    <row r="16" spans="1:9">
      <c r="A16" s="195" t="s">
        <v>208</v>
      </c>
      <c r="B16" s="164"/>
      <c r="C16" s="170"/>
      <c r="D16" s="225"/>
      <c r="E16" s="197">
        <v>222537</v>
      </c>
      <c r="F16" s="197"/>
      <c r="G16" s="197"/>
      <c r="H16" s="218">
        <f t="shared" si="0"/>
        <v>0</v>
      </c>
      <c r="I16" s="171">
        <f t="shared" si="1"/>
        <v>222537</v>
      </c>
    </row>
    <row r="17" spans="1:9">
      <c r="A17" s="164"/>
      <c r="B17" s="164"/>
      <c r="C17" s="172">
        <f>SUM(C3:C16)</f>
        <v>250452</v>
      </c>
      <c r="E17" s="172">
        <f t="shared" ref="E17:I17" si="2">SUM(E3:E16)</f>
        <v>372090516</v>
      </c>
      <c r="F17" s="172">
        <f t="shared" si="2"/>
        <v>-187294805</v>
      </c>
      <c r="G17" s="172">
        <f t="shared" si="2"/>
        <v>247724275</v>
      </c>
      <c r="H17" s="172">
        <f t="shared" si="2"/>
        <v>60429470</v>
      </c>
      <c r="I17" s="172">
        <f t="shared" si="2"/>
        <v>432519986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213798</v>
      </c>
      <c r="E19" s="174">
        <f>E3+E4</f>
        <v>158083535</v>
      </c>
      <c r="F19" s="174">
        <f t="shared" ref="F19:H19" si="3">F3+F4</f>
        <v>-92647511</v>
      </c>
      <c r="G19" s="174">
        <f t="shared" si="3"/>
        <v>98393492</v>
      </c>
      <c r="H19" s="174">
        <f t="shared" si="3"/>
        <v>5745981</v>
      </c>
      <c r="I19" s="173">
        <f>I3+I4</f>
        <v>163829516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36212</v>
      </c>
      <c r="E21" s="192">
        <f>SUM(E5:E8,E11:E13)</f>
        <v>166979827</v>
      </c>
      <c r="F21" s="192">
        <f t="shared" ref="F21:H21" si="4">SUM(F5:F8,F11:F13)</f>
        <v>-94647294</v>
      </c>
      <c r="G21" s="192">
        <f t="shared" si="4"/>
        <v>100653686</v>
      </c>
      <c r="H21" s="192">
        <f t="shared" si="4"/>
        <v>6006392</v>
      </c>
      <c r="I21" s="191">
        <f>SUM(I5:I8,I11:I13)</f>
        <v>172986219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1856689</v>
      </c>
      <c r="D24" s="196">
        <v>14028080.560000001</v>
      </c>
      <c r="E24" s="198">
        <v>-8775021</v>
      </c>
      <c r="F24" s="198">
        <v>9105299</v>
      </c>
      <c r="G24" s="188">
        <f>SUM(D24:F24)</f>
        <v>14358358.560000001</v>
      </c>
      <c r="H24" s="188">
        <f>-J62</f>
        <v>-41986.271679999983</v>
      </c>
      <c r="I24" s="188">
        <f>SUM(G24:H24)</f>
        <v>14316372.288320001</v>
      </c>
    </row>
    <row r="25" spans="1:9">
      <c r="A25" s="195" t="s">
        <v>203</v>
      </c>
      <c r="B25" s="164"/>
      <c r="C25" s="196">
        <v>3791</v>
      </c>
      <c r="D25" s="196">
        <v>30400.09</v>
      </c>
      <c r="E25" s="198">
        <v>-12185</v>
      </c>
      <c r="F25" s="198">
        <v>12822</v>
      </c>
      <c r="G25" s="188">
        <f t="shared" ref="G25:G33" si="5">SUM(D25:F25)</f>
        <v>31037.09</v>
      </c>
      <c r="H25" s="188">
        <f t="shared" ref="H25:H33" si="6">-J63</f>
        <v>473.8377900000001</v>
      </c>
      <c r="I25" s="188">
        <f t="shared" ref="I25:I34" si="7">SUM(G25:H25)</f>
        <v>31510.927790000002</v>
      </c>
    </row>
    <row r="26" spans="1:9">
      <c r="A26" s="195" t="s">
        <v>149</v>
      </c>
      <c r="B26" s="164"/>
      <c r="C26" s="196">
        <v>414725.39</v>
      </c>
      <c r="D26" s="196">
        <v>5013948.21</v>
      </c>
      <c r="E26" s="198">
        <v>-2798844</v>
      </c>
      <c r="F26" s="198">
        <v>3051722</v>
      </c>
      <c r="G26" s="188">
        <f t="shared" si="5"/>
        <v>5266826.21</v>
      </c>
      <c r="H26" s="188">
        <f t="shared" si="6"/>
        <v>-11081.211879999999</v>
      </c>
      <c r="I26" s="188">
        <f t="shared" si="7"/>
        <v>5255744.9981199997</v>
      </c>
    </row>
    <row r="27" spans="1:9">
      <c r="A27" s="195" t="s">
        <v>150</v>
      </c>
      <c r="B27" s="164"/>
      <c r="C27" s="196">
        <v>168613.19</v>
      </c>
      <c r="D27" s="196">
        <v>620157.91</v>
      </c>
      <c r="E27" s="198">
        <v>-326471</v>
      </c>
      <c r="F27" s="198">
        <v>377791</v>
      </c>
      <c r="G27" s="188">
        <f t="shared" si="5"/>
        <v>671477.91</v>
      </c>
      <c r="H27" s="188">
        <f t="shared" si="6"/>
        <v>-1877.9831100000006</v>
      </c>
      <c r="I27" s="188">
        <f t="shared" si="7"/>
        <v>669599.92689</v>
      </c>
    </row>
    <row r="28" spans="1:9">
      <c r="A28" s="195" t="s">
        <v>151</v>
      </c>
      <c r="B28" s="164"/>
      <c r="C28" s="196">
        <v>921735.97</v>
      </c>
      <c r="D28" s="196">
        <v>9749653.8399999999</v>
      </c>
      <c r="E28" s="198">
        <v>-4510756</v>
      </c>
      <c r="F28" s="198">
        <f>4909585+392842</f>
        <v>5302427</v>
      </c>
      <c r="G28" s="188">
        <f t="shared" si="5"/>
        <v>10541324.84</v>
      </c>
      <c r="H28" s="188">
        <f t="shared" si="6"/>
        <v>-33127.968499999995</v>
      </c>
      <c r="I28" s="188">
        <f t="shared" si="7"/>
        <v>10508196.8715</v>
      </c>
    </row>
    <row r="29" spans="1:9">
      <c r="A29" s="195" t="s">
        <v>152</v>
      </c>
      <c r="B29" s="164"/>
      <c r="C29" s="196">
        <v>24250</v>
      </c>
      <c r="D29" s="196">
        <v>211826.19</v>
      </c>
      <c r="E29" s="198">
        <v>-107449</v>
      </c>
      <c r="F29" s="198">
        <v>121009</v>
      </c>
      <c r="G29" s="188">
        <f t="shared" si="5"/>
        <v>225386.19</v>
      </c>
      <c r="H29" s="188">
        <f t="shared" si="6"/>
        <v>-524.74907999999994</v>
      </c>
      <c r="I29" s="188">
        <f t="shared" si="7"/>
        <v>224861.44091999999</v>
      </c>
    </row>
    <row r="30" spans="1:9">
      <c r="A30" s="195" t="s">
        <v>153</v>
      </c>
      <c r="B30" s="164"/>
      <c r="C30" s="196">
        <v>386400</v>
      </c>
      <c r="D30" s="196">
        <v>2895876.36</v>
      </c>
      <c r="E30" s="198">
        <v>0</v>
      </c>
      <c r="F30" s="198">
        <v>2635112</v>
      </c>
      <c r="G30" s="188">
        <f t="shared" si="5"/>
        <v>5530988.3599999994</v>
      </c>
      <c r="H30" s="188">
        <f t="shared" si="6"/>
        <v>-98072.116680000006</v>
      </c>
      <c r="I30" s="188">
        <f t="shared" si="7"/>
        <v>5432916.2433199994</v>
      </c>
    </row>
    <row r="31" spans="1:9">
      <c r="A31" s="195" t="s">
        <v>205</v>
      </c>
      <c r="B31" s="164"/>
      <c r="C31" s="196">
        <v>918</v>
      </c>
      <c r="D31" s="196">
        <v>215630.13</v>
      </c>
      <c r="E31" s="198">
        <v>0</v>
      </c>
      <c r="F31" s="198">
        <v>0</v>
      </c>
      <c r="G31" s="188">
        <f t="shared" si="5"/>
        <v>215630.13</v>
      </c>
      <c r="H31" s="188">
        <f t="shared" si="6"/>
        <v>0</v>
      </c>
      <c r="I31" s="188">
        <f t="shared" si="7"/>
        <v>215630.13</v>
      </c>
    </row>
    <row r="32" spans="1:9">
      <c r="A32" s="195" t="s">
        <v>154</v>
      </c>
      <c r="B32" s="164"/>
      <c r="C32" s="196">
        <v>21456</v>
      </c>
      <c r="D32" s="196">
        <v>665228.21</v>
      </c>
      <c r="E32" s="198">
        <v>-877170</v>
      </c>
      <c r="F32" s="198">
        <v>351675</v>
      </c>
      <c r="G32" s="188">
        <f t="shared" si="5"/>
        <v>139733.20999999996</v>
      </c>
      <c r="H32" s="188">
        <f t="shared" si="6"/>
        <v>15260.302670000001</v>
      </c>
      <c r="I32" s="188">
        <f t="shared" si="7"/>
        <v>154993.51266999997</v>
      </c>
    </row>
    <row r="33" spans="1:10">
      <c r="A33" s="195" t="s">
        <v>155</v>
      </c>
      <c r="B33" s="164"/>
      <c r="C33" s="196">
        <v>21690</v>
      </c>
      <c r="D33" s="196">
        <v>71357.8</v>
      </c>
      <c r="E33" s="198">
        <v>-49814</v>
      </c>
      <c r="F33" s="198">
        <v>30523</v>
      </c>
      <c r="G33" s="188">
        <f t="shared" si="5"/>
        <v>52066.8</v>
      </c>
      <c r="H33" s="188">
        <f t="shared" si="6"/>
        <v>424.14140999999984</v>
      </c>
      <c r="I33" s="188">
        <f t="shared" si="7"/>
        <v>52490.941409999999</v>
      </c>
    </row>
    <row r="34" spans="1:10">
      <c r="A34" s="195" t="s">
        <v>217</v>
      </c>
      <c r="B34" s="164"/>
      <c r="C34" s="188"/>
      <c r="D34" s="196">
        <v>549312.88</v>
      </c>
      <c r="E34" s="196"/>
      <c r="F34" s="196"/>
      <c r="G34" s="188">
        <f>SUM(D34:F34)</f>
        <v>549312.88</v>
      </c>
      <c r="H34" s="188"/>
      <c r="I34" s="188">
        <f t="shared" si="7"/>
        <v>549312.88</v>
      </c>
    </row>
    <row r="35" spans="1:10">
      <c r="A35" s="195" t="s">
        <v>218</v>
      </c>
      <c r="B35" s="164"/>
      <c r="C35" s="224"/>
      <c r="D35" s="196">
        <v>1578155.35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1395147.3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3820268.55</v>
      </c>
      <c r="D37" s="178">
        <f t="shared" ref="D37:I37" si="8">SUM(D24:D36)</f>
        <v>37024774.829999998</v>
      </c>
      <c r="E37" s="178">
        <f t="shared" si="8"/>
        <v>-17457710</v>
      </c>
      <c r="F37" s="178">
        <f t="shared" si="8"/>
        <v>20988380</v>
      </c>
      <c r="G37" s="178">
        <f t="shared" si="8"/>
        <v>37582142.18</v>
      </c>
      <c r="H37" s="178">
        <f t="shared" si="8"/>
        <v>-170512.01905999999</v>
      </c>
      <c r="I37" s="178">
        <f t="shared" si="8"/>
        <v>37411630.160940006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1860480</v>
      </c>
      <c r="D39" s="180">
        <f t="shared" ref="D39:I39" si="9">D24+D25</f>
        <v>14058480.65</v>
      </c>
      <c r="E39" s="180">
        <f t="shared" si="9"/>
        <v>-8787206</v>
      </c>
      <c r="F39" s="180">
        <f t="shared" si="9"/>
        <v>9118121</v>
      </c>
      <c r="G39" s="180">
        <f t="shared" si="9"/>
        <v>14389395.65</v>
      </c>
      <c r="H39" s="180">
        <f t="shared" si="9"/>
        <v>-41512.433889999986</v>
      </c>
      <c r="I39" s="181">
        <f t="shared" si="9"/>
        <v>14347883.21611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1573388.55</v>
      </c>
      <c r="D41" s="190">
        <f t="shared" ref="D41:I41" si="10">SUM(D26:D29,D31:D33)</f>
        <v>16547802.290000003</v>
      </c>
      <c r="E41" s="190">
        <f t="shared" si="10"/>
        <v>-8670504</v>
      </c>
      <c r="F41" s="190">
        <f t="shared" si="10"/>
        <v>9235147</v>
      </c>
      <c r="G41" s="190">
        <f t="shared" si="10"/>
        <v>17112445.290000003</v>
      </c>
      <c r="H41" s="190">
        <f t="shared" si="10"/>
        <v>-30927.468489999992</v>
      </c>
      <c r="I41" s="189">
        <f t="shared" si="10"/>
        <v>17081517.821510002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42917</v>
      </c>
      <c r="J45" s="220">
        <v>43009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224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3.4399999999999999E-3</v>
      </c>
      <c r="G47" s="184">
        <v>9.7000000000000005E-4</v>
      </c>
      <c r="H47" s="184">
        <v>0</v>
      </c>
      <c r="I47" s="184">
        <v>-5.6999999999999998E-4</v>
      </c>
      <c r="J47" s="184">
        <v>1.0499999999999999E-3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3.4399999999999999E-3</v>
      </c>
      <c r="G48" s="184">
        <v>9.7000000000000005E-4</v>
      </c>
      <c r="H48" s="184">
        <v>0</v>
      </c>
      <c r="I48" s="184">
        <v>-5.6999999999999998E-4</v>
      </c>
      <c r="J48" s="184">
        <v>1.0499999999999999E-3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4.6299999999999996E-3</v>
      </c>
      <c r="G49" s="184">
        <v>1.41E-3</v>
      </c>
      <c r="H49" s="184">
        <v>0</v>
      </c>
      <c r="I49" s="184">
        <v>-5.6999999999999998E-4</v>
      </c>
      <c r="J49" s="184">
        <v>1.5200000000000001E-3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4.6299999999999996E-3</v>
      </c>
      <c r="G50" s="184">
        <v>1.41E-3</v>
      </c>
      <c r="H50" s="184">
        <v>0</v>
      </c>
      <c r="I50" s="184">
        <v>-5.6999999999999998E-4</v>
      </c>
      <c r="J50" s="184">
        <v>1.5200000000000001E-3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3.6600000000000001E-3</v>
      </c>
      <c r="G51" s="184">
        <v>1.0200000000000001E-3</v>
      </c>
      <c r="H51" s="184">
        <v>0</v>
      </c>
      <c r="I51" s="184">
        <v>-5.9000000000000003E-4</v>
      </c>
      <c r="J51" s="184">
        <v>1.1000000000000001E-3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3.6600000000000001E-3</v>
      </c>
      <c r="G52" s="184">
        <v>1.0200000000000001E-3</v>
      </c>
      <c r="H52" s="184">
        <v>0</v>
      </c>
      <c r="I52" s="184">
        <v>-5.9000000000000003E-4</v>
      </c>
      <c r="J52" s="184">
        <v>1.1000000000000001E-3</v>
      </c>
    </row>
    <row r="53" spans="1:13">
      <c r="A53" s="195" t="s">
        <v>153</v>
      </c>
      <c r="B53" s="164"/>
      <c r="C53" s="184"/>
      <c r="D53" s="184"/>
      <c r="E53" s="184"/>
      <c r="F53" s="184">
        <v>2.32E-3</v>
      </c>
      <c r="G53" s="184">
        <v>6.4000000000000005E-4</v>
      </c>
      <c r="H53" s="184">
        <v>0</v>
      </c>
      <c r="I53" s="184">
        <v>-5.6999999999999998E-4</v>
      </c>
      <c r="J53" s="184">
        <v>6.8999999999999997E-4</v>
      </c>
    </row>
    <row r="54" spans="1:13">
      <c r="A54" s="195" t="s">
        <v>204</v>
      </c>
      <c r="B54" s="164"/>
      <c r="C54" s="184"/>
      <c r="D54" s="184"/>
      <c r="E54" s="184"/>
      <c r="F54" s="184">
        <v>2.32E-3</v>
      </c>
      <c r="G54" s="184">
        <v>0</v>
      </c>
      <c r="H54" s="184">
        <v>0</v>
      </c>
      <c r="I54" s="184">
        <v>-5.6999999999999998E-4</v>
      </c>
      <c r="J54" s="184">
        <v>0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3.4099999999999998E-3</v>
      </c>
      <c r="G55" s="184">
        <v>8.8999999999999995E-4</v>
      </c>
      <c r="H55" s="184">
        <v>0</v>
      </c>
      <c r="I55" s="184">
        <v>-6.0999999999999997E-4</v>
      </c>
      <c r="J55" s="184">
        <v>9.6000000000000002E-4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3.4099999999999998E-3</v>
      </c>
      <c r="G56" s="184">
        <v>8.8999999999999995E-4</v>
      </c>
      <c r="H56" s="184">
        <v>0</v>
      </c>
      <c r="I56" s="184">
        <v>-6.0999999999999997E-4</v>
      </c>
      <c r="J56" s="184">
        <v>9.6000000000000002E-4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3.4099999999999998E-3</v>
      </c>
      <c r="G57" s="184">
        <v>8.8999999999999995E-4</v>
      </c>
      <c r="H57" s="184">
        <v>0</v>
      </c>
      <c r="I57" s="184">
        <v>-6.0999999999999997E-4</v>
      </c>
      <c r="J57" s="184">
        <v>9.6000000000000002E-4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1.2149999999999999E-2</v>
      </c>
      <c r="G58" s="255" t="s">
        <v>235</v>
      </c>
      <c r="H58" s="184">
        <v>0</v>
      </c>
      <c r="I58" s="202">
        <v>-6.4999999999999997E-4</v>
      </c>
      <c r="J58" s="255" t="s">
        <v>241</v>
      </c>
    </row>
    <row r="59" spans="1:13">
      <c r="A59" s="195" t="s">
        <v>208</v>
      </c>
      <c r="B59" s="164"/>
      <c r="C59" s="202"/>
      <c r="D59" s="184"/>
      <c r="E59" s="184"/>
      <c r="F59" s="202">
        <v>1.2149999999999999E-2</v>
      </c>
      <c r="G59" s="255"/>
      <c r="H59" s="184">
        <v>0</v>
      </c>
      <c r="I59" s="202">
        <v>-6.4999999999999997E-4</v>
      </c>
      <c r="J59" s="255"/>
    </row>
    <row r="60" spans="1:13">
      <c r="E60" s="164"/>
    </row>
    <row r="61" spans="1:13" ht="52.8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7"/>
    </row>
    <row r="62" spans="1:13">
      <c r="A62" s="195" t="s">
        <v>148</v>
      </c>
      <c r="C62" s="180">
        <f t="shared" ref="C62:H67" si="11">$H3*C47</f>
        <v>-2920.6629000000003</v>
      </c>
      <c r="D62" s="180">
        <f t="shared" si="11"/>
        <v>15061.457699999999</v>
      </c>
      <c r="E62" s="180">
        <f t="shared" si="11"/>
        <v>0</v>
      </c>
      <c r="F62" s="180">
        <f>($H3*F47)</f>
        <v>19700.157599999999</v>
      </c>
      <c r="G62" s="180">
        <f>($F3*G47)+(J47*G3)</f>
        <v>13409.589579999985</v>
      </c>
      <c r="H62" s="180">
        <f t="shared" si="11"/>
        <v>0</v>
      </c>
      <c r="I62" s="180">
        <f>(I47*H3)</f>
        <v>-3264.2702999999997</v>
      </c>
      <c r="J62" s="180">
        <f>SUM(C62:I62)</f>
        <v>41986.271679999983</v>
      </c>
      <c r="M62" s="180"/>
    </row>
    <row r="63" spans="1:13">
      <c r="A63" s="195" t="s">
        <v>203</v>
      </c>
      <c r="C63" s="180">
        <f t="shared" si="11"/>
        <v>-9.7874100000000013</v>
      </c>
      <c r="D63" s="180">
        <f t="shared" si="11"/>
        <v>50.472329999999999</v>
      </c>
      <c r="E63" s="180">
        <f t="shared" si="11"/>
        <v>-605.09223000000009</v>
      </c>
      <c r="F63" s="180">
        <f t="shared" ref="F63:F67" si="12">($H4*F48)</f>
        <v>66.017039999999994</v>
      </c>
      <c r="G63" s="180">
        <f t="shared" ref="G63:G67" si="13">($F4*G48)+(J48*G4)</f>
        <v>35.491349999999983</v>
      </c>
      <c r="H63" s="180">
        <f t="shared" si="11"/>
        <v>0</v>
      </c>
      <c r="I63" s="180">
        <f t="shared" ref="I63:I67" si="14">(I48*H4)</f>
        <v>-10.93887</v>
      </c>
      <c r="J63" s="180">
        <f t="shared" ref="J63:J72" si="15">SUM(C63:I63)</f>
        <v>-473.8377900000001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-2901.4885899999999</v>
      </c>
      <c r="E64" s="180">
        <f t="shared" si="11"/>
        <v>0</v>
      </c>
      <c r="F64" s="180">
        <f t="shared" si="12"/>
        <v>9394.3301899999988</v>
      </c>
      <c r="G64" s="180">
        <f t="shared" si="13"/>
        <v>5744.90769</v>
      </c>
      <c r="H64" s="180">
        <f t="shared" si="11"/>
        <v>0</v>
      </c>
      <c r="I64" s="180">
        <f t="shared" si="14"/>
        <v>-1156.5374099999999</v>
      </c>
      <c r="J64" s="180">
        <f t="shared" si="15"/>
        <v>11081.211879999999</v>
      </c>
      <c r="M64" s="180"/>
    </row>
    <row r="65" spans="1:13">
      <c r="A65" s="195" t="s">
        <v>150</v>
      </c>
      <c r="C65" s="180">
        <f t="shared" si="11"/>
        <v>-230.61435000000003</v>
      </c>
      <c r="D65" s="180">
        <f t="shared" si="11"/>
        <v>-646.62455</v>
      </c>
      <c r="E65" s="180">
        <f t="shared" si="11"/>
        <v>0</v>
      </c>
      <c r="F65" s="180">
        <f t="shared" si="12"/>
        <v>2093.6165499999997</v>
      </c>
      <c r="G65" s="180">
        <f t="shared" si="13"/>
        <v>919.35091000000057</v>
      </c>
      <c r="H65" s="180">
        <f t="shared" si="11"/>
        <v>0</v>
      </c>
      <c r="I65" s="180">
        <f t="shared" si="14"/>
        <v>-257.74545000000001</v>
      </c>
      <c r="J65" s="180">
        <f t="shared" si="15"/>
        <v>1877.9831100000006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-14971.00891</v>
      </c>
      <c r="E66" s="180">
        <f t="shared" si="11"/>
        <v>0</v>
      </c>
      <c r="F66" s="180">
        <f t="shared" si="12"/>
        <v>38317.407420000003</v>
      </c>
      <c r="G66" s="180">
        <f t="shared" si="13"/>
        <v>15958.419819999996</v>
      </c>
      <c r="H66" s="180">
        <f t="shared" si="11"/>
        <v>0</v>
      </c>
      <c r="I66" s="180">
        <f t="shared" si="14"/>
        <v>-6176.8498300000001</v>
      </c>
      <c r="J66" s="180">
        <f t="shared" si="15"/>
        <v>33127.968499999995</v>
      </c>
      <c r="M66" s="180"/>
    </row>
    <row r="67" spans="1:13">
      <c r="A67" s="195" t="s">
        <v>152</v>
      </c>
      <c r="C67" s="180">
        <f t="shared" si="11"/>
        <v>-96.453240000000008</v>
      </c>
      <c r="D67" s="180">
        <f t="shared" si="11"/>
        <v>-270.44731999999999</v>
      </c>
      <c r="E67" s="180">
        <f t="shared" si="11"/>
        <v>0</v>
      </c>
      <c r="F67" s="180">
        <f t="shared" si="12"/>
        <v>692.19384000000002</v>
      </c>
      <c r="G67" s="180">
        <f t="shared" si="13"/>
        <v>311.03895999999986</v>
      </c>
      <c r="H67" s="180">
        <f t="shared" si="11"/>
        <v>0</v>
      </c>
      <c r="I67" s="180">
        <f t="shared" si="14"/>
        <v>-111.58316000000001</v>
      </c>
      <c r="J67" s="180">
        <f>SUM(C67:I67)</f>
        <v>524.74907999999994</v>
      </c>
      <c r="M67" s="180"/>
    </row>
    <row r="68" spans="1:13">
      <c r="A68" s="195" t="s">
        <v>153</v>
      </c>
      <c r="C68" s="180">
        <f>$H9*C53+$H10*C54</f>
        <v>0</v>
      </c>
      <c r="D68" s="180">
        <f>$H9*D53+$H10*D54</f>
        <v>0</v>
      </c>
      <c r="E68" s="180">
        <f>$H9*E53+$H10*E54</f>
        <v>0</v>
      </c>
      <c r="F68" s="180">
        <f>$H9*F53+$H10*F54</f>
        <v>112930.86504</v>
      </c>
      <c r="G68" s="180">
        <f>($F9*G53)+($F10*G54)+(J53*G9)+($G10*J54)</f>
        <v>12887.19693</v>
      </c>
      <c r="H68" s="180">
        <f>$H9*H53+$H10*H54</f>
        <v>0</v>
      </c>
      <c r="I68" s="180">
        <f>$H9*I53+$H10*I54</f>
        <v>-27745.94529</v>
      </c>
      <c r="J68" s="180">
        <f t="shared" si="15"/>
        <v>98072.116680000006</v>
      </c>
      <c r="M68" s="180"/>
    </row>
    <row r="69" spans="1:13">
      <c r="A69" s="195" t="s">
        <v>205</v>
      </c>
      <c r="C69" s="180">
        <f t="shared" ref="C69:H71" si="16">$H11*C55</f>
        <v>0</v>
      </c>
      <c r="D69" s="180">
        <f t="shared" si="16"/>
        <v>0</v>
      </c>
      <c r="E69" s="180">
        <f t="shared" si="16"/>
        <v>0</v>
      </c>
      <c r="F69" s="180">
        <f>($H11*F54)</f>
        <v>0</v>
      </c>
      <c r="G69" s="180">
        <f>($F11*G55)+(J55*G11)</f>
        <v>0</v>
      </c>
      <c r="H69" s="180">
        <f t="shared" si="16"/>
        <v>0</v>
      </c>
      <c r="I69" s="180">
        <f>$H11*I55</f>
        <v>0</v>
      </c>
      <c r="J69" s="180">
        <f t="shared" si="15"/>
        <v>0</v>
      </c>
      <c r="M69" s="180"/>
    </row>
    <row r="70" spans="1:13">
      <c r="A70" s="195" t="s">
        <v>154</v>
      </c>
      <c r="C70" s="180">
        <f t="shared" si="16"/>
        <v>0</v>
      </c>
      <c r="D70" s="180">
        <f t="shared" si="16"/>
        <v>9840.0545099999999</v>
      </c>
      <c r="E70" s="180">
        <f t="shared" si="16"/>
        <v>0</v>
      </c>
      <c r="F70" s="180">
        <f>($H12*F55)</f>
        <v>-23464.745370000001</v>
      </c>
      <c r="G70" s="180">
        <f>($F12*G56)+(J56*G12)</f>
        <v>-5833.1175799999992</v>
      </c>
      <c r="H70" s="180">
        <f t="shared" si="16"/>
        <v>0</v>
      </c>
      <c r="I70" s="180">
        <f>$H12*I56</f>
        <v>4197.5057699999998</v>
      </c>
      <c r="J70" s="180">
        <f t="shared" si="15"/>
        <v>-15260.302670000001</v>
      </c>
      <c r="M70" s="180"/>
    </row>
    <row r="71" spans="1:13">
      <c r="A71" s="195" t="s">
        <v>155</v>
      </c>
      <c r="C71" s="180">
        <f t="shared" si="16"/>
        <v>128.52510000000001</v>
      </c>
      <c r="D71" s="180">
        <f t="shared" si="16"/>
        <v>360.37430000000001</v>
      </c>
      <c r="E71" s="180">
        <f t="shared" si="16"/>
        <v>0</v>
      </c>
      <c r="F71" s="180">
        <f>($H13*F56)</f>
        <v>-859.3540999999999</v>
      </c>
      <c r="G71" s="180">
        <f>($F13*G57)+(J57*G13)</f>
        <v>-207.41280999999995</v>
      </c>
      <c r="H71" s="180">
        <f t="shared" si="16"/>
        <v>0</v>
      </c>
      <c r="I71" s="180">
        <f>$H13*I57</f>
        <v>153.7261</v>
      </c>
      <c r="J71" s="180">
        <f t="shared" si="15"/>
        <v>-424.14140999999984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($H14*F57)</f>
        <v>0</v>
      </c>
      <c r="G72" s="180"/>
      <c r="H72" s="180">
        <f>($H14+$H15)*H58</f>
        <v>0</v>
      </c>
      <c r="I72" s="180">
        <f>($H14+$H15)*I58</f>
        <v>0</v>
      </c>
      <c r="J72" s="180">
        <f t="shared" si="15"/>
        <v>0</v>
      </c>
      <c r="M72" s="180"/>
    </row>
    <row r="73" spans="1:13">
      <c r="A73" s="169"/>
      <c r="C73" s="222">
        <f>SUM(C62:C72)</f>
        <v>-3128.9928</v>
      </c>
      <c r="D73" s="222">
        <f>SUM(D62:D72)</f>
        <v>6522.7894699999979</v>
      </c>
      <c r="E73" s="222">
        <f t="shared" ref="E73:J73" si="17">SUM(E62:E72)</f>
        <v>-605.09223000000009</v>
      </c>
      <c r="F73" s="222">
        <f t="shared" si="17"/>
        <v>158870.48821000001</v>
      </c>
      <c r="G73" s="222">
        <f t="shared" si="17"/>
        <v>43225.464849999975</v>
      </c>
      <c r="H73" s="222">
        <f t="shared" si="17"/>
        <v>0</v>
      </c>
      <c r="I73" s="222">
        <f t="shared" si="17"/>
        <v>-34372.638439999995</v>
      </c>
      <c r="J73" s="222">
        <f t="shared" si="17"/>
        <v>170512.01905999999</v>
      </c>
    </row>
    <row r="74" spans="1:13" ht="15.75" customHeight="1"/>
    <row r="75" spans="1:13">
      <c r="A75" s="164" t="s">
        <v>19</v>
      </c>
      <c r="B75" s="164"/>
      <c r="C75" s="180">
        <f>C62+C63</f>
        <v>-2930.4503100000002</v>
      </c>
      <c r="D75" s="180">
        <f>D62+D63</f>
        <v>15111.93003</v>
      </c>
      <c r="E75" s="180">
        <f t="shared" ref="E75:J75" si="18">E62+E63</f>
        <v>-605.09223000000009</v>
      </c>
      <c r="F75" s="180">
        <f t="shared" si="18"/>
        <v>19766.174639999997</v>
      </c>
      <c r="G75" s="180">
        <f t="shared" si="18"/>
        <v>13445.080929999986</v>
      </c>
      <c r="H75" s="180">
        <f t="shared" si="18"/>
        <v>0</v>
      </c>
      <c r="I75" s="180">
        <f t="shared" si="18"/>
        <v>-3275.2091699999996</v>
      </c>
      <c r="J75" s="180">
        <f t="shared" si="18"/>
        <v>41512.433889999986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-198.54249000000004</v>
      </c>
      <c r="D77" s="190">
        <f>SUM(D64:D67,D69:D71)</f>
        <v>-8589.1405600000016</v>
      </c>
      <c r="E77" s="190">
        <f t="shared" ref="E77:J77" si="19">SUM(E64:E67,E69:E71)</f>
        <v>0</v>
      </c>
      <c r="F77" s="190">
        <f t="shared" si="19"/>
        <v>26173.448530000001</v>
      </c>
      <c r="G77" s="190">
        <f t="shared" si="19"/>
        <v>16893.186989999995</v>
      </c>
      <c r="H77" s="190">
        <f t="shared" si="19"/>
        <v>0</v>
      </c>
      <c r="I77" s="190">
        <f t="shared" si="19"/>
        <v>-3351.4839800000009</v>
      </c>
      <c r="J77" s="190">
        <f t="shared" si="19"/>
        <v>30927.468489999992</v>
      </c>
    </row>
    <row r="78" spans="1:13" ht="15.75" customHeight="1"/>
    <row r="79" spans="1:13" ht="15.75" customHeight="1"/>
  </sheetData>
  <mergeCells count="3">
    <mergeCell ref="A1:I1"/>
    <mergeCell ref="G58:G59"/>
    <mergeCell ref="J58:J59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  <rowBreaks count="1" manualBreakCount="1">
    <brk id="4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M79"/>
  <sheetViews>
    <sheetView zoomScaleNormal="100" workbookViewId="0">
      <selection activeCell="I9" sqref="I9:I10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211893</v>
      </c>
      <c r="D3" s="224"/>
      <c r="E3" s="197">
        <v>185293605.43000001</v>
      </c>
      <c r="F3" s="197">
        <v>-116885343</v>
      </c>
      <c r="G3" s="197">
        <v>92455751</v>
      </c>
      <c r="H3" s="218">
        <f>SUM(F3:G3)</f>
        <v>-24429592</v>
      </c>
      <c r="I3" s="171">
        <f>E3+H3</f>
        <v>160864013.43000001</v>
      </c>
    </row>
    <row r="4" spans="1:9">
      <c r="A4" s="195" t="s">
        <v>203</v>
      </c>
      <c r="B4" s="164"/>
      <c r="C4" s="170">
        <v>446</v>
      </c>
      <c r="D4" s="224"/>
      <c r="E4" s="197">
        <v>360452</v>
      </c>
      <c r="F4" s="197">
        <v>-238611</v>
      </c>
      <c r="G4" s="197">
        <v>191760</v>
      </c>
      <c r="H4" s="218">
        <f t="shared" ref="H4:H16" si="0">SUM(F4:G4)</f>
        <v>-46851</v>
      </c>
      <c r="I4" s="171">
        <f t="shared" ref="I4:I16" si="1">E4+H4</f>
        <v>313601</v>
      </c>
    </row>
    <row r="5" spans="1:9">
      <c r="A5" s="195" t="s">
        <v>149</v>
      </c>
      <c r="B5" s="164"/>
      <c r="C5" s="170">
        <v>22528</v>
      </c>
      <c r="D5" s="224"/>
      <c r="E5" s="197">
        <v>48628823</v>
      </c>
      <c r="F5" s="197">
        <v>-29451425</v>
      </c>
      <c r="G5" s="197">
        <v>24189163</v>
      </c>
      <c r="H5" s="218">
        <f t="shared" si="0"/>
        <v>-5262262</v>
      </c>
      <c r="I5" s="171">
        <f t="shared" si="1"/>
        <v>43366561</v>
      </c>
    </row>
    <row r="6" spans="1:9">
      <c r="A6" s="195" t="s">
        <v>150</v>
      </c>
      <c r="B6" s="164"/>
      <c r="C6" s="170">
        <v>9227</v>
      </c>
      <c r="D6" s="224"/>
      <c r="E6" s="197">
        <v>4209027.57</v>
      </c>
      <c r="F6" s="197">
        <v>-2386111</v>
      </c>
      <c r="G6" s="197">
        <v>2109361</v>
      </c>
      <c r="H6" s="218">
        <f t="shared" si="0"/>
        <v>-276750</v>
      </c>
      <c r="I6" s="171">
        <f t="shared" si="1"/>
        <v>3932277.5700000003</v>
      </c>
    </row>
    <row r="7" spans="1:9">
      <c r="A7" s="195" t="s">
        <v>151</v>
      </c>
      <c r="B7" s="164"/>
      <c r="C7" s="170">
        <v>1850</v>
      </c>
      <c r="D7" s="224"/>
      <c r="E7" s="197">
        <v>120756243</v>
      </c>
      <c r="F7" s="197">
        <v>-70560706</v>
      </c>
      <c r="G7" s="197">
        <v>55528239</v>
      </c>
      <c r="H7" s="218">
        <f t="shared" si="0"/>
        <v>-15032467</v>
      </c>
      <c r="I7" s="171">
        <f t="shared" si="1"/>
        <v>105723776</v>
      </c>
    </row>
    <row r="8" spans="1:9">
      <c r="A8" s="195" t="s">
        <v>152</v>
      </c>
      <c r="B8" s="164"/>
      <c r="C8" s="170">
        <v>49</v>
      </c>
      <c r="D8" s="224"/>
      <c r="E8" s="197">
        <v>2559760</v>
      </c>
      <c r="F8" s="197">
        <v>-1533928</v>
      </c>
      <c r="G8" s="197">
        <v>1287532</v>
      </c>
      <c r="H8" s="218">
        <f t="shared" si="0"/>
        <v>-246396</v>
      </c>
      <c r="I8" s="171">
        <f t="shared" si="1"/>
        <v>2313364</v>
      </c>
    </row>
    <row r="9" spans="1:9">
      <c r="A9" s="195" t="s">
        <v>153</v>
      </c>
      <c r="B9" s="164"/>
      <c r="C9" s="170">
        <v>22</v>
      </c>
      <c r="D9" s="224"/>
      <c r="E9" s="197">
        <f>96301848-E10</f>
        <v>61991572</v>
      </c>
      <c r="F9" s="197">
        <v>-3264593</v>
      </c>
      <c r="G9" s="197">
        <v>0</v>
      </c>
      <c r="H9" s="218">
        <f t="shared" si="0"/>
        <v>-3264593</v>
      </c>
      <c r="I9" s="171">
        <f t="shared" si="1"/>
        <v>58726979</v>
      </c>
    </row>
    <row r="10" spans="1:9">
      <c r="A10" s="195" t="s">
        <v>204</v>
      </c>
      <c r="B10" s="164"/>
      <c r="C10" s="170"/>
      <c r="D10" s="224"/>
      <c r="E10" s="197">
        <v>34310276</v>
      </c>
      <c r="F10" s="197">
        <v>0</v>
      </c>
      <c r="G10" s="197">
        <v>0</v>
      </c>
      <c r="H10" s="218">
        <f t="shared" si="0"/>
        <v>0</v>
      </c>
      <c r="I10" s="171">
        <f t="shared" si="1"/>
        <v>34310276</v>
      </c>
    </row>
    <row r="11" spans="1:9">
      <c r="A11" s="195" t="s">
        <v>205</v>
      </c>
      <c r="B11" s="164"/>
      <c r="C11" s="170">
        <v>48</v>
      </c>
      <c r="D11" s="224"/>
      <c r="E11" s="197">
        <v>4962600</v>
      </c>
      <c r="F11" s="197">
        <v>0</v>
      </c>
      <c r="G11" s="197">
        <v>0</v>
      </c>
      <c r="H11" s="218">
        <f t="shared" si="0"/>
        <v>0</v>
      </c>
      <c r="I11" s="171">
        <f t="shared" si="1"/>
        <v>4962600</v>
      </c>
    </row>
    <row r="12" spans="1:9">
      <c r="A12" s="195" t="s">
        <v>154</v>
      </c>
      <c r="B12" s="164"/>
      <c r="C12" s="170">
        <v>1199</v>
      </c>
      <c r="D12" s="224"/>
      <c r="E12" s="197">
        <v>16803571</v>
      </c>
      <c r="F12" s="197">
        <v>-10192101</v>
      </c>
      <c r="G12" s="197">
        <v>11039902</v>
      </c>
      <c r="H12" s="218">
        <f t="shared" si="0"/>
        <v>847801</v>
      </c>
      <c r="I12" s="171">
        <f t="shared" si="1"/>
        <v>17651372</v>
      </c>
    </row>
    <row r="13" spans="1:9">
      <c r="A13" s="195" t="s">
        <v>155</v>
      </c>
      <c r="B13" s="164"/>
      <c r="C13" s="170">
        <v>1203</v>
      </c>
      <c r="D13" s="224"/>
      <c r="E13" s="197">
        <v>1377878</v>
      </c>
      <c r="F13" s="197">
        <v>-784008</v>
      </c>
      <c r="G13" s="197">
        <v>493097</v>
      </c>
      <c r="H13" s="218">
        <f t="shared" si="0"/>
        <v>-290911</v>
      </c>
      <c r="I13" s="171">
        <f t="shared" si="1"/>
        <v>1086967</v>
      </c>
    </row>
    <row r="14" spans="1:9">
      <c r="A14" s="195" t="s">
        <v>206</v>
      </c>
      <c r="B14" s="164"/>
      <c r="C14" s="170">
        <v>424</v>
      </c>
      <c r="D14" s="224"/>
      <c r="E14" s="197">
        <v>962573.76</v>
      </c>
      <c r="F14" s="197"/>
      <c r="G14" s="197"/>
      <c r="H14" s="218"/>
      <c r="I14" s="171">
        <f t="shared" si="1"/>
        <v>962573.76</v>
      </c>
    </row>
    <row r="15" spans="1:9">
      <c r="A15" s="195" t="s">
        <v>207</v>
      </c>
      <c r="B15" s="164"/>
      <c r="C15" s="170"/>
      <c r="D15" s="224"/>
      <c r="E15" s="197">
        <v>420064.28</v>
      </c>
      <c r="F15" s="197"/>
      <c r="G15" s="197"/>
      <c r="H15" s="218">
        <f t="shared" si="0"/>
        <v>0</v>
      </c>
      <c r="I15" s="171">
        <f t="shared" si="1"/>
        <v>420064.28</v>
      </c>
    </row>
    <row r="16" spans="1:9">
      <c r="A16" s="195" t="s">
        <v>208</v>
      </c>
      <c r="B16" s="164"/>
      <c r="C16" s="170"/>
      <c r="D16" s="225"/>
      <c r="E16" s="197">
        <v>226232.35</v>
      </c>
      <c r="F16" s="197"/>
      <c r="G16" s="197"/>
      <c r="H16" s="218">
        <f t="shared" si="0"/>
        <v>0</v>
      </c>
      <c r="I16" s="171">
        <f t="shared" si="1"/>
        <v>226232.35</v>
      </c>
    </row>
    <row r="17" spans="1:9">
      <c r="A17" s="164"/>
      <c r="B17" s="164"/>
      <c r="C17" s="172">
        <f>SUM(C3:C16)</f>
        <v>248889</v>
      </c>
      <c r="E17" s="172">
        <f t="shared" ref="E17:I17" si="2">SUM(E3:E16)</f>
        <v>482862678.38999999</v>
      </c>
      <c r="F17" s="172">
        <f t="shared" si="2"/>
        <v>-235296826</v>
      </c>
      <c r="G17" s="172">
        <f t="shared" si="2"/>
        <v>187294805</v>
      </c>
      <c r="H17" s="172">
        <f t="shared" si="2"/>
        <v>-48002021</v>
      </c>
      <c r="I17" s="172">
        <f t="shared" si="2"/>
        <v>434860657.38999999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212339</v>
      </c>
      <c r="E19" s="174">
        <f>E3+E4</f>
        <v>185654057.43000001</v>
      </c>
      <c r="F19" s="174">
        <f t="shared" ref="F19:H19" si="3">F3+F4</f>
        <v>-117123954</v>
      </c>
      <c r="G19" s="174">
        <f t="shared" si="3"/>
        <v>92647511</v>
      </c>
      <c r="H19" s="174">
        <f t="shared" si="3"/>
        <v>-24476443</v>
      </c>
      <c r="I19" s="173">
        <f>I3+I4</f>
        <v>161177614.43000001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36104</v>
      </c>
      <c r="E21" s="192">
        <f>SUM(E5:E8,E11:E13)</f>
        <v>199297902.56999999</v>
      </c>
      <c r="F21" s="192">
        <f t="shared" ref="F21:H21" si="4">SUM(F5:F8,F11:F13)</f>
        <v>-114908279</v>
      </c>
      <c r="G21" s="192">
        <f t="shared" si="4"/>
        <v>94647294</v>
      </c>
      <c r="H21" s="192">
        <f t="shared" si="4"/>
        <v>-20260985</v>
      </c>
      <c r="I21" s="191">
        <f>SUM(I5:I8,I11:I13)</f>
        <v>179036917.56999999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1852031</v>
      </c>
      <c r="D24" s="196">
        <v>16407393.030000001</v>
      </c>
      <c r="E24" s="198">
        <v>-10938749</v>
      </c>
      <c r="F24" s="198">
        <v>8775021</v>
      </c>
      <c r="G24" s="188">
        <f>SUM(D24:F24)</f>
        <v>14243665.030000001</v>
      </c>
      <c r="H24" s="188">
        <f>-J62</f>
        <v>49754.387060000052</v>
      </c>
      <c r="I24" s="188">
        <f>SUM(G24:H24)</f>
        <v>14293419.417060001</v>
      </c>
    </row>
    <row r="25" spans="1:9">
      <c r="A25" s="195" t="s">
        <v>203</v>
      </c>
      <c r="B25" s="164"/>
      <c r="C25" s="196">
        <v>3850.5</v>
      </c>
      <c r="D25" s="196">
        <v>31791.420000000002</v>
      </c>
      <c r="E25" s="198">
        <v>-14922</v>
      </c>
      <c r="F25" s="198">
        <v>12185</v>
      </c>
      <c r="G25" s="188">
        <f t="shared" ref="G25:G33" si="5">SUM(D25:F25)</f>
        <v>29054.420000000002</v>
      </c>
      <c r="H25" s="188">
        <f t="shared" ref="H25:H33" si="6">-J63</f>
        <v>-1393.6410900000001</v>
      </c>
      <c r="I25" s="188">
        <f t="shared" ref="I25:I34" si="7">SUM(G25:H25)</f>
        <v>27660.778910000001</v>
      </c>
    </row>
    <row r="26" spans="1:9">
      <c r="A26" s="195" t="s">
        <v>149</v>
      </c>
      <c r="B26" s="164"/>
      <c r="C26" s="196">
        <v>414397.68</v>
      </c>
      <c r="D26" s="196">
        <v>5630222.8000000007</v>
      </c>
      <c r="E26" s="198">
        <v>-3354062</v>
      </c>
      <c r="F26" s="198">
        <v>2798844</v>
      </c>
      <c r="G26" s="188">
        <f t="shared" si="5"/>
        <v>5075004.8000000007</v>
      </c>
      <c r="H26" s="188">
        <f t="shared" si="6"/>
        <v>-8486.4007699999893</v>
      </c>
      <c r="I26" s="188">
        <f t="shared" si="7"/>
        <v>5066518.3992300006</v>
      </c>
    </row>
    <row r="27" spans="1:9">
      <c r="A27" s="195" t="s">
        <v>150</v>
      </c>
      <c r="B27" s="164"/>
      <c r="C27" s="196">
        <v>168043.9</v>
      </c>
      <c r="D27" s="196">
        <v>627902.99</v>
      </c>
      <c r="E27" s="198">
        <v>-359417</v>
      </c>
      <c r="F27" s="198">
        <v>326471</v>
      </c>
      <c r="G27" s="188">
        <f t="shared" si="5"/>
        <v>594956.99</v>
      </c>
      <c r="H27" s="188">
        <f t="shared" si="6"/>
        <v>-1433.0446099999979</v>
      </c>
      <c r="I27" s="188">
        <f t="shared" si="7"/>
        <v>593523.94539000001</v>
      </c>
    </row>
    <row r="28" spans="1:9">
      <c r="A28" s="195" t="s">
        <v>151</v>
      </c>
      <c r="B28" s="164"/>
      <c r="C28" s="196">
        <v>926002.67</v>
      </c>
      <c r="D28" s="196">
        <v>10812830.34</v>
      </c>
      <c r="E28" s="198">
        <v>-5634784</v>
      </c>
      <c r="F28" s="198">
        <v>4510756</v>
      </c>
      <c r="G28" s="188">
        <f t="shared" si="5"/>
        <v>9688802.3399999999</v>
      </c>
      <c r="H28" s="188">
        <f t="shared" si="6"/>
        <v>-25635.094360000014</v>
      </c>
      <c r="I28" s="188">
        <f t="shared" si="7"/>
        <v>9663167.2456400003</v>
      </c>
    </row>
    <row r="29" spans="1:9">
      <c r="A29" s="195" t="s">
        <v>152</v>
      </c>
      <c r="B29" s="164"/>
      <c r="C29" s="196">
        <v>24500</v>
      </c>
      <c r="D29" s="196">
        <v>227681.83</v>
      </c>
      <c r="E29" s="198">
        <v>-125763</v>
      </c>
      <c r="F29" s="198">
        <v>107449</v>
      </c>
      <c r="G29" s="188">
        <f t="shared" si="5"/>
        <v>209367.83</v>
      </c>
      <c r="H29" s="188">
        <f t="shared" si="6"/>
        <v>-896.80164000000059</v>
      </c>
      <c r="I29" s="188">
        <f t="shared" si="7"/>
        <v>208471.02836</v>
      </c>
    </row>
    <row r="30" spans="1:9">
      <c r="A30" s="195" t="s">
        <v>153</v>
      </c>
      <c r="B30" s="164"/>
      <c r="C30" s="196">
        <v>462000</v>
      </c>
      <c r="D30" s="196">
        <f>5729429.56-85864.9</f>
        <v>5643564.6599999992</v>
      </c>
      <c r="E30" s="198">
        <v>-212684</v>
      </c>
      <c r="F30" s="198">
        <v>0</v>
      </c>
      <c r="G30" s="188">
        <f t="shared" si="5"/>
        <v>5430880.6599999992</v>
      </c>
      <c r="H30" s="188">
        <f t="shared" si="6"/>
        <v>5843.620899999999</v>
      </c>
      <c r="I30" s="188">
        <f t="shared" si="7"/>
        <v>5436724.2808999997</v>
      </c>
    </row>
    <row r="31" spans="1:9">
      <c r="A31" s="195" t="s">
        <v>205</v>
      </c>
      <c r="B31" s="164"/>
      <c r="C31" s="196">
        <v>864</v>
      </c>
      <c r="D31" s="196">
        <v>339401.13</v>
      </c>
      <c r="E31" s="198">
        <v>0</v>
      </c>
      <c r="F31" s="198">
        <v>0</v>
      </c>
      <c r="G31" s="188">
        <f t="shared" si="5"/>
        <v>339401.13</v>
      </c>
      <c r="H31" s="188">
        <f t="shared" si="6"/>
        <v>0</v>
      </c>
      <c r="I31" s="188">
        <f t="shared" si="7"/>
        <v>339401.13</v>
      </c>
    </row>
    <row r="32" spans="1:9">
      <c r="A32" s="195" t="s">
        <v>154</v>
      </c>
      <c r="B32" s="164"/>
      <c r="C32" s="196">
        <v>21762</v>
      </c>
      <c r="D32" s="196">
        <v>1317079.5299999998</v>
      </c>
      <c r="E32" s="198">
        <v>-806426</v>
      </c>
      <c r="F32" s="198">
        <v>877170</v>
      </c>
      <c r="G32" s="188">
        <f t="shared" si="5"/>
        <v>1387823.5299999998</v>
      </c>
      <c r="H32" s="188">
        <f t="shared" si="6"/>
        <v>974.97115000000008</v>
      </c>
      <c r="I32" s="188">
        <f t="shared" si="7"/>
        <v>1388798.5011499999</v>
      </c>
    </row>
    <row r="33" spans="1:10">
      <c r="A33" s="195" t="s">
        <v>155</v>
      </c>
      <c r="B33" s="164"/>
      <c r="C33" s="196">
        <v>21852</v>
      </c>
      <c r="D33" s="196">
        <v>134432.62</v>
      </c>
      <c r="E33" s="198">
        <v>-72226</v>
      </c>
      <c r="F33" s="198">
        <v>49814</v>
      </c>
      <c r="G33" s="188">
        <f t="shared" si="5"/>
        <v>112020.62</v>
      </c>
      <c r="H33" s="188">
        <f t="shared" si="6"/>
        <v>-11527.594469999996</v>
      </c>
      <c r="I33" s="188">
        <f t="shared" si="7"/>
        <v>100493.02553</v>
      </c>
    </row>
    <row r="34" spans="1:10">
      <c r="A34" s="195" t="s">
        <v>217</v>
      </c>
      <c r="B34" s="164"/>
      <c r="C34" s="188"/>
      <c r="D34" s="196">
        <v>546386.84</v>
      </c>
      <c r="E34" s="196"/>
      <c r="F34" s="196"/>
      <c r="G34" s="188">
        <f>SUM(D34:F34)</f>
        <v>546386.84</v>
      </c>
      <c r="H34" s="188"/>
      <c r="I34" s="188">
        <f t="shared" si="7"/>
        <v>546386.84</v>
      </c>
    </row>
    <row r="35" spans="1:10">
      <c r="A35" s="195" t="s">
        <v>218</v>
      </c>
      <c r="B35" s="164"/>
      <c r="C35" s="224"/>
      <c r="D35" s="196">
        <v>1912950.44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1647222.84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3895303.75</v>
      </c>
      <c r="D37" s="178">
        <f t="shared" ref="D37:I37" si="8">SUM(D24:D36)</f>
        <v>45278860.469999999</v>
      </c>
      <c r="E37" s="178">
        <f t="shared" si="8"/>
        <v>-21519033</v>
      </c>
      <c r="F37" s="178">
        <f t="shared" si="8"/>
        <v>17457710</v>
      </c>
      <c r="G37" s="178">
        <f t="shared" si="8"/>
        <v>37657364.189999998</v>
      </c>
      <c r="H37" s="178">
        <f t="shared" si="8"/>
        <v>7200.4021700000594</v>
      </c>
      <c r="I37" s="178">
        <f t="shared" si="8"/>
        <v>37664564.592170015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1855881.5</v>
      </c>
      <c r="D39" s="180">
        <f t="shared" ref="D39:I39" si="9">D24+D25</f>
        <v>16439184.450000001</v>
      </c>
      <c r="E39" s="180">
        <f t="shared" si="9"/>
        <v>-10953671</v>
      </c>
      <c r="F39" s="180">
        <f t="shared" si="9"/>
        <v>8787206</v>
      </c>
      <c r="G39" s="180">
        <f t="shared" si="9"/>
        <v>14272719.450000001</v>
      </c>
      <c r="H39" s="180">
        <f t="shared" si="9"/>
        <v>48360.745970000055</v>
      </c>
      <c r="I39" s="181">
        <f t="shared" si="9"/>
        <v>14321080.195970001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1577422.25</v>
      </c>
      <c r="D41" s="190">
        <f t="shared" ref="D41:I41" si="10">SUM(D26:D29,D31:D33)</f>
        <v>19089551.240000002</v>
      </c>
      <c r="E41" s="190">
        <f t="shared" si="10"/>
        <v>-10352678</v>
      </c>
      <c r="F41" s="190">
        <f t="shared" si="10"/>
        <v>8670504</v>
      </c>
      <c r="G41" s="190">
        <f t="shared" si="10"/>
        <v>17407377.240000002</v>
      </c>
      <c r="H41" s="190">
        <f t="shared" si="10"/>
        <v>-47003.964699999997</v>
      </c>
      <c r="I41" s="189">
        <f t="shared" si="10"/>
        <v>17360373.2753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42917</v>
      </c>
      <c r="J45" s="220">
        <v>42948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223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-5.6999999999999998E-4</v>
      </c>
      <c r="J47" s="184">
        <v>3.4399999999999999E-3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-5.6999999999999998E-4</v>
      </c>
      <c r="J48" s="184">
        <v>3.4399999999999999E-3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-5.6999999999999998E-4</v>
      </c>
      <c r="J49" s="184">
        <v>4.6299999999999996E-3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-5.6999999999999998E-4</v>
      </c>
      <c r="J50" s="184">
        <v>4.6299999999999996E-3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-5.9000000000000003E-4</v>
      </c>
      <c r="J51" s="184">
        <v>3.6600000000000001E-3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-5.9000000000000003E-4</v>
      </c>
      <c r="J52" s="184">
        <v>3.6600000000000001E-3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-5.6999999999999998E-4</v>
      </c>
      <c r="J53" s="184">
        <v>2.32E-3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-5.6999999999999998E-4</v>
      </c>
      <c r="J54" s="184">
        <v>2.32E-3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-6.0999999999999997E-4</v>
      </c>
      <c r="J55" s="184">
        <v>3.4099999999999998E-3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-6.0999999999999997E-4</v>
      </c>
      <c r="J56" s="184">
        <v>3.4099999999999998E-3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-6.0999999999999997E-4</v>
      </c>
      <c r="J57" s="184">
        <v>3.4099999999999998E-3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202">
        <v>-6.4999999999999997E-4</v>
      </c>
      <c r="J58" s="202">
        <v>1.2149999999999999E-2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202">
        <v>-6.4999999999999997E-4</v>
      </c>
      <c r="J59" s="202">
        <v>1.2149999999999999E-2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6"/>
    </row>
    <row r="62" spans="1:13">
      <c r="A62" s="195" t="s">
        <v>148</v>
      </c>
      <c r="C62" s="180">
        <f t="shared" ref="C62:H67" si="11">$H3*C47</f>
        <v>12459.091920000001</v>
      </c>
      <c r="D62" s="180">
        <f t="shared" si="11"/>
        <v>-64249.826959999999</v>
      </c>
      <c r="E62" s="180">
        <f t="shared" si="11"/>
        <v>0</v>
      </c>
      <c r="F62" s="180">
        <f>($F3*F47)+($G3*J47)</f>
        <v>11808.184779999952</v>
      </c>
      <c r="G62" s="180">
        <f>$H3*G47</f>
        <v>-23696.704240000003</v>
      </c>
      <c r="H62" s="180">
        <f t="shared" si="11"/>
        <v>0</v>
      </c>
      <c r="I62" s="180">
        <f>(I47*H3)</f>
        <v>13924.86744</v>
      </c>
      <c r="J62" s="180">
        <f>SUM(C62:I62)</f>
        <v>-49754.387060000052</v>
      </c>
      <c r="M62" s="180"/>
    </row>
    <row r="63" spans="1:13">
      <c r="A63" s="195" t="s">
        <v>203</v>
      </c>
      <c r="C63" s="180">
        <f t="shared" si="11"/>
        <v>23.894010000000002</v>
      </c>
      <c r="D63" s="180">
        <f t="shared" si="11"/>
        <v>-123.21813</v>
      </c>
      <c r="E63" s="180">
        <f t="shared" si="11"/>
        <v>1477.2120300000001</v>
      </c>
      <c r="F63" s="180">
        <f>($F4*F48)+($G4*J48)</f>
        <v>34.493580000000065</v>
      </c>
      <c r="G63" s="180">
        <f t="shared" si="11"/>
        <v>-45.44547</v>
      </c>
      <c r="H63" s="180">
        <f t="shared" si="11"/>
        <v>0</v>
      </c>
      <c r="I63" s="180">
        <f t="shared" ref="I63:I67" si="12">(I48*H4)</f>
        <v>26.705069999999999</v>
      </c>
      <c r="J63" s="180">
        <f t="shared" ref="J63:J72" si="13">SUM(C63:I63)</f>
        <v>1393.6410900000001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7525.0346600000003</v>
      </c>
      <c r="E64" s="180">
        <f t="shared" si="11"/>
        <v>0</v>
      </c>
      <c r="F64" s="180">
        <f t="shared" ref="F64:F72" si="14">($F5*F49)+($G5*J49)</f>
        <v>5381.666189999989</v>
      </c>
      <c r="G64" s="180">
        <f t="shared" si="11"/>
        <v>-7419.7894200000001</v>
      </c>
      <c r="H64" s="180">
        <f t="shared" si="11"/>
        <v>0</v>
      </c>
      <c r="I64" s="180">
        <f t="shared" si="12"/>
        <v>2999.4893400000001</v>
      </c>
      <c r="J64" s="180">
        <f t="shared" si="13"/>
        <v>8486.4007699999893</v>
      </c>
      <c r="M64" s="180"/>
    </row>
    <row r="65" spans="1:13">
      <c r="A65" s="195" t="s">
        <v>150</v>
      </c>
      <c r="C65" s="180">
        <f t="shared" si="11"/>
        <v>141.14250000000001</v>
      </c>
      <c r="D65" s="180">
        <f t="shared" si="11"/>
        <v>395.7525</v>
      </c>
      <c r="E65" s="180">
        <f t="shared" si="11"/>
        <v>0</v>
      </c>
      <c r="F65" s="180">
        <f t="shared" si="14"/>
        <v>1128.6196099999979</v>
      </c>
      <c r="G65" s="180">
        <f t="shared" si="11"/>
        <v>-390.21750000000003</v>
      </c>
      <c r="H65" s="180">
        <f t="shared" si="11"/>
        <v>0</v>
      </c>
      <c r="I65" s="180">
        <f t="shared" si="12"/>
        <v>157.7475</v>
      </c>
      <c r="J65" s="180">
        <f t="shared" si="13"/>
        <v>1433.0446099999979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21496.427810000001</v>
      </c>
      <c r="E66" s="180">
        <f t="shared" si="11"/>
        <v>0</v>
      </c>
      <c r="F66" s="180">
        <f t="shared" si="14"/>
        <v>10602.627360000013</v>
      </c>
      <c r="G66" s="180">
        <f t="shared" si="11"/>
        <v>-15333.11634</v>
      </c>
      <c r="H66" s="180">
        <f t="shared" si="11"/>
        <v>0</v>
      </c>
      <c r="I66" s="180">
        <f t="shared" si="12"/>
        <v>8869.15553</v>
      </c>
      <c r="J66" s="180">
        <f t="shared" si="13"/>
        <v>25635.094360000014</v>
      </c>
      <c r="M66" s="180"/>
    </row>
    <row r="67" spans="1:13">
      <c r="A67" s="195" t="s">
        <v>152</v>
      </c>
      <c r="C67" s="180">
        <f t="shared" si="11"/>
        <v>125.66196000000001</v>
      </c>
      <c r="D67" s="180">
        <f t="shared" si="11"/>
        <v>352.34628000000004</v>
      </c>
      <c r="E67" s="180">
        <f t="shared" si="11"/>
        <v>0</v>
      </c>
      <c r="F67" s="180">
        <f t="shared" si="14"/>
        <v>524.7436800000005</v>
      </c>
      <c r="G67" s="180">
        <f t="shared" si="11"/>
        <v>-251.32392000000002</v>
      </c>
      <c r="H67" s="180">
        <f t="shared" si="11"/>
        <v>0</v>
      </c>
      <c r="I67" s="180">
        <f t="shared" si="12"/>
        <v>145.37363999999999</v>
      </c>
      <c r="J67" s="180">
        <f>SUM(C67:I67)</f>
        <v>896.80164000000059</v>
      </c>
      <c r="M67" s="180"/>
    </row>
    <row r="68" spans="1:13">
      <c r="A68" s="195" t="s">
        <v>153</v>
      </c>
      <c r="C68" s="180">
        <f t="shared" ref="C68:E68" si="15">($H9+$H10)*C53</f>
        <v>0</v>
      </c>
      <c r="D68" s="180">
        <f t="shared" si="15"/>
        <v>0</v>
      </c>
      <c r="E68" s="180">
        <f t="shared" si="15"/>
        <v>0</v>
      </c>
      <c r="F68" s="180">
        <f t="shared" si="14"/>
        <v>-5615.0999599999996</v>
      </c>
      <c r="G68" s="180">
        <f>($H9)*G53+$H10-G54</f>
        <v>-2089.33952</v>
      </c>
      <c r="H68" s="180">
        <f t="shared" ref="H68" si="16">($H9)*H53+$H10-H54</f>
        <v>0</v>
      </c>
      <c r="I68" s="180">
        <f>($H9)*I53+$H10-I54</f>
        <v>1860.8185799999999</v>
      </c>
      <c r="J68" s="180">
        <f t="shared" si="13"/>
        <v>-5843.620899999999</v>
      </c>
      <c r="M68" s="180"/>
    </row>
    <row r="69" spans="1:13">
      <c r="A69" s="195" t="s">
        <v>205</v>
      </c>
      <c r="C69" s="180">
        <f t="shared" ref="C69:H71" si="17">$H11*C55</f>
        <v>0</v>
      </c>
      <c r="D69" s="180">
        <f t="shared" si="17"/>
        <v>0</v>
      </c>
      <c r="E69" s="180">
        <f t="shared" si="17"/>
        <v>0</v>
      </c>
      <c r="F69" s="180">
        <f t="shared" si="14"/>
        <v>0</v>
      </c>
      <c r="G69" s="180">
        <f t="shared" si="17"/>
        <v>0</v>
      </c>
      <c r="H69" s="180">
        <f t="shared" si="17"/>
        <v>0</v>
      </c>
      <c r="I69" s="180">
        <f>$H11*I55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7"/>
        <v>0</v>
      </c>
      <c r="D70" s="180">
        <f t="shared" si="17"/>
        <v>-1212.3554300000001</v>
      </c>
      <c r="E70" s="180">
        <f t="shared" si="17"/>
        <v>0</v>
      </c>
      <c r="F70" s="180">
        <f t="shared" si="14"/>
        <v>0</v>
      </c>
      <c r="G70" s="180">
        <f>$H12*G56</f>
        <v>754.54288999999994</v>
      </c>
      <c r="H70" s="180">
        <f t="shared" ref="H70" si="18">$H12*H56</f>
        <v>0</v>
      </c>
      <c r="I70" s="180">
        <f>$H12*I56</f>
        <v>-517.15860999999995</v>
      </c>
      <c r="J70" s="180">
        <f t="shared" si="13"/>
        <v>-974.97115000000008</v>
      </c>
      <c r="M70" s="180"/>
    </row>
    <row r="71" spans="1:13">
      <c r="A71" s="195" t="s">
        <v>155</v>
      </c>
      <c r="C71" s="180">
        <f t="shared" si="17"/>
        <v>148.36461</v>
      </c>
      <c r="D71" s="180">
        <f t="shared" si="17"/>
        <v>416.00273000000004</v>
      </c>
      <c r="E71" s="180">
        <f t="shared" si="17"/>
        <v>0</v>
      </c>
      <c r="F71" s="180">
        <f t="shared" si="14"/>
        <v>11044.682209999995</v>
      </c>
      <c r="G71" s="180">
        <f t="shared" si="17"/>
        <v>-258.91078999999996</v>
      </c>
      <c r="H71" s="180">
        <f t="shared" ref="H71" si="19">$H13*H57</f>
        <v>0</v>
      </c>
      <c r="I71" s="180">
        <f>$H13*I57</f>
        <v>177.45570999999998</v>
      </c>
      <c r="J71" s="180">
        <f t="shared" si="13"/>
        <v>11527.594469999996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 t="shared" si="14"/>
        <v>-364.8001099999999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-364.8001099999999</v>
      </c>
      <c r="M72" s="180"/>
    </row>
    <row r="73" spans="1:13">
      <c r="A73" s="169"/>
      <c r="C73" s="222">
        <f>SUM(C62:C72)</f>
        <v>12898.155000000001</v>
      </c>
      <c r="D73" s="222">
        <f>SUM(D62:D72)</f>
        <v>-35399.836540000004</v>
      </c>
      <c r="E73" s="222">
        <f t="shared" ref="E73:J73" si="20">SUM(E62:E72)</f>
        <v>1477.2120300000001</v>
      </c>
      <c r="F73" s="222">
        <f t="shared" si="20"/>
        <v>34545.117339999953</v>
      </c>
      <c r="G73" s="222">
        <f t="shared" si="20"/>
        <v>-48730.304310000014</v>
      </c>
      <c r="H73" s="222">
        <f t="shared" si="20"/>
        <v>0</v>
      </c>
      <c r="I73" s="222">
        <f t="shared" si="20"/>
        <v>27644.4542</v>
      </c>
      <c r="J73" s="222">
        <f t="shared" si="20"/>
        <v>-7565.2022800000595</v>
      </c>
    </row>
    <row r="74" spans="1:13" ht="15.75" customHeight="1"/>
    <row r="75" spans="1:13">
      <c r="A75" s="164" t="s">
        <v>19</v>
      </c>
      <c r="B75" s="164"/>
      <c r="C75" s="180">
        <f>C62+C63</f>
        <v>12482.985930000001</v>
      </c>
      <c r="D75" s="180">
        <f>D62+D63</f>
        <v>-64373.04509</v>
      </c>
      <c r="E75" s="180">
        <f t="shared" ref="E75:J75" si="21">E62+E63</f>
        <v>1477.2120300000001</v>
      </c>
      <c r="F75" s="180">
        <f t="shared" si="21"/>
        <v>11842.678359999953</v>
      </c>
      <c r="G75" s="180">
        <f t="shared" si="21"/>
        <v>-23742.149710000002</v>
      </c>
      <c r="H75" s="180">
        <f t="shared" si="21"/>
        <v>0</v>
      </c>
      <c r="I75" s="180">
        <f t="shared" si="21"/>
        <v>13951.57251</v>
      </c>
      <c r="J75" s="180">
        <f t="shared" si="21"/>
        <v>-48360.745970000055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415.16907000000003</v>
      </c>
      <c r="D77" s="190">
        <f>SUM(D64:D67,D69:D71)</f>
        <v>28973.208550000003</v>
      </c>
      <c r="E77" s="190">
        <f t="shared" ref="E77:J77" si="22">SUM(E64:E67,E69:E71)</f>
        <v>0</v>
      </c>
      <c r="F77" s="190">
        <f t="shared" si="22"/>
        <v>28682.339049999995</v>
      </c>
      <c r="G77" s="190">
        <f t="shared" si="22"/>
        <v>-22898.81508</v>
      </c>
      <c r="H77" s="190">
        <f t="shared" si="22"/>
        <v>0</v>
      </c>
      <c r="I77" s="190">
        <f t="shared" si="22"/>
        <v>11832.063109999999</v>
      </c>
      <c r="J77" s="190">
        <f t="shared" si="22"/>
        <v>47003.964699999997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7" right="0.7" top="0.5" bottom="0.5" header="0.3" footer="0.3"/>
  <pageSetup scale="80" fitToHeight="3" orientation="landscape" r:id="rId1"/>
  <headerFooter>
    <oddFooter>&amp;L&amp;F / 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M79"/>
  <sheetViews>
    <sheetView workbookViewId="0">
      <selection activeCell="I9" sqref="I9:I10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211954</v>
      </c>
      <c r="D3" s="224"/>
      <c r="E3" s="197">
        <v>201741815.38</v>
      </c>
      <c r="F3" s="197">
        <v>-112837401</v>
      </c>
      <c r="G3" s="197">
        <v>116885343</v>
      </c>
      <c r="H3" s="218">
        <f>SUM(F3:G3)</f>
        <v>4047942</v>
      </c>
      <c r="I3" s="171">
        <f>E3+H3</f>
        <v>205789757.38</v>
      </c>
    </row>
    <row r="4" spans="1:9">
      <c r="A4" s="195" t="s">
        <v>203</v>
      </c>
      <c r="B4" s="164"/>
      <c r="C4" s="170">
        <v>457</v>
      </c>
      <c r="D4" s="224"/>
      <c r="E4" s="197">
        <v>384481</v>
      </c>
      <c r="F4" s="197">
        <v>-240153</v>
      </c>
      <c r="G4" s="197">
        <v>238611</v>
      </c>
      <c r="H4" s="218">
        <f t="shared" ref="H4:H16" si="0">SUM(F4:G4)</f>
        <v>-1542</v>
      </c>
      <c r="I4" s="171">
        <f t="shared" ref="I4:I16" si="1">E4+H4</f>
        <v>382939</v>
      </c>
    </row>
    <row r="5" spans="1:9">
      <c r="A5" s="195" t="s">
        <v>149</v>
      </c>
      <c r="B5" s="164"/>
      <c r="C5" s="170">
        <v>22604</v>
      </c>
      <c r="D5" s="224"/>
      <c r="E5" s="197">
        <v>50932447</v>
      </c>
      <c r="F5" s="197">
        <v>-29332921</v>
      </c>
      <c r="G5" s="197">
        <v>29451425</v>
      </c>
      <c r="H5" s="218">
        <f t="shared" si="0"/>
        <v>118504</v>
      </c>
      <c r="I5" s="171">
        <f t="shared" si="1"/>
        <v>51050951</v>
      </c>
    </row>
    <row r="6" spans="1:9">
      <c r="A6" s="195" t="s">
        <v>150</v>
      </c>
      <c r="B6" s="164"/>
      <c r="C6" s="170">
        <v>9192</v>
      </c>
      <c r="D6" s="224"/>
      <c r="E6" s="197">
        <v>4117866.62</v>
      </c>
      <c r="F6" s="197">
        <v>-2435833</v>
      </c>
      <c r="G6" s="197">
        <v>2386111</v>
      </c>
      <c r="H6" s="218">
        <f t="shared" si="0"/>
        <v>-49722</v>
      </c>
      <c r="I6" s="171">
        <f t="shared" si="1"/>
        <v>4068144.62</v>
      </c>
    </row>
    <row r="7" spans="1:9">
      <c r="A7" s="195" t="s">
        <v>151</v>
      </c>
      <c r="B7" s="164"/>
      <c r="C7" s="170">
        <v>1855</v>
      </c>
      <c r="D7" s="224"/>
      <c r="E7" s="197">
        <v>122328601</v>
      </c>
      <c r="F7" s="197">
        <v>-74824680</v>
      </c>
      <c r="G7" s="197">
        <v>70560706</v>
      </c>
      <c r="H7" s="218">
        <f t="shared" si="0"/>
        <v>-4263974</v>
      </c>
      <c r="I7" s="171">
        <f t="shared" si="1"/>
        <v>118064627</v>
      </c>
    </row>
    <row r="8" spans="1:9">
      <c r="A8" s="195" t="s">
        <v>152</v>
      </c>
      <c r="B8" s="164"/>
      <c r="C8" s="170">
        <v>49</v>
      </c>
      <c r="D8" s="224"/>
      <c r="E8" s="197">
        <v>2663360</v>
      </c>
      <c r="F8" s="197">
        <v>-1509530</v>
      </c>
      <c r="G8" s="197">
        <v>1533928</v>
      </c>
      <c r="H8" s="218">
        <f t="shared" si="0"/>
        <v>24398</v>
      </c>
      <c r="I8" s="171">
        <f t="shared" si="1"/>
        <v>2687758</v>
      </c>
    </row>
    <row r="9" spans="1:9">
      <c r="A9" s="195" t="s">
        <v>153</v>
      </c>
      <c r="B9" s="164"/>
      <c r="C9" s="170">
        <v>21</v>
      </c>
      <c r="D9" s="224"/>
      <c r="E9" s="197">
        <f>99581907-E10</f>
        <v>62912730</v>
      </c>
      <c r="F9" s="197">
        <v>-2505893</v>
      </c>
      <c r="G9" s="197">
        <v>3264593</v>
      </c>
      <c r="H9" s="218">
        <f t="shared" si="0"/>
        <v>758700</v>
      </c>
      <c r="I9" s="171">
        <f t="shared" si="1"/>
        <v>63671430</v>
      </c>
    </row>
    <row r="10" spans="1:9">
      <c r="A10" s="195" t="s">
        <v>204</v>
      </c>
      <c r="B10" s="164"/>
      <c r="C10" s="170"/>
      <c r="D10" s="224"/>
      <c r="E10" s="197">
        <v>36669177</v>
      </c>
      <c r="F10" s="197">
        <v>0</v>
      </c>
      <c r="G10" s="197">
        <v>0</v>
      </c>
      <c r="H10" s="218">
        <f t="shared" si="0"/>
        <v>0</v>
      </c>
      <c r="I10" s="171">
        <f t="shared" si="1"/>
        <v>36669177</v>
      </c>
    </row>
    <row r="11" spans="1:9">
      <c r="A11" s="195" t="s">
        <v>205</v>
      </c>
      <c r="B11" s="164"/>
      <c r="C11" s="170">
        <v>48</v>
      </c>
      <c r="D11" s="224"/>
      <c r="E11" s="197">
        <v>6156300</v>
      </c>
      <c r="F11" s="197">
        <v>0</v>
      </c>
      <c r="G11" s="197">
        <v>0</v>
      </c>
      <c r="H11" s="218">
        <f t="shared" si="0"/>
        <v>0</v>
      </c>
      <c r="I11" s="171">
        <f t="shared" si="1"/>
        <v>6156300</v>
      </c>
    </row>
    <row r="12" spans="1:9">
      <c r="A12" s="195" t="s">
        <v>154</v>
      </c>
      <c r="B12" s="164"/>
      <c r="C12" s="170">
        <v>1225</v>
      </c>
      <c r="D12" s="224"/>
      <c r="E12" s="197">
        <v>22505044.5</v>
      </c>
      <c r="F12" s="197">
        <v>-7170269</v>
      </c>
      <c r="G12" s="197">
        <v>10192101</v>
      </c>
      <c r="H12" s="218">
        <f t="shared" si="0"/>
        <v>3021832</v>
      </c>
      <c r="I12" s="171">
        <f t="shared" si="1"/>
        <v>25526876.5</v>
      </c>
    </row>
    <row r="13" spans="1:9">
      <c r="A13" s="195" t="s">
        <v>155</v>
      </c>
      <c r="B13" s="164"/>
      <c r="C13" s="170">
        <v>1215</v>
      </c>
      <c r="D13" s="224"/>
      <c r="E13" s="197">
        <v>1933060</v>
      </c>
      <c r="F13" s="197">
        <v>-686150</v>
      </c>
      <c r="G13" s="197">
        <v>784008</v>
      </c>
      <c r="H13" s="218">
        <f t="shared" si="0"/>
        <v>97858</v>
      </c>
      <c r="I13" s="171">
        <f t="shared" si="1"/>
        <v>2030918</v>
      </c>
    </row>
    <row r="14" spans="1:9">
      <c r="A14" s="195" t="s">
        <v>206</v>
      </c>
      <c r="B14" s="164"/>
      <c r="C14" s="170">
        <v>423</v>
      </c>
      <c r="D14" s="224"/>
      <c r="E14" s="197">
        <v>966303.69</v>
      </c>
      <c r="F14" s="197"/>
      <c r="G14" s="197"/>
      <c r="H14" s="218"/>
      <c r="I14" s="171">
        <f t="shared" si="1"/>
        <v>966303.69</v>
      </c>
    </row>
    <row r="15" spans="1:9">
      <c r="A15" s="195" t="s">
        <v>207</v>
      </c>
      <c r="B15" s="164"/>
      <c r="C15" s="170"/>
      <c r="D15" s="224"/>
      <c r="E15" s="197">
        <v>420172.51214000001</v>
      </c>
      <c r="F15" s="197"/>
      <c r="G15" s="197"/>
      <c r="H15" s="218">
        <f t="shared" si="0"/>
        <v>0</v>
      </c>
      <c r="I15" s="171">
        <f t="shared" si="1"/>
        <v>420172.51214000001</v>
      </c>
    </row>
    <row r="16" spans="1:9">
      <c r="A16" s="195" t="s">
        <v>208</v>
      </c>
      <c r="B16" s="164"/>
      <c r="C16" s="170"/>
      <c r="D16" s="225"/>
      <c r="E16" s="197">
        <v>221982.59748999999</v>
      </c>
      <c r="F16" s="197"/>
      <c r="G16" s="197"/>
      <c r="H16" s="218">
        <f t="shared" si="0"/>
        <v>0</v>
      </c>
      <c r="I16" s="171">
        <f t="shared" si="1"/>
        <v>221982.59748999999</v>
      </c>
    </row>
    <row r="17" spans="1:9">
      <c r="A17" s="164"/>
      <c r="B17" s="164"/>
      <c r="C17" s="172">
        <f>SUM(C3:C16)</f>
        <v>249043</v>
      </c>
      <c r="E17" s="172">
        <f t="shared" ref="E17:I17" si="2">SUM(E3:E16)</f>
        <v>513953341.29962999</v>
      </c>
      <c r="F17" s="172">
        <f t="shared" si="2"/>
        <v>-231542830</v>
      </c>
      <c r="G17" s="172">
        <f t="shared" si="2"/>
        <v>235296826</v>
      </c>
      <c r="H17" s="172">
        <f t="shared" si="2"/>
        <v>3753996</v>
      </c>
      <c r="I17" s="172">
        <f t="shared" si="2"/>
        <v>517707337.29962999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212411</v>
      </c>
      <c r="E19" s="174">
        <f>E3+E4</f>
        <v>202126296.38</v>
      </c>
      <c r="F19" s="174">
        <f t="shared" ref="F19:H19" si="3">F3+F4</f>
        <v>-113077554</v>
      </c>
      <c r="G19" s="174">
        <f t="shared" si="3"/>
        <v>117123954</v>
      </c>
      <c r="H19" s="174">
        <f t="shared" si="3"/>
        <v>4046400</v>
      </c>
      <c r="I19" s="173">
        <f>I3+I4</f>
        <v>206172696.38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36188</v>
      </c>
      <c r="E21" s="192">
        <f>SUM(E5:E8,E11:E13)</f>
        <v>210636679.12</v>
      </c>
      <c r="F21" s="192">
        <f t="shared" ref="F21:H21" si="4">SUM(F5:F8,F11:F13)</f>
        <v>-115959383</v>
      </c>
      <c r="G21" s="192">
        <f t="shared" si="4"/>
        <v>114908279</v>
      </c>
      <c r="H21" s="192">
        <f t="shared" si="4"/>
        <v>-1051104</v>
      </c>
      <c r="I21" s="191">
        <f>SUM(I5:I8,I11:I13)</f>
        <v>209585575.12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1865070</v>
      </c>
      <c r="D24" s="196">
        <v>17882900.34</v>
      </c>
      <c r="E24" s="198">
        <v>-10570245</v>
      </c>
      <c r="F24" s="198">
        <v>10938749</v>
      </c>
      <c r="G24" s="188">
        <f>SUM(D24:F24)</f>
        <v>18251404.34</v>
      </c>
      <c r="H24" s="188">
        <f>-J62</f>
        <v>4017.8063400000028</v>
      </c>
      <c r="I24" s="188">
        <f>SUM(G24:H24)</f>
        <v>18255422.146340001</v>
      </c>
    </row>
    <row r="25" spans="1:9">
      <c r="A25" s="195" t="s">
        <v>203</v>
      </c>
      <c r="B25" s="164"/>
      <c r="C25" s="196">
        <v>3944</v>
      </c>
      <c r="D25" s="196">
        <v>33884.910000000003</v>
      </c>
      <c r="E25" s="198">
        <v>-15006</v>
      </c>
      <c r="F25" s="198">
        <v>14922</v>
      </c>
      <c r="G25" s="188">
        <f t="shared" ref="G25:G33" si="5">SUM(D25:F25)</f>
        <v>33800.910000000003</v>
      </c>
      <c r="H25" s="188">
        <f t="shared" ref="H25:H33" si="6">-J63</f>
        <v>12.140279999999969</v>
      </c>
      <c r="I25" s="188">
        <f t="shared" ref="I25:I34" si="7">SUM(G25:H25)</f>
        <v>33813.050280000003</v>
      </c>
    </row>
    <row r="26" spans="1:9">
      <c r="A26" s="195" t="s">
        <v>149</v>
      </c>
      <c r="B26" s="164"/>
      <c r="C26" s="196">
        <v>415135.39</v>
      </c>
      <c r="D26" s="196">
        <v>5845634.2699999996</v>
      </c>
      <c r="E26" s="198">
        <v>-3293779</v>
      </c>
      <c r="F26" s="198">
        <v>3354062</v>
      </c>
      <c r="G26" s="188">
        <f t="shared" si="5"/>
        <v>5905917.2699999996</v>
      </c>
      <c r="H26" s="188">
        <f t="shared" si="6"/>
        <v>5800.8462899999977</v>
      </c>
      <c r="I26" s="188">
        <f t="shared" si="7"/>
        <v>5911718.1162899993</v>
      </c>
    </row>
    <row r="27" spans="1:9">
      <c r="A27" s="195" t="s">
        <v>150</v>
      </c>
      <c r="B27" s="164"/>
      <c r="C27" s="196">
        <v>167691.41</v>
      </c>
      <c r="D27" s="196">
        <v>618745.70000000007</v>
      </c>
      <c r="E27" s="198">
        <v>-359086</v>
      </c>
      <c r="F27" s="198">
        <v>359417</v>
      </c>
      <c r="G27" s="188">
        <f t="shared" si="5"/>
        <v>619076.70000000007</v>
      </c>
      <c r="H27" s="188">
        <f t="shared" si="6"/>
        <v>636.82436999999982</v>
      </c>
      <c r="I27" s="188">
        <f t="shared" si="7"/>
        <v>619713.52437000012</v>
      </c>
    </row>
    <row r="28" spans="1:9">
      <c r="A28" s="195" t="s">
        <v>151</v>
      </c>
      <c r="B28" s="164"/>
      <c r="C28" s="196">
        <v>931735.99</v>
      </c>
      <c r="D28" s="196">
        <v>10949654.649999999</v>
      </c>
      <c r="E28" s="198">
        <v>-5864988</v>
      </c>
      <c r="F28" s="198">
        <v>5634784</v>
      </c>
      <c r="G28" s="188">
        <f t="shared" si="5"/>
        <v>10719450.649999999</v>
      </c>
      <c r="H28" s="188">
        <f t="shared" si="6"/>
        <v>24586.351419999995</v>
      </c>
      <c r="I28" s="188">
        <f t="shared" si="7"/>
        <v>10744037.001419999</v>
      </c>
    </row>
    <row r="29" spans="1:9">
      <c r="A29" s="195" t="s">
        <v>152</v>
      </c>
      <c r="B29" s="164"/>
      <c r="C29" s="196">
        <v>24500</v>
      </c>
      <c r="D29" s="196">
        <v>236195.20000000001</v>
      </c>
      <c r="E29" s="198">
        <v>-122268</v>
      </c>
      <c r="F29" s="198">
        <v>125763</v>
      </c>
      <c r="G29" s="188">
        <f t="shared" si="5"/>
        <v>239690.2</v>
      </c>
      <c r="H29" s="188">
        <f t="shared" si="6"/>
        <v>317.42633999999993</v>
      </c>
      <c r="I29" s="188">
        <f t="shared" si="7"/>
        <v>240007.62634000002</v>
      </c>
    </row>
    <row r="30" spans="1:9">
      <c r="A30" s="195" t="s">
        <v>153</v>
      </c>
      <c r="B30" s="164"/>
      <c r="C30" s="196">
        <v>441000</v>
      </c>
      <c r="D30" s="196">
        <f>5838739.96-84921.9</f>
        <v>5753818.0599999996</v>
      </c>
      <c r="E30" s="198">
        <v>-171369</v>
      </c>
      <c r="F30" s="198">
        <v>212684</v>
      </c>
      <c r="G30" s="188">
        <f t="shared" si="5"/>
        <v>5795133.0599999996</v>
      </c>
      <c r="H30" s="188">
        <f t="shared" si="6"/>
        <v>-781.71589000000006</v>
      </c>
      <c r="I30" s="188">
        <f t="shared" si="7"/>
        <v>5794351.3441099999</v>
      </c>
    </row>
    <row r="31" spans="1:9">
      <c r="A31" s="195" t="s">
        <v>205</v>
      </c>
      <c r="B31" s="164"/>
      <c r="C31" s="196">
        <v>882</v>
      </c>
      <c r="D31" s="196">
        <v>420828.27999999997</v>
      </c>
      <c r="E31" s="198">
        <v>0</v>
      </c>
      <c r="F31" s="198">
        <v>0</v>
      </c>
      <c r="G31" s="188">
        <f t="shared" si="5"/>
        <v>420828.27999999997</v>
      </c>
      <c r="H31" s="188">
        <f t="shared" si="6"/>
        <v>0</v>
      </c>
      <c r="I31" s="188">
        <f t="shared" si="7"/>
        <v>420828.27999999997</v>
      </c>
    </row>
    <row r="32" spans="1:9">
      <c r="A32" s="195" t="s">
        <v>154</v>
      </c>
      <c r="B32" s="164"/>
      <c r="C32" s="196">
        <v>22104</v>
      </c>
      <c r="D32" s="196">
        <v>1730458.1800000002</v>
      </c>
      <c r="E32" s="198">
        <v>-584471</v>
      </c>
      <c r="F32" s="198">
        <v>806426</v>
      </c>
      <c r="G32" s="188">
        <f t="shared" si="5"/>
        <v>1952413.1800000002</v>
      </c>
      <c r="H32" s="188">
        <f t="shared" si="6"/>
        <v>-3049.5236099999997</v>
      </c>
      <c r="I32" s="188">
        <f t="shared" si="7"/>
        <v>1949363.6563900001</v>
      </c>
    </row>
    <row r="33" spans="1:10">
      <c r="A33" s="195" t="s">
        <v>155</v>
      </c>
      <c r="B33" s="164"/>
      <c r="C33" s="196">
        <v>22104</v>
      </c>
      <c r="D33" s="196">
        <v>177706.39</v>
      </c>
      <c r="E33" s="198">
        <v>-65245</v>
      </c>
      <c r="F33" s="198">
        <v>72226</v>
      </c>
      <c r="G33" s="188">
        <f t="shared" si="5"/>
        <v>184687.39</v>
      </c>
      <c r="H33" s="188">
        <f t="shared" si="6"/>
        <v>37.403399999999976</v>
      </c>
      <c r="I33" s="188">
        <f t="shared" si="7"/>
        <v>184724.79340000002</v>
      </c>
    </row>
    <row r="34" spans="1:10">
      <c r="A34" s="195" t="s">
        <v>217</v>
      </c>
      <c r="B34" s="164"/>
      <c r="C34" s="188"/>
      <c r="D34" s="196">
        <v>549059.15</v>
      </c>
      <c r="E34" s="196"/>
      <c r="F34" s="196"/>
      <c r="G34" s="188">
        <f>SUM(D34:F34)</f>
        <v>549059.15</v>
      </c>
      <c r="H34" s="188"/>
      <c r="I34" s="188">
        <f t="shared" si="7"/>
        <v>549059.15</v>
      </c>
    </row>
    <row r="35" spans="1:10">
      <c r="A35" s="195" t="s">
        <v>218</v>
      </c>
      <c r="B35" s="164"/>
      <c r="C35" s="224"/>
      <c r="D35" s="196">
        <v>1831506.86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1718419.59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3894166.79</v>
      </c>
      <c r="D37" s="178">
        <f t="shared" ref="D37:I37" si="8">SUM(D24:D36)</f>
        <v>47748811.580000006</v>
      </c>
      <c r="E37" s="178">
        <f t="shared" si="8"/>
        <v>-21046457</v>
      </c>
      <c r="F37" s="178">
        <f t="shared" si="8"/>
        <v>21519033</v>
      </c>
      <c r="G37" s="178">
        <f t="shared" si="8"/>
        <v>44671461.130000003</v>
      </c>
      <c r="H37" s="178">
        <f t="shared" si="8"/>
        <v>31577.558939999995</v>
      </c>
      <c r="I37" s="178">
        <f t="shared" si="8"/>
        <v>44703038.688939989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1869014</v>
      </c>
      <c r="D39" s="180">
        <f t="shared" ref="D39:I39" si="9">D24+D25</f>
        <v>17916785.25</v>
      </c>
      <c r="E39" s="180">
        <f t="shared" si="9"/>
        <v>-10585251</v>
      </c>
      <c r="F39" s="180">
        <f t="shared" si="9"/>
        <v>10953671</v>
      </c>
      <c r="G39" s="180">
        <f t="shared" si="9"/>
        <v>18285205.25</v>
      </c>
      <c r="H39" s="180">
        <f t="shared" si="9"/>
        <v>4029.9466200000029</v>
      </c>
      <c r="I39" s="181">
        <f t="shared" si="9"/>
        <v>18289235.196620002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1584152.79</v>
      </c>
      <c r="D41" s="190">
        <f t="shared" ref="D41:I41" si="10">SUM(D26:D29,D31:D33)</f>
        <v>19979222.669999998</v>
      </c>
      <c r="E41" s="190">
        <f t="shared" si="10"/>
        <v>-10289837</v>
      </c>
      <c r="F41" s="190">
        <f t="shared" si="10"/>
        <v>10352678</v>
      </c>
      <c r="G41" s="190">
        <f t="shared" si="10"/>
        <v>20042063.669999998</v>
      </c>
      <c r="H41" s="190">
        <f t="shared" si="10"/>
        <v>28329.328209999992</v>
      </c>
      <c r="I41" s="189">
        <f t="shared" si="10"/>
        <v>20070392.998210002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42552</v>
      </c>
      <c r="J45" s="220">
        <v>42917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226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>
        <v>-5.6999999999999998E-4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>
        <v>-5.6999999999999998E-4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>
        <v>-5.6999999999999998E-4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>
        <v>-5.6999999999999998E-4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>
        <v>-5.9000000000000003E-4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>
        <v>-5.9000000000000003E-4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-3.4000000000000002E-4</v>
      </c>
      <c r="J53" s="184">
        <v>-5.6999999999999998E-4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-3.4000000000000002E-4</v>
      </c>
      <c r="J54" s="184">
        <v>-5.6999999999999998E-4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>
        <v>-6.0999999999999997E-4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>
        <v>-6.0999999999999997E-4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>
        <v>-6.0999999999999997E-4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199">
        <v>-3.6999999999999999E-4</v>
      </c>
      <c r="J58" s="202">
        <v>-6.4999999999999997E-4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199">
        <v>-3.6999999999999999E-4</v>
      </c>
      <c r="J59" s="202">
        <v>-6.4999999999999997E-4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23"/>
    </row>
    <row r="62" spans="1:13">
      <c r="A62" s="195" t="s">
        <v>148</v>
      </c>
      <c r="C62" s="180">
        <f t="shared" ref="C62:H67" si="11">$H3*C47</f>
        <v>-2064.4504200000001</v>
      </c>
      <c r="D62" s="180">
        <f t="shared" si="11"/>
        <v>10646.087460000001</v>
      </c>
      <c r="E62" s="180">
        <f t="shared" si="11"/>
        <v>0</v>
      </c>
      <c r="F62" s="180">
        <f t="shared" si="11"/>
        <v>10605.608039999999</v>
      </c>
      <c r="G62" s="180">
        <f t="shared" si="11"/>
        <v>3926.5037400000001</v>
      </c>
      <c r="H62" s="180">
        <f t="shared" si="11"/>
        <v>0</v>
      </c>
      <c r="I62" s="180">
        <f t="shared" ref="I62:I67" si="12">(I47*F3)+(J47*G3)</f>
        <v>-27131.555160000004</v>
      </c>
      <c r="J62" s="180">
        <f>SUM(C62:I62)</f>
        <v>-4017.8063400000028</v>
      </c>
      <c r="M62" s="180"/>
    </row>
    <row r="63" spans="1:13">
      <c r="A63" s="195" t="s">
        <v>203</v>
      </c>
      <c r="C63" s="180">
        <f t="shared" si="11"/>
        <v>0.78642000000000001</v>
      </c>
      <c r="D63" s="180">
        <f t="shared" si="11"/>
        <v>-4.0554600000000001</v>
      </c>
      <c r="E63" s="180">
        <f t="shared" si="11"/>
        <v>48.619260000000004</v>
      </c>
      <c r="F63" s="180">
        <f t="shared" si="11"/>
        <v>-4.0400400000000003</v>
      </c>
      <c r="G63" s="180">
        <f t="shared" si="11"/>
        <v>-1.4957400000000001</v>
      </c>
      <c r="H63" s="180">
        <f t="shared" si="11"/>
        <v>0</v>
      </c>
      <c r="I63" s="180">
        <f t="shared" si="12"/>
        <v>-51.95471999999998</v>
      </c>
      <c r="J63" s="180">
        <f t="shared" ref="J63:J72" si="13">SUM(C63:I63)</f>
        <v>-12.140279999999969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-169.46072000000001</v>
      </c>
      <c r="E64" s="180">
        <f t="shared" si="11"/>
        <v>0</v>
      </c>
      <c r="F64" s="180">
        <f t="shared" si="11"/>
        <v>428.98448000000002</v>
      </c>
      <c r="G64" s="180">
        <f t="shared" si="11"/>
        <v>167.09064000000001</v>
      </c>
      <c r="H64" s="180">
        <f t="shared" si="11"/>
        <v>0</v>
      </c>
      <c r="I64" s="180">
        <f t="shared" si="12"/>
        <v>-6227.4606899999981</v>
      </c>
      <c r="J64" s="180">
        <f t="shared" si="13"/>
        <v>-5800.8462899999977</v>
      </c>
      <c r="M64" s="180"/>
    </row>
    <row r="65" spans="1:13">
      <c r="A65" s="195" t="s">
        <v>150</v>
      </c>
      <c r="C65" s="180">
        <f t="shared" si="11"/>
        <v>25.358220000000003</v>
      </c>
      <c r="D65" s="180">
        <f t="shared" si="11"/>
        <v>71.102460000000008</v>
      </c>
      <c r="E65" s="180">
        <f t="shared" si="11"/>
        <v>0</v>
      </c>
      <c r="F65" s="180">
        <f t="shared" si="11"/>
        <v>-179.99364</v>
      </c>
      <c r="G65" s="180">
        <f t="shared" si="11"/>
        <v>-70.108019999999996</v>
      </c>
      <c r="H65" s="180">
        <f t="shared" si="11"/>
        <v>0</v>
      </c>
      <c r="I65" s="180">
        <f t="shared" si="12"/>
        <v>-483.1833899999998</v>
      </c>
      <c r="J65" s="180">
        <f t="shared" si="13"/>
        <v>-636.82436999999982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6097.4828200000002</v>
      </c>
      <c r="E66" s="180">
        <f t="shared" si="11"/>
        <v>0</v>
      </c>
      <c r="F66" s="180">
        <f t="shared" si="11"/>
        <v>-11640.649019999999</v>
      </c>
      <c r="G66" s="180">
        <f t="shared" si="11"/>
        <v>-4349.2534800000003</v>
      </c>
      <c r="H66" s="180">
        <f t="shared" si="11"/>
        <v>0</v>
      </c>
      <c r="I66" s="180">
        <f t="shared" si="12"/>
        <v>-14693.931739999996</v>
      </c>
      <c r="J66" s="180">
        <f t="shared" si="13"/>
        <v>-24586.351419999995</v>
      </c>
      <c r="M66" s="180"/>
    </row>
    <row r="67" spans="1:13">
      <c r="A67" s="195" t="s">
        <v>152</v>
      </c>
      <c r="C67" s="180">
        <f t="shared" si="11"/>
        <v>-12.44298</v>
      </c>
      <c r="D67" s="180">
        <f t="shared" si="11"/>
        <v>-34.889140000000005</v>
      </c>
      <c r="E67" s="180">
        <f t="shared" si="11"/>
        <v>0</v>
      </c>
      <c r="F67" s="180">
        <f t="shared" si="11"/>
        <v>66.606539999999995</v>
      </c>
      <c r="G67" s="180">
        <f t="shared" si="11"/>
        <v>24.885960000000001</v>
      </c>
      <c r="H67" s="180">
        <f t="shared" si="11"/>
        <v>0</v>
      </c>
      <c r="I67" s="180">
        <f t="shared" si="12"/>
        <v>-361.5867199999999</v>
      </c>
      <c r="J67" s="180">
        <f t="shared" si="13"/>
        <v>-317.42633999999993</v>
      </c>
      <c r="M67" s="180"/>
    </row>
    <row r="68" spans="1:13">
      <c r="A68" s="195" t="s">
        <v>153</v>
      </c>
      <c r="C68" s="180">
        <f t="shared" ref="C68:H68" si="14">($H9+$H10)*C53</f>
        <v>0</v>
      </c>
      <c r="D68" s="180">
        <f t="shared" si="14"/>
        <v>0</v>
      </c>
      <c r="E68" s="180">
        <f t="shared" si="14"/>
        <v>0</v>
      </c>
      <c r="F68" s="180">
        <f>($H9)*F53+$H10-F54</f>
        <v>1304.96228</v>
      </c>
      <c r="G68" s="180">
        <f>($H9)*G53+$H10-G54</f>
        <v>485.56800000000004</v>
      </c>
      <c r="H68" s="180">
        <f t="shared" si="14"/>
        <v>0</v>
      </c>
      <c r="I68" s="180">
        <f>(I53*F9)+(J53*G9)+I54*F10+J54*G10</f>
        <v>-1008.8143899999999</v>
      </c>
      <c r="J68" s="180">
        <f t="shared" si="13"/>
        <v>781.71589000000006</v>
      </c>
      <c r="M68" s="180"/>
    </row>
    <row r="69" spans="1:13">
      <c r="A69" s="195" t="s">
        <v>205</v>
      </c>
      <c r="C69" s="180">
        <f t="shared" ref="C69:H71" si="15">$H11*C55</f>
        <v>0</v>
      </c>
      <c r="D69" s="180">
        <f t="shared" si="15"/>
        <v>0</v>
      </c>
      <c r="E69" s="180">
        <f t="shared" si="15"/>
        <v>0</v>
      </c>
      <c r="F69" s="180">
        <f t="shared" si="15"/>
        <v>0</v>
      </c>
      <c r="G69" s="180">
        <f t="shared" si="15"/>
        <v>0</v>
      </c>
      <c r="H69" s="180">
        <f t="shared" si="15"/>
        <v>0</v>
      </c>
      <c r="I69" s="180">
        <f>(I55*F11)+(J55*G11)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5"/>
        <v>0</v>
      </c>
      <c r="D70" s="180">
        <f t="shared" si="15"/>
        <v>-4321.21976</v>
      </c>
      <c r="E70" s="180">
        <f t="shared" si="15"/>
        <v>0</v>
      </c>
      <c r="F70" s="180">
        <f t="shared" si="15"/>
        <v>7886.9815199999994</v>
      </c>
      <c r="G70" s="180">
        <f t="shared" si="15"/>
        <v>2689.43048</v>
      </c>
      <c r="H70" s="180">
        <f t="shared" si="15"/>
        <v>0</v>
      </c>
      <c r="I70" s="180">
        <f>(I56*F12)+(J56*G12)</f>
        <v>-3205.6686299999997</v>
      </c>
      <c r="J70" s="180">
        <f t="shared" si="13"/>
        <v>3049.5236099999997</v>
      </c>
      <c r="M70" s="180"/>
    </row>
    <row r="71" spans="1:13">
      <c r="A71" s="195" t="s">
        <v>155</v>
      </c>
      <c r="C71" s="180">
        <f t="shared" si="15"/>
        <v>-49.907580000000003</v>
      </c>
      <c r="D71" s="180">
        <f t="shared" si="15"/>
        <v>-139.93693999999999</v>
      </c>
      <c r="E71" s="180">
        <f t="shared" si="15"/>
        <v>0</v>
      </c>
      <c r="F71" s="180">
        <f t="shared" si="15"/>
        <v>255.40938</v>
      </c>
      <c r="G71" s="180">
        <f t="shared" si="15"/>
        <v>87.093620000000001</v>
      </c>
      <c r="H71" s="180">
        <f t="shared" si="15"/>
        <v>0</v>
      </c>
      <c r="I71" s="180">
        <f>(I57*F13)+(J57*G13)</f>
        <v>-190.06187999999997</v>
      </c>
      <c r="J71" s="180">
        <f t="shared" si="13"/>
        <v>-37.403399999999976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($H14+$H15)*F58</f>
        <v>0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0</v>
      </c>
      <c r="M72" s="180"/>
    </row>
    <row r="73" spans="1:13">
      <c r="A73" s="169"/>
      <c r="C73" s="222">
        <f>SUM(C62:C72)</f>
        <v>-2100.65634</v>
      </c>
      <c r="D73" s="222">
        <f>SUM(D62:D72)</f>
        <v>12145.110720000004</v>
      </c>
      <c r="E73" s="222">
        <f t="shared" ref="E73:J73" si="16">SUM(E62:E72)</f>
        <v>48.619260000000004</v>
      </c>
      <c r="F73" s="222">
        <f t="shared" si="16"/>
        <v>8723.8695399999979</v>
      </c>
      <c r="G73" s="222">
        <f t="shared" si="16"/>
        <v>2959.7152000000001</v>
      </c>
      <c r="H73" s="222">
        <f t="shared" si="16"/>
        <v>0</v>
      </c>
      <c r="I73" s="222">
        <f t="shared" si="16"/>
        <v>-53354.217319999996</v>
      </c>
      <c r="J73" s="222">
        <f t="shared" si="16"/>
        <v>-31577.558939999995</v>
      </c>
    </row>
    <row r="74" spans="1:13" ht="15.75" customHeight="1"/>
    <row r="75" spans="1:13">
      <c r="A75" s="164" t="s">
        <v>19</v>
      </c>
      <c r="B75" s="164"/>
      <c r="C75" s="180">
        <f>C62+C63</f>
        <v>-2063.6640000000002</v>
      </c>
      <c r="D75" s="180">
        <f>D62+D63</f>
        <v>10642.032000000001</v>
      </c>
      <c r="E75" s="180">
        <f t="shared" ref="E75:J75" si="17">E62+E63</f>
        <v>48.619260000000004</v>
      </c>
      <c r="F75" s="180">
        <f t="shared" si="17"/>
        <v>10601.567999999999</v>
      </c>
      <c r="G75" s="180">
        <f t="shared" si="17"/>
        <v>3925.0080000000003</v>
      </c>
      <c r="H75" s="180">
        <f t="shared" si="17"/>
        <v>0</v>
      </c>
      <c r="I75" s="180">
        <f t="shared" si="17"/>
        <v>-27183.509880000005</v>
      </c>
      <c r="J75" s="180">
        <f t="shared" si="17"/>
        <v>-4029.9466200000029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-36.992339999999999</v>
      </c>
      <c r="D77" s="190">
        <f>SUM(D64:D67,D69:D71)</f>
        <v>1503.07872</v>
      </c>
      <c r="E77" s="190">
        <f t="shared" ref="E77:J77" si="18">SUM(E64:E67,E69:E71)</f>
        <v>0</v>
      </c>
      <c r="F77" s="190">
        <f t="shared" si="18"/>
        <v>-3182.6607399999984</v>
      </c>
      <c r="G77" s="190">
        <f t="shared" si="18"/>
        <v>-1450.8608000000008</v>
      </c>
      <c r="H77" s="190">
        <f t="shared" si="18"/>
        <v>0</v>
      </c>
      <c r="I77" s="190">
        <f t="shared" si="18"/>
        <v>-25161.893049999995</v>
      </c>
      <c r="J77" s="190">
        <f t="shared" si="18"/>
        <v>-28329.328209999992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45" right="0.45" top="0.5" bottom="0.5" header="0.3" footer="0.3"/>
  <pageSetup scale="84" fitToHeight="2" orientation="landscape" r:id="rId1"/>
  <headerFooter>
    <oddFooter>&amp;L&amp;F / 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M79"/>
  <sheetViews>
    <sheetView zoomScaleNormal="100" workbookViewId="0">
      <selection sqref="A1:XFD1048576"/>
    </sheetView>
  </sheetViews>
  <sheetFormatPr defaultColWidth="9.109375" defaultRowHeight="13.8"/>
  <cols>
    <col min="1" max="1" width="14.6640625" style="1" customWidth="1"/>
    <col min="2" max="2" width="9.109375" style="1"/>
    <col min="3" max="3" width="16.6640625" style="1" customWidth="1"/>
    <col min="4" max="4" width="20.44140625" style="1" customWidth="1"/>
    <col min="5" max="5" width="15.33203125" style="1" customWidth="1"/>
    <col min="6" max="6" width="14.88671875" style="1" customWidth="1"/>
    <col min="7" max="7" width="15.44140625" style="1" customWidth="1"/>
    <col min="8" max="8" width="14.44140625" style="1" customWidth="1"/>
    <col min="9" max="9" width="14.88671875" style="1" customWidth="1"/>
    <col min="10" max="10" width="16.5546875" style="1" customWidth="1"/>
    <col min="11" max="11" width="9.109375" style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210972</v>
      </c>
      <c r="D3" s="224"/>
      <c r="E3" s="197">
        <v>174131932</v>
      </c>
      <c r="F3" s="197">
        <v>-91625501</v>
      </c>
      <c r="G3" s="197">
        <v>112837401</v>
      </c>
      <c r="H3" s="218">
        <f>SUM(F3:G3)</f>
        <v>21211900</v>
      </c>
      <c r="I3" s="171">
        <f>E3+H3</f>
        <v>195343832</v>
      </c>
    </row>
    <row r="4" spans="1:9">
      <c r="A4" s="195" t="s">
        <v>203</v>
      </c>
      <c r="B4" s="164"/>
      <c r="C4" s="170">
        <v>467</v>
      </c>
      <c r="D4" s="224"/>
      <c r="E4" s="197">
        <v>362113</v>
      </c>
      <c r="F4" s="197">
        <v>-199806</v>
      </c>
      <c r="G4" s="197">
        <v>240153</v>
      </c>
      <c r="H4" s="218">
        <f t="shared" ref="H4:H16" si="0">SUM(F4:G4)</f>
        <v>40347</v>
      </c>
      <c r="I4" s="171">
        <f t="shared" ref="I4:I16" si="1">E4+H4</f>
        <v>402460</v>
      </c>
    </row>
    <row r="5" spans="1:9">
      <c r="A5" s="195" t="s">
        <v>149</v>
      </c>
      <c r="B5" s="164"/>
      <c r="C5" s="170">
        <v>22403</v>
      </c>
      <c r="D5" s="224"/>
      <c r="E5" s="197">
        <v>45371093</v>
      </c>
      <c r="F5" s="197">
        <v>-25518130</v>
      </c>
      <c r="G5" s="197">
        <v>29332921</v>
      </c>
      <c r="H5" s="218">
        <f t="shared" si="0"/>
        <v>3814791</v>
      </c>
      <c r="I5" s="171">
        <f t="shared" si="1"/>
        <v>49185884</v>
      </c>
    </row>
    <row r="6" spans="1:9">
      <c r="A6" s="195" t="s">
        <v>150</v>
      </c>
      <c r="B6" s="164"/>
      <c r="C6" s="170">
        <v>9169</v>
      </c>
      <c r="D6" s="224"/>
      <c r="E6" s="197">
        <v>3754725</v>
      </c>
      <c r="F6" s="197">
        <v>-2226414</v>
      </c>
      <c r="G6" s="197">
        <v>2435833</v>
      </c>
      <c r="H6" s="218">
        <f t="shared" si="0"/>
        <v>209419</v>
      </c>
      <c r="I6" s="171">
        <f t="shared" si="1"/>
        <v>3964144</v>
      </c>
    </row>
    <row r="7" spans="1:9">
      <c r="A7" s="195" t="s">
        <v>151</v>
      </c>
      <c r="B7" s="164"/>
      <c r="C7" s="170">
        <v>1844</v>
      </c>
      <c r="D7" s="224"/>
      <c r="E7" s="197">
        <v>116100650</v>
      </c>
      <c r="F7" s="197">
        <v>-66906597</v>
      </c>
      <c r="G7" s="197">
        <v>74824680</v>
      </c>
      <c r="H7" s="218">
        <f t="shared" si="0"/>
        <v>7918083</v>
      </c>
      <c r="I7" s="171">
        <f t="shared" si="1"/>
        <v>124018733</v>
      </c>
    </row>
    <row r="8" spans="1:9">
      <c r="A8" s="195" t="s">
        <v>152</v>
      </c>
      <c r="B8" s="164"/>
      <c r="C8" s="170">
        <v>49</v>
      </c>
      <c r="D8" s="224"/>
      <c r="E8" s="197">
        <v>2316740</v>
      </c>
      <c r="F8" s="197">
        <v>-1313013</v>
      </c>
      <c r="G8" s="197">
        <v>1509530</v>
      </c>
      <c r="H8" s="218">
        <f t="shared" si="0"/>
        <v>196517</v>
      </c>
      <c r="I8" s="171">
        <f t="shared" si="1"/>
        <v>2513257</v>
      </c>
    </row>
    <row r="9" spans="1:9">
      <c r="A9" s="195" t="s">
        <v>153</v>
      </c>
      <c r="B9" s="164"/>
      <c r="C9" s="170">
        <v>21</v>
      </c>
      <c r="D9" s="224"/>
      <c r="E9" s="197">
        <f>97339724-E10</f>
        <v>60894697</v>
      </c>
      <c r="F9" s="197">
        <v>0</v>
      </c>
      <c r="G9" s="197">
        <v>2505893</v>
      </c>
      <c r="H9" s="218">
        <f t="shared" si="0"/>
        <v>2505893</v>
      </c>
      <c r="I9" s="171">
        <f t="shared" si="1"/>
        <v>63400590</v>
      </c>
    </row>
    <row r="10" spans="1:9">
      <c r="A10" s="195" t="s">
        <v>204</v>
      </c>
      <c r="B10" s="164"/>
      <c r="C10" s="170"/>
      <c r="D10" s="224"/>
      <c r="E10" s="197">
        <v>36445027</v>
      </c>
      <c r="F10" s="197">
        <v>0</v>
      </c>
      <c r="G10" s="197">
        <v>0</v>
      </c>
      <c r="H10" s="218">
        <f t="shared" si="0"/>
        <v>0</v>
      </c>
      <c r="I10" s="171">
        <f t="shared" si="1"/>
        <v>36445027</v>
      </c>
    </row>
    <row r="11" spans="1:9">
      <c r="A11" s="195" t="s">
        <v>205</v>
      </c>
      <c r="B11" s="164"/>
      <c r="C11" s="170">
        <v>47</v>
      </c>
      <c r="D11" s="224"/>
      <c r="E11" s="197">
        <v>6298940</v>
      </c>
      <c r="F11" s="197">
        <v>0</v>
      </c>
      <c r="G11" s="197">
        <v>0</v>
      </c>
      <c r="H11" s="218">
        <f t="shared" si="0"/>
        <v>0</v>
      </c>
      <c r="I11" s="171">
        <f t="shared" si="1"/>
        <v>6298940</v>
      </c>
    </row>
    <row r="12" spans="1:9">
      <c r="A12" s="195" t="s">
        <v>154</v>
      </c>
      <c r="B12" s="164"/>
      <c r="C12" s="170">
        <v>1196</v>
      </c>
      <c r="D12" s="224"/>
      <c r="E12" s="197">
        <v>16083109</v>
      </c>
      <c r="F12" s="197">
        <v>-4167390</v>
      </c>
      <c r="G12" s="197">
        <v>7170269</v>
      </c>
      <c r="H12" s="218">
        <f t="shared" si="0"/>
        <v>3002879</v>
      </c>
      <c r="I12" s="171">
        <f t="shared" si="1"/>
        <v>19085988</v>
      </c>
    </row>
    <row r="13" spans="1:9">
      <c r="A13" s="195" t="s">
        <v>155</v>
      </c>
      <c r="B13" s="164"/>
      <c r="C13" s="170">
        <v>1178</v>
      </c>
      <c r="D13" s="224"/>
      <c r="E13" s="197">
        <v>1472093</v>
      </c>
      <c r="F13" s="197">
        <v>-256894</v>
      </c>
      <c r="G13" s="197">
        <v>686150</v>
      </c>
      <c r="H13" s="218">
        <f t="shared" si="0"/>
        <v>429256</v>
      </c>
      <c r="I13" s="171">
        <f t="shared" si="1"/>
        <v>1901349</v>
      </c>
    </row>
    <row r="14" spans="1:9">
      <c r="A14" s="195" t="s">
        <v>206</v>
      </c>
      <c r="B14" s="164"/>
      <c r="C14" s="170">
        <v>426</v>
      </c>
      <c r="D14" s="224"/>
      <c r="E14" s="197">
        <v>1041112</v>
      </c>
      <c r="F14" s="197"/>
      <c r="G14" s="197"/>
      <c r="H14" s="218"/>
      <c r="I14" s="171">
        <f t="shared" si="1"/>
        <v>1041112</v>
      </c>
    </row>
    <row r="15" spans="1:9">
      <c r="A15" s="195" t="s">
        <v>207</v>
      </c>
      <c r="B15" s="164"/>
      <c r="C15" s="170"/>
      <c r="D15" s="224"/>
      <c r="E15" s="197">
        <v>208134</v>
      </c>
      <c r="F15" s="197"/>
      <c r="G15" s="197"/>
      <c r="H15" s="218">
        <f t="shared" si="0"/>
        <v>0</v>
      </c>
      <c r="I15" s="171">
        <f t="shared" si="1"/>
        <v>208134</v>
      </c>
    </row>
    <row r="16" spans="1:9">
      <c r="A16" s="195" t="s">
        <v>208</v>
      </c>
      <c r="B16" s="164"/>
      <c r="C16" s="170"/>
      <c r="D16" s="225"/>
      <c r="E16" s="197">
        <v>233750</v>
      </c>
      <c r="F16" s="197"/>
      <c r="G16" s="197"/>
      <c r="H16" s="218">
        <f t="shared" si="0"/>
        <v>0</v>
      </c>
      <c r="I16" s="171">
        <f t="shared" si="1"/>
        <v>233750</v>
      </c>
    </row>
    <row r="17" spans="1:9">
      <c r="A17" s="164"/>
      <c r="B17" s="164"/>
      <c r="C17" s="172">
        <f>SUM(C3:C16)</f>
        <v>247772</v>
      </c>
      <c r="E17" s="172">
        <f t="shared" ref="E17:I17" si="2">SUM(E3:E16)</f>
        <v>464714115</v>
      </c>
      <c r="F17" s="172">
        <f t="shared" si="2"/>
        <v>-192213745</v>
      </c>
      <c r="G17" s="172">
        <f t="shared" si="2"/>
        <v>231542830</v>
      </c>
      <c r="H17" s="172">
        <f t="shared" si="2"/>
        <v>39329085</v>
      </c>
      <c r="I17" s="172">
        <f t="shared" si="2"/>
        <v>504043200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211439</v>
      </c>
      <c r="E19" s="174">
        <f>E3+E4</f>
        <v>174494045</v>
      </c>
      <c r="F19" s="174">
        <f t="shared" ref="F19:H19" si="3">F3+F4</f>
        <v>-91825307</v>
      </c>
      <c r="G19" s="174">
        <f t="shared" si="3"/>
        <v>113077554</v>
      </c>
      <c r="H19" s="174">
        <f t="shared" si="3"/>
        <v>21252247</v>
      </c>
      <c r="I19" s="173">
        <f>I3+I4</f>
        <v>195746292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35886</v>
      </c>
      <c r="E21" s="192">
        <f>SUM(E5:E8,E11:E13)</f>
        <v>191397350</v>
      </c>
      <c r="F21" s="192">
        <f t="shared" ref="F21:H21" si="4">SUM(F5:F8,F11:F13)</f>
        <v>-100388438</v>
      </c>
      <c r="G21" s="192">
        <f t="shared" si="4"/>
        <v>115959383</v>
      </c>
      <c r="H21" s="192">
        <f t="shared" si="4"/>
        <v>15570945</v>
      </c>
      <c r="I21" s="191">
        <f>SUM(I5:I8,I11:I13)</f>
        <v>206968295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1851721.5</v>
      </c>
      <c r="D24" s="196">
        <v>15473643.060000001</v>
      </c>
      <c r="E24" s="198">
        <v>-8559357</v>
      </c>
      <c r="F24" s="198">
        <v>10570245</v>
      </c>
      <c r="G24" s="188">
        <f>SUM(D24:F24)</f>
        <v>17484531.060000002</v>
      </c>
      <c r="H24" s="188">
        <f>-J62</f>
        <v>-88871.555779999995</v>
      </c>
      <c r="I24" s="188">
        <f>SUM(G24:H24)</f>
        <v>17395659.504220001</v>
      </c>
    </row>
    <row r="25" spans="1:9">
      <c r="A25" s="195" t="s">
        <v>203</v>
      </c>
      <c r="B25" s="164"/>
      <c r="C25" s="196">
        <v>4012</v>
      </c>
      <c r="D25" s="196">
        <v>32025.98</v>
      </c>
      <c r="E25" s="198">
        <v>-12401</v>
      </c>
      <c r="F25" s="198">
        <v>15006</v>
      </c>
      <c r="G25" s="188">
        <f t="shared" ref="G25:G33" si="5">SUM(D25:F25)</f>
        <v>34630.979999999996</v>
      </c>
      <c r="H25" s="188">
        <f t="shared" ref="H25:H33" si="6">-J63</f>
        <v>1108.7146499999999</v>
      </c>
      <c r="I25" s="188">
        <f t="shared" ref="I25:I34" si="7">SUM(G25:H25)</f>
        <v>35739.694649999998</v>
      </c>
    </row>
    <row r="26" spans="1:9">
      <c r="A26" s="195" t="s">
        <v>149</v>
      </c>
      <c r="B26" s="164"/>
      <c r="C26" s="196">
        <v>409600</v>
      </c>
      <c r="D26" s="196">
        <v>5295248.66</v>
      </c>
      <c r="E26" s="198">
        <v>-2930369</v>
      </c>
      <c r="F26" s="198">
        <v>3293779</v>
      </c>
      <c r="G26" s="188">
        <f t="shared" si="5"/>
        <v>5658658.6600000001</v>
      </c>
      <c r="H26" s="188">
        <f t="shared" si="6"/>
        <v>-6200.0094300000001</v>
      </c>
      <c r="I26" s="188">
        <f t="shared" si="7"/>
        <v>5652458.6505700005</v>
      </c>
    </row>
    <row r="27" spans="1:9">
      <c r="A27" s="195" t="s">
        <v>150</v>
      </c>
      <c r="B27" s="164"/>
      <c r="C27" s="196">
        <v>166920.91</v>
      </c>
      <c r="D27" s="196">
        <v>580390.37</v>
      </c>
      <c r="E27" s="198">
        <v>-338566</v>
      </c>
      <c r="F27" s="198">
        <v>359086</v>
      </c>
      <c r="G27" s="188">
        <f t="shared" si="5"/>
        <v>600910.37</v>
      </c>
      <c r="H27" s="188">
        <f t="shared" si="6"/>
        <v>-60.188940000000002</v>
      </c>
      <c r="I27" s="188">
        <f t="shared" si="7"/>
        <v>600850.18105999997</v>
      </c>
    </row>
    <row r="28" spans="1:9">
      <c r="A28" s="195" t="s">
        <v>151</v>
      </c>
      <c r="B28" s="164"/>
      <c r="C28" s="196">
        <v>922436</v>
      </c>
      <c r="D28" s="196">
        <v>10540761.439999999</v>
      </c>
      <c r="E28" s="198">
        <v>-5306438</v>
      </c>
      <c r="F28" s="198">
        <v>5864988</v>
      </c>
      <c r="G28" s="188">
        <f t="shared" si="5"/>
        <v>11099311.439999999</v>
      </c>
      <c r="H28" s="188">
        <f t="shared" si="6"/>
        <v>1690.2337200000038</v>
      </c>
      <c r="I28" s="188">
        <f t="shared" si="7"/>
        <v>11101001.67372</v>
      </c>
    </row>
    <row r="29" spans="1:9">
      <c r="A29" s="195" t="s">
        <v>152</v>
      </c>
      <c r="B29" s="164"/>
      <c r="C29" s="196">
        <v>24500</v>
      </c>
      <c r="D29" s="196">
        <v>210584.41</v>
      </c>
      <c r="E29" s="198">
        <v>-108088</v>
      </c>
      <c r="F29" s="198">
        <v>122268</v>
      </c>
      <c r="G29" s="188">
        <f t="shared" si="5"/>
        <v>224764.41</v>
      </c>
      <c r="H29" s="188">
        <f t="shared" si="6"/>
        <v>62.24225000000007</v>
      </c>
      <c r="I29" s="188">
        <f t="shared" si="7"/>
        <v>224826.65225000001</v>
      </c>
    </row>
    <row r="30" spans="1:9">
      <c r="A30" s="195" t="s">
        <v>153</v>
      </c>
      <c r="B30" s="164"/>
      <c r="C30" s="196">
        <v>441000</v>
      </c>
      <c r="D30" s="196">
        <f>5713042.85-83709.2</f>
        <v>5629333.6499999994</v>
      </c>
      <c r="E30" s="198">
        <v>0</v>
      </c>
      <c r="F30" s="198">
        <v>171369</v>
      </c>
      <c r="G30" s="188">
        <f t="shared" si="5"/>
        <v>5800702.6499999994</v>
      </c>
      <c r="H30" s="188">
        <f t="shared" si="6"/>
        <v>-4485.5467499999995</v>
      </c>
      <c r="I30" s="188">
        <f t="shared" si="7"/>
        <v>5796217.1032499997</v>
      </c>
    </row>
    <row r="31" spans="1:9">
      <c r="A31" s="195" t="s">
        <v>205</v>
      </c>
      <c r="B31" s="164"/>
      <c r="C31" s="196">
        <v>846</v>
      </c>
      <c r="D31" s="196">
        <v>430510.86</v>
      </c>
      <c r="E31" s="198">
        <v>0</v>
      </c>
      <c r="F31" s="198">
        <v>0</v>
      </c>
      <c r="G31" s="188">
        <f t="shared" si="5"/>
        <v>430510.86</v>
      </c>
      <c r="H31" s="188">
        <f t="shared" si="6"/>
        <v>0</v>
      </c>
      <c r="I31" s="188">
        <f t="shared" si="7"/>
        <v>430510.86</v>
      </c>
    </row>
    <row r="32" spans="1:9">
      <c r="A32" s="195" t="s">
        <v>154</v>
      </c>
      <c r="B32" s="164"/>
      <c r="C32" s="196">
        <v>20515.2</v>
      </c>
      <c r="D32" s="196">
        <v>1273233.69</v>
      </c>
      <c r="E32" s="198">
        <v>-350150</v>
      </c>
      <c r="F32" s="198">
        <v>584471</v>
      </c>
      <c r="G32" s="188">
        <f t="shared" si="5"/>
        <v>1507554.69</v>
      </c>
      <c r="H32" s="188">
        <f t="shared" si="6"/>
        <v>-3592.3992400000002</v>
      </c>
      <c r="I32" s="188">
        <f t="shared" si="7"/>
        <v>1503962.29076</v>
      </c>
    </row>
    <row r="33" spans="1:10">
      <c r="A33" s="195" t="s">
        <v>155</v>
      </c>
      <c r="B33" s="164"/>
      <c r="C33" s="196">
        <v>21492</v>
      </c>
      <c r="D33" s="196">
        <v>141957.01999999999</v>
      </c>
      <c r="E33" s="198">
        <v>-31521</v>
      </c>
      <c r="F33" s="198">
        <v>65245</v>
      </c>
      <c r="G33" s="188">
        <f t="shared" si="5"/>
        <v>175681.02</v>
      </c>
      <c r="H33" s="188">
        <f t="shared" si="6"/>
        <v>-358.98333999999994</v>
      </c>
      <c r="I33" s="188">
        <f t="shared" si="7"/>
        <v>175322.03665999998</v>
      </c>
    </row>
    <row r="34" spans="1:10">
      <c r="A34" s="195" t="s">
        <v>217</v>
      </c>
      <c r="B34" s="164"/>
      <c r="C34" s="188"/>
      <c r="D34" s="196">
        <v>516132.11</v>
      </c>
      <c r="E34" s="196"/>
      <c r="F34" s="196"/>
      <c r="G34" s="188">
        <f>SUM(D34:F34)</f>
        <v>516132.11</v>
      </c>
      <c r="H34" s="188"/>
      <c r="I34" s="188">
        <f t="shared" si="7"/>
        <v>516132.11</v>
      </c>
    </row>
    <row r="35" spans="1:10">
      <c r="A35" s="195" t="s">
        <v>218</v>
      </c>
      <c r="B35" s="164"/>
      <c r="C35" s="224"/>
      <c r="D35" s="196">
        <v>1485101.78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224"/>
      <c r="D36" s="196">
        <v>1529287.56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3863043.6100000003</v>
      </c>
      <c r="D37" s="178">
        <f t="shared" ref="D37:I37" si="8">SUM(D24:D36)</f>
        <v>43138210.590000011</v>
      </c>
      <c r="E37" s="178">
        <f t="shared" si="8"/>
        <v>-17636890</v>
      </c>
      <c r="F37" s="178">
        <f t="shared" si="8"/>
        <v>21046457</v>
      </c>
      <c r="G37" s="178">
        <f t="shared" si="8"/>
        <v>43533388.25</v>
      </c>
      <c r="H37" s="178">
        <f t="shared" si="8"/>
        <v>-100707.49286000001</v>
      </c>
      <c r="I37" s="178">
        <f t="shared" si="8"/>
        <v>43432680.757140003</v>
      </c>
    </row>
    <row r="38" spans="1:10" ht="14.4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1855733.5</v>
      </c>
      <c r="D39" s="180">
        <f t="shared" ref="D39:I39" si="9">D24+D25</f>
        <v>15505669.040000001</v>
      </c>
      <c r="E39" s="180">
        <f t="shared" si="9"/>
        <v>-8571758</v>
      </c>
      <c r="F39" s="180">
        <f t="shared" si="9"/>
        <v>10585251</v>
      </c>
      <c r="G39" s="180">
        <f t="shared" si="9"/>
        <v>17519162.040000003</v>
      </c>
      <c r="H39" s="180">
        <f t="shared" si="9"/>
        <v>-87762.841130000001</v>
      </c>
      <c r="I39" s="181">
        <f t="shared" si="9"/>
        <v>17431399.198870003</v>
      </c>
    </row>
    <row r="40" spans="1:10" ht="6" customHeight="1">
      <c r="A40" s="164"/>
      <c r="B40" s="164"/>
      <c r="C40" s="187"/>
      <c r="D40" s="180"/>
      <c r="E40" s="164"/>
      <c r="F40" s="164"/>
      <c r="I40" s="219"/>
    </row>
    <row r="41" spans="1:10" ht="14.4" thickBot="1">
      <c r="A41" s="164" t="s">
        <v>209</v>
      </c>
      <c r="B41" s="164"/>
      <c r="C41" s="189">
        <f>SUM(C26:C29,C31:C33)</f>
        <v>1566310.11</v>
      </c>
      <c r="D41" s="190">
        <f t="shared" ref="D41:I41" si="10">SUM(D26:D29,D31:D33)</f>
        <v>18472686.449999999</v>
      </c>
      <c r="E41" s="190">
        <f t="shared" si="10"/>
        <v>-9065132</v>
      </c>
      <c r="F41" s="190">
        <f t="shared" si="10"/>
        <v>10289837</v>
      </c>
      <c r="G41" s="190">
        <f t="shared" si="10"/>
        <v>19697391.449999999</v>
      </c>
      <c r="H41" s="190">
        <f t="shared" si="10"/>
        <v>-8459.1049799999964</v>
      </c>
      <c r="I41" s="189">
        <f t="shared" si="10"/>
        <v>19688932.34502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C45" s="220">
        <v>42675</v>
      </c>
      <c r="D45" s="221">
        <v>42675</v>
      </c>
      <c r="E45" s="221">
        <v>42278</v>
      </c>
      <c r="F45" s="220">
        <v>42583</v>
      </c>
      <c r="G45" s="220">
        <v>42644</v>
      </c>
      <c r="H45" s="220">
        <v>42380</v>
      </c>
      <c r="I45" s="220">
        <v>42552</v>
      </c>
      <c r="J45" s="220">
        <v>42917</v>
      </c>
    </row>
    <row r="46" spans="1:10" ht="42" customHeight="1">
      <c r="A46" s="193" t="s">
        <v>220</v>
      </c>
      <c r="B46" s="166"/>
      <c r="C46" s="177" t="s">
        <v>221</v>
      </c>
      <c r="D46" s="177" t="s">
        <v>239</v>
      </c>
      <c r="E46" s="177" t="s">
        <v>222</v>
      </c>
      <c r="F46" s="177" t="s">
        <v>223</v>
      </c>
      <c r="G46" s="177" t="s">
        <v>224</v>
      </c>
      <c r="H46" s="177" t="s">
        <v>225</v>
      </c>
      <c r="I46" s="177" t="s">
        <v>226</v>
      </c>
      <c r="J46" s="177" t="s">
        <v>226</v>
      </c>
    </row>
    <row r="47" spans="1:10">
      <c r="A47" s="195" t="s">
        <v>148</v>
      </c>
      <c r="B47" s="164"/>
      <c r="C47" s="184">
        <v>-5.1000000000000004E-4</v>
      </c>
      <c r="D47" s="184">
        <v>2.63E-3</v>
      </c>
      <c r="E47" s="184"/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>
        <v>-5.6999999999999998E-4</v>
      </c>
    </row>
    <row r="48" spans="1:10">
      <c r="A48" s="195" t="s">
        <v>203</v>
      </c>
      <c r="B48" s="164"/>
      <c r="C48" s="184">
        <v>-5.1000000000000004E-4</v>
      </c>
      <c r="D48" s="184">
        <v>2.63E-3</v>
      </c>
      <c r="E48" s="184">
        <v>-3.1530000000000002E-2</v>
      </c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>
        <v>-5.6999999999999998E-4</v>
      </c>
    </row>
    <row r="49" spans="1:13">
      <c r="A49" s="195" t="s">
        <v>149</v>
      </c>
      <c r="B49" s="164"/>
      <c r="C49" s="184"/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>
        <v>-5.6999999999999998E-4</v>
      </c>
    </row>
    <row r="50" spans="1:13">
      <c r="A50" s="195" t="s">
        <v>150</v>
      </c>
      <c r="B50" s="164"/>
      <c r="C50" s="184">
        <v>-5.1000000000000004E-4</v>
      </c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>
        <v>-5.6999999999999998E-4</v>
      </c>
    </row>
    <row r="51" spans="1:13">
      <c r="A51" s="195" t="s">
        <v>151</v>
      </c>
      <c r="B51" s="164"/>
      <c r="C51" s="184"/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>
        <v>-5.9000000000000003E-4</v>
      </c>
    </row>
    <row r="52" spans="1:13">
      <c r="A52" s="195" t="s">
        <v>152</v>
      </c>
      <c r="B52" s="164"/>
      <c r="C52" s="184">
        <v>-5.1000000000000004E-4</v>
      </c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>
        <v>-5.9000000000000003E-4</v>
      </c>
    </row>
    <row r="53" spans="1:13">
      <c r="A53" s="195" t="s">
        <v>153</v>
      </c>
      <c r="B53" s="164"/>
      <c r="C53" s="184"/>
      <c r="D53" s="184"/>
      <c r="E53" s="184"/>
      <c r="F53" s="184">
        <v>1.72E-3</v>
      </c>
      <c r="G53" s="184">
        <v>6.4000000000000005E-4</v>
      </c>
      <c r="H53" s="184">
        <v>0</v>
      </c>
      <c r="I53" s="184">
        <v>-3.4000000000000002E-4</v>
      </c>
      <c r="J53" s="184">
        <v>-5.6999999999999998E-4</v>
      </c>
    </row>
    <row r="54" spans="1:13">
      <c r="A54" s="195" t="s">
        <v>204</v>
      </c>
      <c r="B54" s="164"/>
      <c r="C54" s="184"/>
      <c r="D54" s="184"/>
      <c r="E54" s="184"/>
      <c r="F54" s="184">
        <v>1.72E-3</v>
      </c>
      <c r="G54" s="184">
        <v>0</v>
      </c>
      <c r="H54" s="184">
        <v>0</v>
      </c>
      <c r="I54" s="184">
        <v>-3.4000000000000002E-4</v>
      </c>
      <c r="J54" s="184">
        <v>-5.6999999999999998E-4</v>
      </c>
    </row>
    <row r="55" spans="1:13">
      <c r="A55" s="195" t="s">
        <v>205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>
        <v>-6.0999999999999997E-4</v>
      </c>
    </row>
    <row r="56" spans="1:13">
      <c r="A56" s="195" t="s">
        <v>154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>
        <v>-6.0999999999999997E-4</v>
      </c>
    </row>
    <row r="57" spans="1:13">
      <c r="A57" s="195" t="s">
        <v>155</v>
      </c>
      <c r="B57" s="164"/>
      <c r="C57" s="184">
        <v>-5.1000000000000004E-4</v>
      </c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>
        <v>-6.0999999999999997E-4</v>
      </c>
    </row>
    <row r="58" spans="1:13" ht="14.4" customHeight="1">
      <c r="A58" s="195" t="s">
        <v>217</v>
      </c>
      <c r="B58" s="164"/>
      <c r="C58" s="202"/>
      <c r="D58" s="184"/>
      <c r="E58" s="184"/>
      <c r="F58" s="202">
        <v>8.6199999999999992E-3</v>
      </c>
      <c r="G58" s="255" t="s">
        <v>235</v>
      </c>
      <c r="H58" s="184">
        <v>0</v>
      </c>
      <c r="I58" s="199">
        <v>-3.6999999999999999E-4</v>
      </c>
      <c r="J58" s="202">
        <v>-6.4999999999999997E-4</v>
      </c>
    </row>
    <row r="59" spans="1:13">
      <c r="A59" s="195" t="s">
        <v>208</v>
      </c>
      <c r="B59" s="164"/>
      <c r="C59" s="202"/>
      <c r="D59" s="184"/>
      <c r="E59" s="184"/>
      <c r="F59" s="202">
        <v>8.6199999999999992E-3</v>
      </c>
      <c r="G59" s="255"/>
      <c r="H59" s="184">
        <v>0</v>
      </c>
      <c r="I59" s="199">
        <v>-3.6999999999999999E-4</v>
      </c>
      <c r="J59" s="202">
        <v>-6.4999999999999997E-4</v>
      </c>
    </row>
    <row r="60" spans="1:13">
      <c r="E60" s="164"/>
    </row>
    <row r="61" spans="1:13" ht="39.6">
      <c r="A61" s="193" t="s">
        <v>227</v>
      </c>
      <c r="B61" s="166"/>
      <c r="C61" s="186" t="s">
        <v>234</v>
      </c>
      <c r="D61" s="186" t="s">
        <v>239</v>
      </c>
      <c r="E61" s="186" t="s">
        <v>228</v>
      </c>
      <c r="F61" s="186" t="s">
        <v>229</v>
      </c>
      <c r="G61" s="186" t="s">
        <v>230</v>
      </c>
      <c r="H61" s="186" t="s">
        <v>231</v>
      </c>
      <c r="I61" s="186" t="s">
        <v>232</v>
      </c>
      <c r="J61" s="186" t="s">
        <v>233</v>
      </c>
      <c r="M61" s="217"/>
    </row>
    <row r="62" spans="1:13">
      <c r="A62" s="195" t="s">
        <v>148</v>
      </c>
      <c r="C62" s="180">
        <f t="shared" ref="C62:H67" si="11">$H3*C47</f>
        <v>-10818.069000000001</v>
      </c>
      <c r="D62" s="180">
        <f t="shared" si="11"/>
        <v>55787.296999999999</v>
      </c>
      <c r="E62" s="180">
        <f t="shared" si="11"/>
        <v>0</v>
      </c>
      <c r="F62" s="180">
        <f t="shared" si="11"/>
        <v>55575.178</v>
      </c>
      <c r="G62" s="180">
        <f t="shared" si="11"/>
        <v>20575.543000000001</v>
      </c>
      <c r="H62" s="180">
        <f t="shared" si="11"/>
        <v>0</v>
      </c>
      <c r="I62" s="180">
        <f t="shared" ref="I62:I67" si="12">(I47*F3)+(J47*G3)</f>
        <v>-32248.393219999994</v>
      </c>
      <c r="J62" s="180">
        <f>SUM(C62:I62)</f>
        <v>88871.555779999995</v>
      </c>
      <c r="M62" s="180"/>
    </row>
    <row r="63" spans="1:13">
      <c r="A63" s="195" t="s">
        <v>203</v>
      </c>
      <c r="C63" s="180">
        <f t="shared" si="11"/>
        <v>-20.576970000000003</v>
      </c>
      <c r="D63" s="180">
        <f t="shared" si="11"/>
        <v>106.11261</v>
      </c>
      <c r="E63" s="180">
        <f t="shared" si="11"/>
        <v>-1272.1409100000001</v>
      </c>
      <c r="F63" s="180">
        <f t="shared" si="11"/>
        <v>105.70913999999999</v>
      </c>
      <c r="G63" s="180">
        <f t="shared" si="11"/>
        <v>39.136590000000005</v>
      </c>
      <c r="H63" s="180">
        <f t="shared" si="11"/>
        <v>0</v>
      </c>
      <c r="I63" s="180">
        <f t="shared" si="12"/>
        <v>-66.955109999999976</v>
      </c>
      <c r="J63" s="180">
        <f t="shared" ref="J63:J72" si="13">SUM(C63:I63)</f>
        <v>-1108.7146499999999</v>
      </c>
      <c r="M63" s="180"/>
    </row>
    <row r="64" spans="1:13">
      <c r="A64" s="195" t="s">
        <v>149</v>
      </c>
      <c r="C64" s="180">
        <f t="shared" si="11"/>
        <v>0</v>
      </c>
      <c r="D64" s="180">
        <f t="shared" si="11"/>
        <v>-5455.1511300000002</v>
      </c>
      <c r="E64" s="180">
        <f t="shared" si="11"/>
        <v>0</v>
      </c>
      <c r="F64" s="180">
        <f t="shared" si="11"/>
        <v>13809.54342</v>
      </c>
      <c r="G64" s="180">
        <f t="shared" si="11"/>
        <v>5378.8553099999999</v>
      </c>
      <c r="H64" s="180">
        <f t="shared" si="11"/>
        <v>0</v>
      </c>
      <c r="I64" s="180">
        <f t="shared" si="12"/>
        <v>-7533.2381699999987</v>
      </c>
      <c r="J64" s="180">
        <f t="shared" si="13"/>
        <v>6200.0094300000001</v>
      </c>
      <c r="M64" s="180"/>
    </row>
    <row r="65" spans="1:13">
      <c r="A65" s="195" t="s">
        <v>150</v>
      </c>
      <c r="C65" s="180">
        <f t="shared" si="11"/>
        <v>-106.80369</v>
      </c>
      <c r="D65" s="180">
        <f t="shared" si="11"/>
        <v>-299.46917000000002</v>
      </c>
      <c r="E65" s="180">
        <f t="shared" si="11"/>
        <v>0</v>
      </c>
      <c r="F65" s="180">
        <f t="shared" si="11"/>
        <v>758.09677999999997</v>
      </c>
      <c r="G65" s="180">
        <f t="shared" si="11"/>
        <v>295.28079000000002</v>
      </c>
      <c r="H65" s="180">
        <f t="shared" si="11"/>
        <v>0</v>
      </c>
      <c r="I65" s="180">
        <f t="shared" si="12"/>
        <v>-586.91576999999995</v>
      </c>
      <c r="J65" s="180">
        <f t="shared" si="13"/>
        <v>60.188940000000002</v>
      </c>
      <c r="M65" s="180"/>
    </row>
    <row r="66" spans="1:13">
      <c r="A66" s="195" t="s">
        <v>151</v>
      </c>
      <c r="C66" s="180">
        <f t="shared" si="11"/>
        <v>0</v>
      </c>
      <c r="D66" s="180">
        <f t="shared" si="11"/>
        <v>-11322.858690000001</v>
      </c>
      <c r="E66" s="180">
        <f t="shared" si="11"/>
        <v>0</v>
      </c>
      <c r="F66" s="180">
        <f t="shared" si="11"/>
        <v>21616.366589999998</v>
      </c>
      <c r="G66" s="180">
        <f t="shared" si="11"/>
        <v>8076.444660000001</v>
      </c>
      <c r="H66" s="180">
        <f t="shared" si="11"/>
        <v>0</v>
      </c>
      <c r="I66" s="180">
        <f t="shared" si="12"/>
        <v>-20060.186280000002</v>
      </c>
      <c r="J66" s="180">
        <f t="shared" si="13"/>
        <v>-1690.2337200000038</v>
      </c>
      <c r="M66" s="180"/>
    </row>
    <row r="67" spans="1:13">
      <c r="A67" s="195" t="s">
        <v>152</v>
      </c>
      <c r="C67" s="180">
        <f t="shared" si="11"/>
        <v>-100.22367000000001</v>
      </c>
      <c r="D67" s="180">
        <f t="shared" si="11"/>
        <v>-281.01931000000002</v>
      </c>
      <c r="E67" s="180">
        <f t="shared" si="11"/>
        <v>0</v>
      </c>
      <c r="F67" s="180">
        <f t="shared" si="11"/>
        <v>536.49140999999997</v>
      </c>
      <c r="G67" s="180">
        <f t="shared" si="11"/>
        <v>200.44734000000003</v>
      </c>
      <c r="H67" s="180">
        <f t="shared" si="11"/>
        <v>0</v>
      </c>
      <c r="I67" s="180">
        <f t="shared" si="12"/>
        <v>-417.93801999999999</v>
      </c>
      <c r="J67" s="180">
        <f t="shared" si="13"/>
        <v>-62.24225000000007</v>
      </c>
      <c r="M67" s="180"/>
    </row>
    <row r="68" spans="1:13">
      <c r="A68" s="195" t="s">
        <v>153</v>
      </c>
      <c r="C68" s="180">
        <f t="shared" ref="C68:H68" si="14">($H9+$H10)*C53</f>
        <v>0</v>
      </c>
      <c r="D68" s="180">
        <f t="shared" si="14"/>
        <v>0</v>
      </c>
      <c r="E68" s="180">
        <f t="shared" si="14"/>
        <v>0</v>
      </c>
      <c r="F68" s="180">
        <f>($H9)*F53+$H10-F54</f>
        <v>4310.1342399999994</v>
      </c>
      <c r="G68" s="180">
        <f>($H9)*G53+$H10-G54</f>
        <v>1603.7715200000002</v>
      </c>
      <c r="H68" s="180">
        <f t="shared" si="14"/>
        <v>0</v>
      </c>
      <c r="I68" s="180">
        <f>(I53*F9)+(J53*G9)+I54*F10+J54*G10</f>
        <v>-1428.3590099999999</v>
      </c>
      <c r="J68" s="180">
        <f t="shared" si="13"/>
        <v>4485.5467499999995</v>
      </c>
      <c r="M68" s="180"/>
    </row>
    <row r="69" spans="1:13">
      <c r="A69" s="195" t="s">
        <v>205</v>
      </c>
      <c r="C69" s="180">
        <f t="shared" ref="C69:H71" si="15">$H11*C55</f>
        <v>0</v>
      </c>
      <c r="D69" s="180">
        <f t="shared" si="15"/>
        <v>0</v>
      </c>
      <c r="E69" s="180">
        <f t="shared" si="15"/>
        <v>0</v>
      </c>
      <c r="F69" s="180">
        <f t="shared" si="15"/>
        <v>0</v>
      </c>
      <c r="G69" s="180">
        <f t="shared" si="15"/>
        <v>0</v>
      </c>
      <c r="H69" s="180">
        <f t="shared" si="15"/>
        <v>0</v>
      </c>
      <c r="I69" s="180">
        <f>(I55*F11)+(J55*G11)</f>
        <v>0</v>
      </c>
      <c r="J69" s="180">
        <f t="shared" si="13"/>
        <v>0</v>
      </c>
      <c r="M69" s="180"/>
    </row>
    <row r="70" spans="1:13">
      <c r="A70" s="195" t="s">
        <v>154</v>
      </c>
      <c r="C70" s="180">
        <f t="shared" si="15"/>
        <v>0</v>
      </c>
      <c r="D70" s="180">
        <f t="shared" si="15"/>
        <v>-4294.11697</v>
      </c>
      <c r="E70" s="180">
        <f t="shared" si="15"/>
        <v>0</v>
      </c>
      <c r="F70" s="180">
        <f t="shared" si="15"/>
        <v>7837.5141899999999</v>
      </c>
      <c r="G70" s="180">
        <f t="shared" si="15"/>
        <v>2672.5623099999998</v>
      </c>
      <c r="H70" s="180">
        <f t="shared" si="15"/>
        <v>0</v>
      </c>
      <c r="I70" s="180">
        <f>(I56*F12)+(J56*G12)</f>
        <v>-2623.5602899999999</v>
      </c>
      <c r="J70" s="180">
        <f t="shared" si="13"/>
        <v>3592.3992400000002</v>
      </c>
      <c r="M70" s="180"/>
    </row>
    <row r="71" spans="1:13">
      <c r="A71" s="195" t="s">
        <v>155</v>
      </c>
      <c r="C71" s="180">
        <f t="shared" si="15"/>
        <v>-218.92056000000002</v>
      </c>
      <c r="D71" s="180">
        <f t="shared" si="15"/>
        <v>-613.83608000000004</v>
      </c>
      <c r="E71" s="180">
        <f t="shared" si="15"/>
        <v>0</v>
      </c>
      <c r="F71" s="180">
        <f t="shared" si="15"/>
        <v>1120.35816</v>
      </c>
      <c r="G71" s="180">
        <f t="shared" si="15"/>
        <v>382.03783999999996</v>
      </c>
      <c r="H71" s="180">
        <f t="shared" si="15"/>
        <v>0</v>
      </c>
      <c r="I71" s="180">
        <f>(I57*F13)+(J57*G13)</f>
        <v>-310.65601999999996</v>
      </c>
      <c r="J71" s="180">
        <f t="shared" si="13"/>
        <v>358.98333999999994</v>
      </c>
      <c r="M71" s="180"/>
    </row>
    <row r="72" spans="1:13">
      <c r="A72" s="195" t="s">
        <v>217</v>
      </c>
      <c r="C72" s="180">
        <f>($H14+$H15)*C58</f>
        <v>0</v>
      </c>
      <c r="D72" s="180">
        <f>($H14+$H15)*D58</f>
        <v>0</v>
      </c>
      <c r="E72" s="180">
        <f>($H14+$H15)*E58</f>
        <v>0</v>
      </c>
      <c r="F72" s="180">
        <f>($H14+$H15)*F58</f>
        <v>0</v>
      </c>
      <c r="G72" s="180"/>
      <c r="H72" s="180">
        <f>($H14+$H15)*H58</f>
        <v>0</v>
      </c>
      <c r="I72" s="180">
        <f>(I58*F14)+(J58*G14)</f>
        <v>0</v>
      </c>
      <c r="J72" s="180">
        <f t="shared" si="13"/>
        <v>0</v>
      </c>
      <c r="M72" s="180"/>
    </row>
    <row r="73" spans="1:13">
      <c r="A73" s="169"/>
      <c r="C73" s="222">
        <f>SUM(C62:C72)</f>
        <v>-11264.593890000002</v>
      </c>
      <c r="D73" s="222">
        <f>SUM(D62:D72)</f>
        <v>33626.958259999992</v>
      </c>
      <c r="E73" s="222">
        <f t="shared" ref="E73:J73" si="16">SUM(E62:E72)</f>
        <v>-1272.1409100000001</v>
      </c>
      <c r="F73" s="222">
        <f t="shared" si="16"/>
        <v>105669.39193</v>
      </c>
      <c r="G73" s="222">
        <f t="shared" si="16"/>
        <v>39224.079359999996</v>
      </c>
      <c r="H73" s="222">
        <f t="shared" si="16"/>
        <v>0</v>
      </c>
      <c r="I73" s="222">
        <f t="shared" si="16"/>
        <v>-65276.201889999997</v>
      </c>
      <c r="J73" s="222">
        <f t="shared" si="16"/>
        <v>100707.49286000001</v>
      </c>
    </row>
    <row r="74" spans="1:13" ht="15.75" customHeight="1"/>
    <row r="75" spans="1:13">
      <c r="A75" s="164" t="s">
        <v>19</v>
      </c>
      <c r="B75" s="164"/>
      <c r="C75" s="180">
        <f>C62+C63</f>
        <v>-10838.645970000001</v>
      </c>
      <c r="D75" s="180">
        <f>D62+D63</f>
        <v>55893.409609999995</v>
      </c>
      <c r="E75" s="180">
        <f t="shared" ref="E75:J75" si="17">E62+E63</f>
        <v>-1272.1409100000001</v>
      </c>
      <c r="F75" s="180">
        <f t="shared" si="17"/>
        <v>55680.887139999999</v>
      </c>
      <c r="G75" s="180">
        <f t="shared" si="17"/>
        <v>20614.67959</v>
      </c>
      <c r="H75" s="180">
        <f t="shared" si="17"/>
        <v>0</v>
      </c>
      <c r="I75" s="180">
        <f t="shared" si="17"/>
        <v>-32315.348329999993</v>
      </c>
      <c r="J75" s="180">
        <f t="shared" si="17"/>
        <v>87762.841130000001</v>
      </c>
    </row>
    <row r="76" spans="1:13">
      <c r="A76" s="164"/>
      <c r="B76" s="164"/>
      <c r="C76" s="180"/>
      <c r="D76" s="180"/>
      <c r="E76" s="180"/>
      <c r="F76" s="180"/>
      <c r="G76" s="180"/>
      <c r="H76" s="180"/>
      <c r="I76" s="180"/>
      <c r="J76" s="180"/>
    </row>
    <row r="77" spans="1:13">
      <c r="A77" s="164" t="s">
        <v>209</v>
      </c>
      <c r="B77" s="164"/>
      <c r="C77" s="190">
        <f>SUM(C64:C67,C69:C71)</f>
        <v>-425.94792000000007</v>
      </c>
      <c r="D77" s="190">
        <f>SUM(D64:D67,D69:D71)</f>
        <v>-22266.451350000003</v>
      </c>
      <c r="E77" s="190">
        <f t="shared" ref="E77:J77" si="18">SUM(E64:E67,E69:E71)</f>
        <v>0</v>
      </c>
      <c r="F77" s="190">
        <f t="shared" si="18"/>
        <v>45678.370550000007</v>
      </c>
      <c r="G77" s="190">
        <f t="shared" si="18"/>
        <v>17005.628250000002</v>
      </c>
      <c r="H77" s="190">
        <f t="shared" si="18"/>
        <v>0</v>
      </c>
      <c r="I77" s="190">
        <f t="shared" si="18"/>
        <v>-31532.494549999999</v>
      </c>
      <c r="J77" s="190">
        <f t="shared" si="18"/>
        <v>8459.1049799999964</v>
      </c>
    </row>
    <row r="78" spans="1:13" ht="15.75" customHeight="1"/>
    <row r="79" spans="1:13" ht="15.75" customHeight="1"/>
  </sheetData>
  <mergeCells count="2">
    <mergeCell ref="A1:I1"/>
    <mergeCell ref="G58:G59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 of &amp;N</oddFooter>
  </headerFooter>
  <rowBreaks count="1" manualBreakCount="1"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M78"/>
  <sheetViews>
    <sheetView zoomScaleNormal="100" workbookViewId="0">
      <selection sqref="A1:XFD1048576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211361</v>
      </c>
      <c r="D3" s="183"/>
      <c r="E3" s="197">
        <v>154644565.86000001</v>
      </c>
      <c r="F3" s="197">
        <v>-97415886</v>
      </c>
      <c r="G3" s="197">
        <v>91625501</v>
      </c>
      <c r="H3" s="163">
        <f>SUM(F3:G3)</f>
        <v>-5790385</v>
      </c>
      <c r="I3" s="171">
        <f>E3+H3</f>
        <v>148854180.86000001</v>
      </c>
    </row>
    <row r="4" spans="1:9">
      <c r="A4" s="195" t="s">
        <v>203</v>
      </c>
      <c r="B4" s="164"/>
      <c r="C4" s="170">
        <v>469</v>
      </c>
      <c r="D4" s="183"/>
      <c r="E4" s="197">
        <v>351119</v>
      </c>
      <c r="F4" s="197">
        <v>-259853</v>
      </c>
      <c r="G4" s="197">
        <v>199806</v>
      </c>
      <c r="H4" s="163">
        <f t="shared" ref="H4:H16" si="0">SUM(F4:G4)</f>
        <v>-60047</v>
      </c>
      <c r="I4" s="171">
        <f t="shared" ref="I4:I16" si="1">E4+H4</f>
        <v>291072</v>
      </c>
    </row>
    <row r="5" spans="1:9">
      <c r="A5" s="195" t="s">
        <v>149</v>
      </c>
      <c r="B5" s="164"/>
      <c r="C5" s="170">
        <v>22557</v>
      </c>
      <c r="D5" s="183"/>
      <c r="E5" s="197">
        <v>43188083.5</v>
      </c>
      <c r="F5" s="197">
        <v>-24599388</v>
      </c>
      <c r="G5" s="197">
        <v>25518130</v>
      </c>
      <c r="H5" s="163">
        <f t="shared" si="0"/>
        <v>918742</v>
      </c>
      <c r="I5" s="171">
        <f t="shared" si="1"/>
        <v>44106825.5</v>
      </c>
    </row>
    <row r="6" spans="1:9">
      <c r="A6" s="195" t="s">
        <v>150</v>
      </c>
      <c r="B6" s="164"/>
      <c r="C6" s="170">
        <v>9199</v>
      </c>
      <c r="D6" s="183"/>
      <c r="E6" s="197">
        <v>3782633.0300000003</v>
      </c>
      <c r="F6" s="197">
        <v>-2367547</v>
      </c>
      <c r="G6" s="197">
        <v>2226414</v>
      </c>
      <c r="H6" s="163">
        <f t="shared" si="0"/>
        <v>-141133</v>
      </c>
      <c r="I6" s="171">
        <f t="shared" si="1"/>
        <v>3641500.0300000003</v>
      </c>
    </row>
    <row r="7" spans="1:9">
      <c r="A7" s="195" t="s">
        <v>151</v>
      </c>
      <c r="B7" s="164"/>
      <c r="C7" s="170">
        <v>1855</v>
      </c>
      <c r="D7" s="183"/>
      <c r="E7" s="197">
        <v>113545824</v>
      </c>
      <c r="F7" s="197">
        <v>-62624498</v>
      </c>
      <c r="G7" s="197">
        <v>66906597</v>
      </c>
      <c r="H7" s="163">
        <f t="shared" si="0"/>
        <v>4282099</v>
      </c>
      <c r="I7" s="171">
        <f t="shared" si="1"/>
        <v>117827923</v>
      </c>
    </row>
    <row r="8" spans="1:9">
      <c r="A8" s="195" t="s">
        <v>152</v>
      </c>
      <c r="B8" s="164"/>
      <c r="C8" s="170">
        <v>49</v>
      </c>
      <c r="D8" s="183"/>
      <c r="E8" s="197">
        <v>2221720</v>
      </c>
      <c r="F8" s="197">
        <v>-1559116</v>
      </c>
      <c r="G8" s="197">
        <v>1313013</v>
      </c>
      <c r="H8" s="163">
        <f t="shared" si="0"/>
        <v>-246103</v>
      </c>
      <c r="I8" s="171">
        <f t="shared" si="1"/>
        <v>1975617</v>
      </c>
    </row>
    <row r="9" spans="1:9">
      <c r="A9" s="195" t="s">
        <v>153</v>
      </c>
      <c r="B9" s="164"/>
      <c r="C9" s="170">
        <v>20</v>
      </c>
      <c r="D9" s="183"/>
      <c r="E9" s="197">
        <f>89551436-E10</f>
        <v>55140748</v>
      </c>
      <c r="F9" s="197">
        <v>0</v>
      </c>
      <c r="G9" s="197">
        <v>0</v>
      </c>
      <c r="H9" s="163">
        <f t="shared" si="0"/>
        <v>0</v>
      </c>
      <c r="I9" s="171">
        <f t="shared" si="1"/>
        <v>55140748</v>
      </c>
    </row>
    <row r="10" spans="1:9">
      <c r="A10" s="195" t="s">
        <v>204</v>
      </c>
      <c r="B10" s="164"/>
      <c r="C10" s="170"/>
      <c r="D10" s="183"/>
      <c r="E10" s="197">
        <v>34410688</v>
      </c>
      <c r="F10" s="197">
        <v>0</v>
      </c>
      <c r="G10" s="197">
        <v>0</v>
      </c>
      <c r="H10" s="163">
        <f t="shared" si="0"/>
        <v>0</v>
      </c>
      <c r="I10" s="171">
        <f t="shared" si="1"/>
        <v>34410688</v>
      </c>
    </row>
    <row r="11" spans="1:9">
      <c r="A11" s="195" t="s">
        <v>205</v>
      </c>
      <c r="B11" s="164"/>
      <c r="C11" s="170">
        <v>48</v>
      </c>
      <c r="D11" s="183"/>
      <c r="E11" s="197">
        <v>4100420</v>
      </c>
      <c r="F11" s="197">
        <v>0</v>
      </c>
      <c r="G11" s="197">
        <v>0</v>
      </c>
      <c r="H11" s="163">
        <f t="shared" si="0"/>
        <v>0</v>
      </c>
      <c r="I11" s="171">
        <f t="shared" si="1"/>
        <v>4100420</v>
      </c>
    </row>
    <row r="12" spans="1:9">
      <c r="A12" s="195" t="s">
        <v>154</v>
      </c>
      <c r="B12" s="164"/>
      <c r="C12" s="170">
        <v>1201</v>
      </c>
      <c r="D12" s="183"/>
      <c r="E12" s="197">
        <v>9971835</v>
      </c>
      <c r="F12" s="197">
        <v>-2194312</v>
      </c>
      <c r="G12" s="197">
        <v>4167390</v>
      </c>
      <c r="H12" s="163">
        <f t="shared" si="0"/>
        <v>1973078</v>
      </c>
      <c r="I12" s="171">
        <f t="shared" si="1"/>
        <v>11944913</v>
      </c>
    </row>
    <row r="13" spans="1:9">
      <c r="A13" s="195" t="s">
        <v>155</v>
      </c>
      <c r="B13" s="164"/>
      <c r="C13" s="170">
        <v>1195</v>
      </c>
      <c r="D13" s="183"/>
      <c r="E13" s="197">
        <v>838407</v>
      </c>
      <c r="F13" s="197">
        <v>-173235</v>
      </c>
      <c r="G13" s="197">
        <v>256894</v>
      </c>
      <c r="H13" s="163">
        <f t="shared" si="0"/>
        <v>83659</v>
      </c>
      <c r="I13" s="171">
        <f t="shared" si="1"/>
        <v>922066</v>
      </c>
    </row>
    <row r="14" spans="1:9">
      <c r="A14" s="195" t="s">
        <v>206</v>
      </c>
      <c r="B14" s="164"/>
      <c r="C14" s="170">
        <v>411</v>
      </c>
      <c r="D14" s="183"/>
      <c r="E14" s="197">
        <v>842712</v>
      </c>
      <c r="F14" s="197"/>
      <c r="G14" s="197"/>
      <c r="H14" s="163"/>
      <c r="I14" s="171">
        <f t="shared" si="1"/>
        <v>842712</v>
      </c>
    </row>
    <row r="15" spans="1:9">
      <c r="A15" s="195" t="s">
        <v>207</v>
      </c>
      <c r="B15" s="164"/>
      <c r="C15" s="170"/>
      <c r="D15" s="183"/>
      <c r="E15" s="197">
        <v>414329</v>
      </c>
      <c r="F15" s="197"/>
      <c r="G15" s="197"/>
      <c r="H15" s="163">
        <f t="shared" si="0"/>
        <v>0</v>
      </c>
      <c r="I15" s="171">
        <f t="shared" si="1"/>
        <v>414329</v>
      </c>
    </row>
    <row r="16" spans="1:9">
      <c r="A16" s="195" t="s">
        <v>208</v>
      </c>
      <c r="B16" s="164"/>
      <c r="C16" s="170"/>
      <c r="D16" s="204"/>
      <c r="E16" s="197">
        <v>233979</v>
      </c>
      <c r="F16" s="197"/>
      <c r="G16" s="197"/>
      <c r="H16" s="163">
        <f t="shared" si="0"/>
        <v>0</v>
      </c>
      <c r="I16" s="171">
        <f t="shared" si="1"/>
        <v>233979</v>
      </c>
    </row>
    <row r="17" spans="1:9">
      <c r="A17" s="164"/>
      <c r="B17" s="164"/>
      <c r="C17" s="172">
        <f>SUM(C3:C16)</f>
        <v>248365</v>
      </c>
      <c r="E17" s="172">
        <f t="shared" ref="E17:I17" si="2">SUM(E3:E16)</f>
        <v>423687063.38999999</v>
      </c>
      <c r="F17" s="172">
        <f t="shared" si="2"/>
        <v>-191193835</v>
      </c>
      <c r="G17" s="172">
        <f t="shared" si="2"/>
        <v>192213745</v>
      </c>
      <c r="H17" s="172">
        <f t="shared" si="2"/>
        <v>1019910</v>
      </c>
      <c r="I17" s="172">
        <f t="shared" si="2"/>
        <v>424706973.38999999</v>
      </c>
    </row>
    <row r="18" spans="1:9" ht="15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211830</v>
      </c>
      <c r="E19" s="174">
        <f>E3+E4</f>
        <v>154995684.86000001</v>
      </c>
      <c r="F19" s="174">
        <f t="shared" ref="F19:H19" si="3">F3+F4</f>
        <v>-97675739</v>
      </c>
      <c r="G19" s="174">
        <f t="shared" si="3"/>
        <v>91825307</v>
      </c>
      <c r="H19" s="174">
        <f t="shared" si="3"/>
        <v>-5850432</v>
      </c>
      <c r="I19" s="173">
        <f>I3+I4</f>
        <v>149145252.86000001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5" thickBot="1">
      <c r="A21" s="164" t="s">
        <v>209</v>
      </c>
      <c r="B21" s="164"/>
      <c r="C21" s="191">
        <f>SUM(C5:C8,C11:C13)</f>
        <v>36104</v>
      </c>
      <c r="E21" s="192">
        <f>SUM(E5:E8,E11:E13)</f>
        <v>177648922.53</v>
      </c>
      <c r="F21" s="192">
        <f t="shared" ref="F21:H21" si="4">SUM(F5:F8,F11:F13)</f>
        <v>-93518096</v>
      </c>
      <c r="G21" s="192">
        <f t="shared" si="4"/>
        <v>100388438</v>
      </c>
      <c r="H21" s="192">
        <f t="shared" si="4"/>
        <v>6870342</v>
      </c>
      <c r="I21" s="191">
        <f>SUM(I5:I8,I11:I13)</f>
        <v>184519264.53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1862069.5</v>
      </c>
      <c r="D24" s="196">
        <v>13792662.370000001</v>
      </c>
      <c r="E24" s="198">
        <v>-9034048</v>
      </c>
      <c r="F24" s="198">
        <v>8559357</v>
      </c>
      <c r="G24" s="188">
        <f>SUM(D24:F24)</f>
        <v>13317971.370000001</v>
      </c>
      <c r="H24" s="188">
        <f>-J61</f>
        <v>31036.463599999999</v>
      </c>
      <c r="I24" s="188">
        <f>SUM(G24:H24)</f>
        <v>13349007.833600001</v>
      </c>
    </row>
    <row r="25" spans="1:9">
      <c r="A25" s="195" t="s">
        <v>203</v>
      </c>
      <c r="B25" s="164"/>
      <c r="C25" s="196">
        <v>4037.5</v>
      </c>
      <c r="D25" s="196">
        <v>30965.13</v>
      </c>
      <c r="E25" s="198">
        <v>-15495</v>
      </c>
      <c r="F25" s="198">
        <v>12401</v>
      </c>
      <c r="G25" s="188">
        <f t="shared" ref="G25:G33" si="5">SUM(D25:F25)</f>
        <v>27871.13</v>
      </c>
      <c r="H25" s="188">
        <f t="shared" ref="H25:H33" si="6">-J62</f>
        <v>-1571.4299900000003</v>
      </c>
      <c r="I25" s="188">
        <f t="shared" ref="I25:I34" si="7">SUM(G25:H25)</f>
        <v>26299.70001</v>
      </c>
    </row>
    <row r="26" spans="1:9">
      <c r="A26" s="195" t="s">
        <v>149</v>
      </c>
      <c r="B26" s="164"/>
      <c r="C26" s="196">
        <v>415267.41</v>
      </c>
      <c r="D26" s="196">
        <v>5094436.5599999996</v>
      </c>
      <c r="E26" s="198">
        <v>-2857631</v>
      </c>
      <c r="F26" s="198">
        <v>2930369</v>
      </c>
      <c r="G26" s="188">
        <f t="shared" si="5"/>
        <v>5167174.5599999996</v>
      </c>
      <c r="H26" s="188">
        <f t="shared" si="6"/>
        <v>-2976.72408</v>
      </c>
      <c r="I26" s="188">
        <f t="shared" si="7"/>
        <v>5164197.8359199995</v>
      </c>
    </row>
    <row r="27" spans="1:9">
      <c r="A27" s="195" t="s">
        <v>150</v>
      </c>
      <c r="B27" s="164"/>
      <c r="C27" s="196">
        <v>167078.47</v>
      </c>
      <c r="D27" s="196">
        <v>585080.91999999993</v>
      </c>
      <c r="E27" s="198">
        <v>-354470</v>
      </c>
      <c r="F27" s="198">
        <v>338566</v>
      </c>
      <c r="G27" s="188">
        <f t="shared" si="5"/>
        <v>569176.91999999993</v>
      </c>
      <c r="H27" s="188">
        <f t="shared" si="6"/>
        <v>385.29308999999995</v>
      </c>
      <c r="I27" s="188">
        <f t="shared" si="7"/>
        <v>569562.21308999998</v>
      </c>
    </row>
    <row r="28" spans="1:9">
      <c r="A28" s="195" t="s">
        <v>151</v>
      </c>
      <c r="B28" s="164"/>
      <c r="C28" s="196">
        <v>930486</v>
      </c>
      <c r="D28" s="196">
        <v>10294717.699999999</v>
      </c>
      <c r="E28" s="198">
        <v>-5004741</v>
      </c>
      <c r="F28" s="198">
        <v>5306438</v>
      </c>
      <c r="G28" s="188">
        <f t="shared" si="5"/>
        <v>10596414.699999999</v>
      </c>
      <c r="H28" s="188">
        <f t="shared" si="6"/>
        <v>-8392.9140399999997</v>
      </c>
      <c r="I28" s="188">
        <f t="shared" si="7"/>
        <v>10588021.78596</v>
      </c>
    </row>
    <row r="29" spans="1:9">
      <c r="A29" s="195" t="s">
        <v>152</v>
      </c>
      <c r="B29" s="164"/>
      <c r="C29" s="196">
        <v>24500</v>
      </c>
      <c r="D29" s="196">
        <v>200645.92</v>
      </c>
      <c r="E29" s="198">
        <v>-126537</v>
      </c>
      <c r="F29" s="198">
        <v>108088</v>
      </c>
      <c r="G29" s="188">
        <f t="shared" si="5"/>
        <v>182196.92</v>
      </c>
      <c r="H29" s="188">
        <f t="shared" si="6"/>
        <v>356.84934999999996</v>
      </c>
      <c r="I29" s="188">
        <f t="shared" si="7"/>
        <v>182553.76935000002</v>
      </c>
    </row>
    <row r="30" spans="1:9">
      <c r="A30" s="195" t="s">
        <v>153</v>
      </c>
      <c r="B30" s="164"/>
      <c r="C30" s="196">
        <v>420000</v>
      </c>
      <c r="D30" s="196">
        <f>5287381.48-83298.8</f>
        <v>5204082.6800000006</v>
      </c>
      <c r="E30" s="198">
        <v>0</v>
      </c>
      <c r="F30" s="198">
        <v>0</v>
      </c>
      <c r="G30" s="188">
        <f t="shared" si="5"/>
        <v>5204082.6800000006</v>
      </c>
      <c r="H30" s="188">
        <f t="shared" si="6"/>
        <v>0</v>
      </c>
      <c r="I30" s="188">
        <f t="shared" si="7"/>
        <v>5204082.6800000006</v>
      </c>
    </row>
    <row r="31" spans="1:9">
      <c r="A31" s="195" t="s">
        <v>205</v>
      </c>
      <c r="B31" s="164"/>
      <c r="C31" s="196">
        <v>864</v>
      </c>
      <c r="D31" s="196">
        <v>280576.66000000003</v>
      </c>
      <c r="E31" s="198">
        <v>0</v>
      </c>
      <c r="F31" s="198">
        <v>0</v>
      </c>
      <c r="G31" s="188">
        <f t="shared" si="5"/>
        <v>280576.66000000003</v>
      </c>
      <c r="H31" s="188">
        <f t="shared" si="6"/>
        <v>0</v>
      </c>
      <c r="I31" s="188">
        <f t="shared" si="7"/>
        <v>280576.66000000003</v>
      </c>
    </row>
    <row r="32" spans="1:9">
      <c r="A32" s="195" t="s">
        <v>154</v>
      </c>
      <c r="B32" s="164"/>
      <c r="C32" s="196">
        <v>21726</v>
      </c>
      <c r="D32" s="196">
        <v>827995.34000000008</v>
      </c>
      <c r="E32" s="198">
        <v>-188718</v>
      </c>
      <c r="F32" s="198">
        <v>350150</v>
      </c>
      <c r="G32" s="188">
        <f t="shared" si="5"/>
        <v>989427.34000000008</v>
      </c>
      <c r="H32" s="188">
        <f t="shared" si="6"/>
        <v>-3255.5787</v>
      </c>
      <c r="I32" s="188">
        <f t="shared" si="7"/>
        <v>986171.76130000013</v>
      </c>
    </row>
    <row r="33" spans="1:10">
      <c r="A33" s="195" t="s">
        <v>155</v>
      </c>
      <c r="B33" s="164"/>
      <c r="C33" s="196">
        <v>21690</v>
      </c>
      <c r="D33" s="196">
        <v>90762.69</v>
      </c>
      <c r="E33" s="198">
        <v>-24942</v>
      </c>
      <c r="F33" s="198">
        <v>31521</v>
      </c>
      <c r="G33" s="188">
        <f t="shared" si="5"/>
        <v>97341.69</v>
      </c>
      <c r="H33" s="188">
        <f t="shared" si="6"/>
        <v>-95.371259999999992</v>
      </c>
      <c r="I33" s="188">
        <f t="shared" si="7"/>
        <v>97246.318740000002</v>
      </c>
    </row>
    <row r="34" spans="1:10">
      <c r="A34" s="195" t="s">
        <v>217</v>
      </c>
      <c r="B34" s="164"/>
      <c r="C34" s="188"/>
      <c r="D34" s="196">
        <v>524597.38</v>
      </c>
      <c r="E34" s="196"/>
      <c r="F34" s="196"/>
      <c r="G34" s="188">
        <f>SUM(D34:F34)</f>
        <v>524597.38</v>
      </c>
      <c r="H34" s="188"/>
      <c r="I34" s="188">
        <f t="shared" si="7"/>
        <v>524597.38</v>
      </c>
    </row>
    <row r="35" spans="1:10">
      <c r="A35" s="195" t="s">
        <v>218</v>
      </c>
      <c r="B35" s="164"/>
      <c r="C35" s="183"/>
      <c r="D35" s="196">
        <v>1398022.97</v>
      </c>
      <c r="E35" s="196"/>
      <c r="F35" s="196"/>
      <c r="G35" s="188"/>
      <c r="H35" s="188"/>
      <c r="I35" s="188"/>
    </row>
    <row r="36" spans="1:10">
      <c r="A36" s="195" t="s">
        <v>219</v>
      </c>
      <c r="B36" s="164"/>
      <c r="C36" s="183"/>
      <c r="D36" s="196">
        <v>1424680.71</v>
      </c>
      <c r="E36" s="196"/>
      <c r="F36" s="196"/>
      <c r="G36" s="188"/>
      <c r="H36" s="188"/>
      <c r="I36" s="188"/>
    </row>
    <row r="37" spans="1:10">
      <c r="A37" s="164"/>
      <c r="B37" s="164"/>
      <c r="C37" s="178">
        <f>SUM(C24:C36)</f>
        <v>3867718.8800000004</v>
      </c>
      <c r="D37" s="178">
        <f t="shared" ref="D37:I37" si="8">SUM(D24:D36)</f>
        <v>39749227.030000009</v>
      </c>
      <c r="E37" s="178">
        <f t="shared" si="8"/>
        <v>-17606582</v>
      </c>
      <c r="F37" s="178">
        <f t="shared" si="8"/>
        <v>17636890</v>
      </c>
      <c r="G37" s="178">
        <f t="shared" si="8"/>
        <v>36956831.350000009</v>
      </c>
      <c r="H37" s="178">
        <f t="shared" si="8"/>
        <v>15486.587969999999</v>
      </c>
      <c r="I37" s="178">
        <f t="shared" si="8"/>
        <v>36972317.937969998</v>
      </c>
    </row>
    <row r="38" spans="1:10" ht="15" thickBot="1">
      <c r="A38" s="164"/>
      <c r="B38" s="164"/>
      <c r="D38" s="179"/>
      <c r="E38" s="164"/>
      <c r="F38" s="164"/>
    </row>
    <row r="39" spans="1:10">
      <c r="A39" s="164" t="s">
        <v>19</v>
      </c>
      <c r="B39" s="164"/>
      <c r="C39" s="181">
        <f>C24+C25</f>
        <v>1866107</v>
      </c>
      <c r="D39" s="180">
        <f t="shared" ref="D39:I39" si="9">D24+D25</f>
        <v>13823627.500000002</v>
      </c>
      <c r="E39" s="180">
        <f t="shared" si="9"/>
        <v>-9049543</v>
      </c>
      <c r="F39" s="180">
        <f t="shared" si="9"/>
        <v>8571758</v>
      </c>
      <c r="G39" s="180">
        <f t="shared" si="9"/>
        <v>13345842.500000002</v>
      </c>
      <c r="H39" s="180">
        <f t="shared" si="9"/>
        <v>29465.033609999999</v>
      </c>
      <c r="I39" s="181">
        <f t="shared" si="9"/>
        <v>13375307.533610001</v>
      </c>
    </row>
    <row r="40" spans="1:10" ht="6" customHeight="1">
      <c r="A40" s="164"/>
      <c r="B40" s="164"/>
      <c r="C40" s="187"/>
      <c r="D40" s="180"/>
      <c r="E40" s="164"/>
      <c r="F40" s="164"/>
      <c r="I40" s="182"/>
    </row>
    <row r="41" spans="1:10" ht="15" thickBot="1">
      <c r="A41" s="164" t="s">
        <v>209</v>
      </c>
      <c r="B41" s="164"/>
      <c r="C41" s="189">
        <f>SUM(C26:C29,C31:C33)</f>
        <v>1581611.88</v>
      </c>
      <c r="D41" s="190">
        <f t="shared" ref="D41:I41" si="10">SUM(D26:D29,D31:D33)</f>
        <v>17374215.790000003</v>
      </c>
      <c r="E41" s="190">
        <f t="shared" si="10"/>
        <v>-8557039</v>
      </c>
      <c r="F41" s="190">
        <f t="shared" si="10"/>
        <v>9065132</v>
      </c>
      <c r="G41" s="190">
        <f t="shared" si="10"/>
        <v>17882308.789999999</v>
      </c>
      <c r="H41" s="190">
        <f t="shared" si="10"/>
        <v>-13978.44564</v>
      </c>
      <c r="I41" s="189">
        <f t="shared" si="10"/>
        <v>17868330.344359998</v>
      </c>
    </row>
    <row r="42" spans="1:10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>
      <c r="C44" s="161">
        <v>42675</v>
      </c>
      <c r="D44" s="185">
        <v>42675</v>
      </c>
      <c r="E44" s="185">
        <v>42278</v>
      </c>
      <c r="F44" s="161">
        <v>42583</v>
      </c>
      <c r="G44" s="161">
        <v>42644</v>
      </c>
      <c r="H44" s="161">
        <v>42380</v>
      </c>
      <c r="I44" s="161">
        <v>42552</v>
      </c>
      <c r="J44" s="161"/>
    </row>
    <row r="45" spans="1:10" ht="30" customHeight="1">
      <c r="A45" s="193" t="s">
        <v>220</v>
      </c>
      <c r="B45" s="166"/>
      <c r="C45" s="177" t="s">
        <v>221</v>
      </c>
      <c r="D45" s="177" t="s">
        <v>239</v>
      </c>
      <c r="E45" s="177" t="s">
        <v>222</v>
      </c>
      <c r="F45" s="177" t="s">
        <v>223</v>
      </c>
      <c r="G45" s="177" t="s">
        <v>224</v>
      </c>
      <c r="H45" s="177" t="s">
        <v>225</v>
      </c>
      <c r="I45" s="177" t="s">
        <v>226</v>
      </c>
      <c r="J45" s="177"/>
    </row>
    <row r="46" spans="1:10">
      <c r="A46" s="195" t="s">
        <v>148</v>
      </c>
      <c r="B46" s="164"/>
      <c r="C46" s="184">
        <v>-5.1000000000000004E-4</v>
      </c>
      <c r="D46" s="184">
        <v>2.63E-3</v>
      </c>
      <c r="E46" s="184"/>
      <c r="F46" s="184">
        <v>2.6199999999999999E-3</v>
      </c>
      <c r="G46" s="184">
        <v>9.7000000000000005E-4</v>
      </c>
      <c r="H46" s="184">
        <v>0</v>
      </c>
      <c r="I46" s="184">
        <v>-3.5E-4</v>
      </c>
      <c r="J46" s="184"/>
    </row>
    <row r="47" spans="1:10">
      <c r="A47" s="195" t="s">
        <v>203</v>
      </c>
      <c r="B47" s="164"/>
      <c r="C47" s="184">
        <v>-5.1000000000000004E-4</v>
      </c>
      <c r="D47" s="184">
        <v>2.63E-3</v>
      </c>
      <c r="E47" s="184">
        <v>-3.1530000000000002E-2</v>
      </c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/>
    </row>
    <row r="48" spans="1:10">
      <c r="A48" s="195" t="s">
        <v>149</v>
      </c>
      <c r="B48" s="164"/>
      <c r="C48" s="184"/>
      <c r="D48" s="184">
        <v>-1.4300000000000001E-3</v>
      </c>
      <c r="E48" s="184"/>
      <c r="F48" s="184">
        <v>3.62E-3</v>
      </c>
      <c r="G48" s="184">
        <v>1.41E-3</v>
      </c>
      <c r="H48" s="184">
        <v>0</v>
      </c>
      <c r="I48" s="184">
        <v>-3.6000000000000002E-4</v>
      </c>
      <c r="J48" s="184"/>
    </row>
    <row r="49" spans="1:13">
      <c r="A49" s="195" t="s">
        <v>150</v>
      </c>
      <c r="B49" s="164"/>
      <c r="C49" s="184">
        <v>-5.1000000000000004E-4</v>
      </c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/>
    </row>
    <row r="50" spans="1:13">
      <c r="A50" s="195" t="s">
        <v>151</v>
      </c>
      <c r="B50" s="164"/>
      <c r="C50" s="184"/>
      <c r="D50" s="184">
        <v>-1.4300000000000001E-3</v>
      </c>
      <c r="E50" s="184"/>
      <c r="F50" s="184">
        <v>2.7299999999999998E-3</v>
      </c>
      <c r="G50" s="184">
        <v>1.0200000000000001E-3</v>
      </c>
      <c r="H50" s="184">
        <v>0</v>
      </c>
      <c r="I50" s="184">
        <v>-3.6000000000000002E-4</v>
      </c>
      <c r="J50" s="184"/>
    </row>
    <row r="51" spans="1:13">
      <c r="A51" s="195" t="s">
        <v>152</v>
      </c>
      <c r="B51" s="164"/>
      <c r="C51" s="184">
        <v>-5.1000000000000004E-4</v>
      </c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/>
    </row>
    <row r="52" spans="1:13">
      <c r="A52" s="195" t="s">
        <v>153</v>
      </c>
      <c r="B52" s="164"/>
      <c r="C52" s="184"/>
      <c r="D52" s="184"/>
      <c r="E52" s="184"/>
      <c r="F52" s="184">
        <v>1.72E-3</v>
      </c>
      <c r="G52" s="184">
        <v>6.4000000000000005E-4</v>
      </c>
      <c r="H52" s="184">
        <v>0</v>
      </c>
      <c r="I52" s="184">
        <v>-3.4000000000000002E-4</v>
      </c>
      <c r="J52" s="184"/>
    </row>
    <row r="53" spans="1:13">
      <c r="A53" s="195" t="s">
        <v>204</v>
      </c>
      <c r="B53" s="164"/>
      <c r="C53" s="184"/>
      <c r="D53" s="184"/>
      <c r="E53" s="184"/>
      <c r="F53" s="184">
        <v>1.72E-3</v>
      </c>
      <c r="G53" s="184">
        <v>0</v>
      </c>
      <c r="H53" s="184">
        <v>0</v>
      </c>
      <c r="I53" s="184">
        <v>-3.4000000000000002E-4</v>
      </c>
      <c r="J53" s="184"/>
    </row>
    <row r="54" spans="1:13">
      <c r="A54" s="195" t="s">
        <v>205</v>
      </c>
      <c r="B54" s="164"/>
      <c r="C54" s="184"/>
      <c r="D54" s="184">
        <v>-1.4300000000000001E-3</v>
      </c>
      <c r="E54" s="184"/>
      <c r="F54" s="184">
        <v>2.6099999999999999E-3</v>
      </c>
      <c r="G54" s="184">
        <v>8.8999999999999995E-4</v>
      </c>
      <c r="H54" s="184">
        <v>0</v>
      </c>
      <c r="I54" s="184">
        <v>-4.2000000000000002E-4</v>
      </c>
      <c r="J54" s="184"/>
    </row>
    <row r="55" spans="1:13">
      <c r="A55" s="195" t="s">
        <v>154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/>
    </row>
    <row r="56" spans="1:13">
      <c r="A56" s="195" t="s">
        <v>155</v>
      </c>
      <c r="B56" s="164"/>
      <c r="C56" s="184">
        <v>-5.1000000000000004E-4</v>
      </c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 ht="14.4" customHeight="1">
      <c r="A57" s="195" t="s">
        <v>217</v>
      </c>
      <c r="B57" s="164"/>
      <c r="C57" s="202"/>
      <c r="D57" s="184"/>
      <c r="E57" s="184"/>
      <c r="F57" s="202">
        <v>8.6199999999999992E-3</v>
      </c>
      <c r="G57" s="255" t="s">
        <v>235</v>
      </c>
      <c r="H57" s="184">
        <v>0</v>
      </c>
      <c r="I57" s="199">
        <v>-3.6999999999999999E-4</v>
      </c>
      <c r="J57" s="202"/>
    </row>
    <row r="58" spans="1:13">
      <c r="A58" s="195" t="s">
        <v>208</v>
      </c>
      <c r="B58" s="164"/>
      <c r="C58" s="202"/>
      <c r="D58" s="184"/>
      <c r="E58" s="184"/>
      <c r="F58" s="202">
        <v>8.6199999999999992E-3</v>
      </c>
      <c r="G58" s="255"/>
      <c r="H58" s="184">
        <v>0</v>
      </c>
      <c r="I58" s="199">
        <v>-3.6999999999999999E-4</v>
      </c>
      <c r="J58" s="202"/>
    </row>
    <row r="59" spans="1:13">
      <c r="E59" s="164"/>
    </row>
    <row r="60" spans="1:13" ht="40.200000000000003">
      <c r="A60" s="193" t="s">
        <v>227</v>
      </c>
      <c r="B60" s="166"/>
      <c r="C60" s="186" t="s">
        <v>234</v>
      </c>
      <c r="D60" s="186" t="s">
        <v>239</v>
      </c>
      <c r="E60" s="186" t="s">
        <v>228</v>
      </c>
      <c r="F60" s="186" t="s">
        <v>229</v>
      </c>
      <c r="G60" s="186" t="s">
        <v>230</v>
      </c>
      <c r="H60" s="186" t="s">
        <v>231</v>
      </c>
      <c r="I60" s="186" t="s">
        <v>232</v>
      </c>
      <c r="J60" s="186" t="s">
        <v>233</v>
      </c>
      <c r="M60" s="216"/>
    </row>
    <row r="61" spans="1:13">
      <c r="A61" s="195" t="s">
        <v>148</v>
      </c>
      <c r="C61" s="180">
        <f t="shared" ref="C61:I66" si="11">$H3*C46</f>
        <v>2953.0963500000003</v>
      </c>
      <c r="D61" s="180">
        <f t="shared" si="11"/>
        <v>-15228.71255</v>
      </c>
      <c r="E61" s="180">
        <f t="shared" si="11"/>
        <v>0</v>
      </c>
      <c r="F61" s="180">
        <f t="shared" si="11"/>
        <v>-15170.8087</v>
      </c>
      <c r="G61" s="180">
        <f t="shared" si="11"/>
        <v>-5616.6734500000002</v>
      </c>
      <c r="H61" s="180">
        <f t="shared" si="11"/>
        <v>0</v>
      </c>
      <c r="I61" s="180">
        <f t="shared" si="11"/>
        <v>2026.6347499999999</v>
      </c>
      <c r="J61" s="180">
        <f>SUM(C61:I61)</f>
        <v>-31036.463599999999</v>
      </c>
      <c r="M61" s="180"/>
    </row>
    <row r="62" spans="1:13">
      <c r="A62" s="195" t="s">
        <v>203</v>
      </c>
      <c r="C62" s="180">
        <f t="shared" si="11"/>
        <v>30.623970000000003</v>
      </c>
      <c r="D62" s="180">
        <f t="shared" si="11"/>
        <v>-157.92361</v>
      </c>
      <c r="E62" s="180">
        <f t="shared" si="11"/>
        <v>1893.2819100000002</v>
      </c>
      <c r="F62" s="180">
        <f t="shared" si="11"/>
        <v>-157.32314</v>
      </c>
      <c r="G62" s="180">
        <f t="shared" si="11"/>
        <v>-58.24559</v>
      </c>
      <c r="H62" s="180">
        <f t="shared" si="11"/>
        <v>0</v>
      </c>
      <c r="I62" s="180">
        <f t="shared" si="11"/>
        <v>21.016449999999999</v>
      </c>
      <c r="J62" s="180">
        <f t="shared" ref="J62:J71" si="12">SUM(C62:I62)</f>
        <v>1571.4299900000003</v>
      </c>
      <c r="M62" s="180"/>
    </row>
    <row r="63" spans="1:13">
      <c r="A63" s="195" t="s">
        <v>149</v>
      </c>
      <c r="C63" s="180">
        <f t="shared" si="11"/>
        <v>0</v>
      </c>
      <c r="D63" s="180">
        <f t="shared" si="11"/>
        <v>-1313.80106</v>
      </c>
      <c r="E63" s="180">
        <f t="shared" si="11"/>
        <v>0</v>
      </c>
      <c r="F63" s="180">
        <f t="shared" si="11"/>
        <v>3325.8460399999999</v>
      </c>
      <c r="G63" s="180">
        <f t="shared" si="11"/>
        <v>1295.4262200000001</v>
      </c>
      <c r="H63" s="180">
        <f t="shared" si="11"/>
        <v>0</v>
      </c>
      <c r="I63" s="180">
        <f t="shared" si="11"/>
        <v>-330.74712</v>
      </c>
      <c r="J63" s="180">
        <f t="shared" si="12"/>
        <v>2976.72408</v>
      </c>
      <c r="M63" s="180"/>
    </row>
    <row r="64" spans="1:13">
      <c r="A64" s="195" t="s">
        <v>150</v>
      </c>
      <c r="C64" s="180">
        <f t="shared" si="11"/>
        <v>71.977830000000012</v>
      </c>
      <c r="D64" s="180">
        <f t="shared" si="11"/>
        <v>201.82019</v>
      </c>
      <c r="E64" s="180">
        <f t="shared" si="11"/>
        <v>0</v>
      </c>
      <c r="F64" s="180">
        <f t="shared" si="11"/>
        <v>-510.90145999999999</v>
      </c>
      <c r="G64" s="180">
        <f t="shared" si="11"/>
        <v>-198.99753000000001</v>
      </c>
      <c r="H64" s="180">
        <f t="shared" si="11"/>
        <v>0</v>
      </c>
      <c r="I64" s="180">
        <f t="shared" si="11"/>
        <v>50.807880000000004</v>
      </c>
      <c r="J64" s="180">
        <f t="shared" si="12"/>
        <v>-385.29308999999995</v>
      </c>
      <c r="M64" s="180"/>
    </row>
    <row r="65" spans="1:13">
      <c r="A65" s="195" t="s">
        <v>151</v>
      </c>
      <c r="C65" s="180">
        <f t="shared" si="11"/>
        <v>0</v>
      </c>
      <c r="D65" s="180">
        <f t="shared" si="11"/>
        <v>-6123.40157</v>
      </c>
      <c r="E65" s="180">
        <f t="shared" si="11"/>
        <v>0</v>
      </c>
      <c r="F65" s="180">
        <f t="shared" si="11"/>
        <v>11690.13027</v>
      </c>
      <c r="G65" s="180">
        <f t="shared" si="11"/>
        <v>4367.7409800000005</v>
      </c>
      <c r="H65" s="180">
        <f t="shared" si="11"/>
        <v>0</v>
      </c>
      <c r="I65" s="180">
        <f t="shared" si="11"/>
        <v>-1541.55564</v>
      </c>
      <c r="J65" s="180">
        <f t="shared" si="12"/>
        <v>8392.9140399999997</v>
      </c>
      <c r="M65" s="180"/>
    </row>
    <row r="66" spans="1:13">
      <c r="A66" s="195" t="s">
        <v>152</v>
      </c>
      <c r="C66" s="180">
        <f t="shared" si="11"/>
        <v>125.51253000000001</v>
      </c>
      <c r="D66" s="180">
        <f t="shared" si="11"/>
        <v>351.92729000000003</v>
      </c>
      <c r="E66" s="180">
        <f t="shared" si="11"/>
        <v>0</v>
      </c>
      <c r="F66" s="180">
        <f t="shared" si="11"/>
        <v>-671.86118999999997</v>
      </c>
      <c r="G66" s="180">
        <f t="shared" si="11"/>
        <v>-251.02506000000002</v>
      </c>
      <c r="H66" s="180">
        <f t="shared" si="11"/>
        <v>0</v>
      </c>
      <c r="I66" s="180">
        <f t="shared" si="11"/>
        <v>88.597080000000005</v>
      </c>
      <c r="J66" s="180">
        <f t="shared" si="12"/>
        <v>-356.84934999999996</v>
      </c>
      <c r="M66" s="180"/>
    </row>
    <row r="67" spans="1:13">
      <c r="A67" s="195" t="s">
        <v>153</v>
      </c>
      <c r="C67" s="180">
        <f t="shared" ref="C67:I67" si="13">($H9+$H10)*C52</f>
        <v>0</v>
      </c>
      <c r="D67" s="180">
        <f t="shared" si="13"/>
        <v>0</v>
      </c>
      <c r="E67" s="180">
        <f t="shared" si="13"/>
        <v>0</v>
      </c>
      <c r="F67" s="180">
        <f t="shared" si="13"/>
        <v>0</v>
      </c>
      <c r="G67" s="180">
        <f t="shared" si="13"/>
        <v>0</v>
      </c>
      <c r="H67" s="180">
        <f t="shared" si="13"/>
        <v>0</v>
      </c>
      <c r="I67" s="180">
        <f t="shared" si="13"/>
        <v>0</v>
      </c>
      <c r="J67" s="180">
        <f t="shared" si="12"/>
        <v>0</v>
      </c>
      <c r="M67" s="180"/>
    </row>
    <row r="68" spans="1:13">
      <c r="A68" s="195" t="s">
        <v>205</v>
      </c>
      <c r="C68" s="180">
        <f t="shared" ref="C68:I70" si="14">$H11*C54</f>
        <v>0</v>
      </c>
      <c r="D68" s="180">
        <f t="shared" si="14"/>
        <v>0</v>
      </c>
      <c r="E68" s="180">
        <f t="shared" si="14"/>
        <v>0</v>
      </c>
      <c r="F68" s="180">
        <f t="shared" si="14"/>
        <v>0</v>
      </c>
      <c r="G68" s="180">
        <f t="shared" si="14"/>
        <v>0</v>
      </c>
      <c r="H68" s="180">
        <f t="shared" si="14"/>
        <v>0</v>
      </c>
      <c r="I68" s="180">
        <f t="shared" si="14"/>
        <v>0</v>
      </c>
      <c r="J68" s="180">
        <f t="shared" si="12"/>
        <v>0</v>
      </c>
      <c r="M68" s="180"/>
    </row>
    <row r="69" spans="1:13">
      <c r="A69" s="195" t="s">
        <v>154</v>
      </c>
      <c r="C69" s="180">
        <f t="shared" si="14"/>
        <v>0</v>
      </c>
      <c r="D69" s="180">
        <f t="shared" si="14"/>
        <v>-2821.5015400000002</v>
      </c>
      <c r="E69" s="180">
        <f t="shared" si="14"/>
        <v>0</v>
      </c>
      <c r="F69" s="180">
        <f t="shared" si="14"/>
        <v>5149.7335800000001</v>
      </c>
      <c r="G69" s="180">
        <f t="shared" si="14"/>
        <v>1756.0394199999998</v>
      </c>
      <c r="H69" s="180">
        <f t="shared" si="14"/>
        <v>0</v>
      </c>
      <c r="I69" s="180">
        <f t="shared" si="14"/>
        <v>-828.69276000000002</v>
      </c>
      <c r="J69" s="180">
        <f t="shared" si="12"/>
        <v>3255.5787</v>
      </c>
      <c r="M69" s="180"/>
    </row>
    <row r="70" spans="1:13">
      <c r="A70" s="195" t="s">
        <v>155</v>
      </c>
      <c r="C70" s="180">
        <f t="shared" si="14"/>
        <v>-42.666090000000004</v>
      </c>
      <c r="D70" s="180">
        <f t="shared" si="14"/>
        <v>-119.63237000000001</v>
      </c>
      <c r="E70" s="180">
        <f t="shared" si="14"/>
        <v>0</v>
      </c>
      <c r="F70" s="180">
        <f t="shared" si="14"/>
        <v>218.34998999999999</v>
      </c>
      <c r="G70" s="180">
        <f t="shared" si="14"/>
        <v>74.456509999999994</v>
      </c>
      <c r="H70" s="180">
        <f t="shared" si="14"/>
        <v>0</v>
      </c>
      <c r="I70" s="180">
        <f t="shared" si="14"/>
        <v>-35.136780000000002</v>
      </c>
      <c r="J70" s="180">
        <f t="shared" si="12"/>
        <v>95.371259999999992</v>
      </c>
      <c r="M70" s="180"/>
    </row>
    <row r="71" spans="1:13">
      <c r="A71" s="195" t="s">
        <v>217</v>
      </c>
      <c r="C71" s="180">
        <f>($H14+$H15)*C57</f>
        <v>0</v>
      </c>
      <c r="D71" s="180">
        <f>($H14+$H15)*D57</f>
        <v>0</v>
      </c>
      <c r="E71" s="180">
        <f>($H14+$H15)*E57</f>
        <v>0</v>
      </c>
      <c r="F71" s="180">
        <f>($H14+$H15)*F57</f>
        <v>0</v>
      </c>
      <c r="G71" s="180"/>
      <c r="H71" s="180">
        <f>($H14+$H15)*H57</f>
        <v>0</v>
      </c>
      <c r="I71" s="180">
        <f>($H14+$H15)*I57</f>
        <v>0</v>
      </c>
      <c r="J71" s="180">
        <f t="shared" si="12"/>
        <v>0</v>
      </c>
      <c r="M71" s="180"/>
    </row>
    <row r="72" spans="1:13">
      <c r="A72" s="169"/>
      <c r="C72" s="194">
        <f>SUM(C61:C71)</f>
        <v>3138.54459</v>
      </c>
      <c r="D72" s="194">
        <f>SUM(D61:D71)</f>
        <v>-25211.225220000004</v>
      </c>
      <c r="E72" s="194">
        <f t="shared" ref="E72:J72" si="15">SUM(E61:E71)</f>
        <v>1893.2819100000002</v>
      </c>
      <c r="F72" s="194">
        <f t="shared" si="15"/>
        <v>3873.165390000001</v>
      </c>
      <c r="G72" s="194">
        <f t="shared" si="15"/>
        <v>1368.7215000000001</v>
      </c>
      <c r="H72" s="194">
        <f t="shared" si="15"/>
        <v>0</v>
      </c>
      <c r="I72" s="194">
        <f t="shared" si="15"/>
        <v>-549.07614000000001</v>
      </c>
      <c r="J72" s="194">
        <f t="shared" si="15"/>
        <v>-15486.587969999999</v>
      </c>
    </row>
    <row r="73" spans="1:13" ht="15.75" customHeight="1"/>
    <row r="74" spans="1:13">
      <c r="A74" s="164" t="s">
        <v>19</v>
      </c>
      <c r="B74" s="164"/>
      <c r="C74" s="180">
        <f>C61+C62</f>
        <v>2983.7203200000004</v>
      </c>
      <c r="D74" s="180">
        <f>D61+D62</f>
        <v>-15386.63616</v>
      </c>
      <c r="E74" s="180">
        <f t="shared" ref="E74:J74" si="16">E61+E62</f>
        <v>1893.2819100000002</v>
      </c>
      <c r="F74" s="180">
        <f t="shared" si="16"/>
        <v>-15328.13184</v>
      </c>
      <c r="G74" s="180">
        <f t="shared" si="16"/>
        <v>-5674.9190400000007</v>
      </c>
      <c r="H74" s="180">
        <f t="shared" si="16"/>
        <v>0</v>
      </c>
      <c r="I74" s="180">
        <f t="shared" si="16"/>
        <v>2047.6512</v>
      </c>
      <c r="J74" s="180">
        <f t="shared" si="16"/>
        <v>-29465.033609999999</v>
      </c>
    </row>
    <row r="75" spans="1:13">
      <c r="A75" s="164"/>
      <c r="B75" s="164"/>
      <c r="C75" s="180"/>
      <c r="D75" s="180"/>
      <c r="E75" s="180"/>
      <c r="F75" s="180"/>
      <c r="G75" s="180"/>
      <c r="H75" s="180"/>
      <c r="I75" s="180"/>
      <c r="J75" s="180"/>
    </row>
    <row r="76" spans="1:13">
      <c r="A76" s="164" t="s">
        <v>209</v>
      </c>
      <c r="B76" s="164"/>
      <c r="C76" s="190">
        <f>SUM(C63:C66,C68:C70)</f>
        <v>154.82427000000001</v>
      </c>
      <c r="D76" s="190">
        <f>SUM(D63:D66,D68:D70)</f>
        <v>-9824.5890600000002</v>
      </c>
      <c r="E76" s="190">
        <f t="shared" ref="E76:J76" si="17">SUM(E63:E66,E68:E70)</f>
        <v>0</v>
      </c>
      <c r="F76" s="190">
        <f t="shared" si="17"/>
        <v>19201.29723</v>
      </c>
      <c r="G76" s="190">
        <f t="shared" si="17"/>
        <v>7043.6405400000003</v>
      </c>
      <c r="H76" s="190">
        <f t="shared" si="17"/>
        <v>0</v>
      </c>
      <c r="I76" s="190">
        <f t="shared" si="17"/>
        <v>-2596.7273399999999</v>
      </c>
      <c r="J76" s="190">
        <f t="shared" si="17"/>
        <v>13978.44564</v>
      </c>
    </row>
    <row r="77" spans="1:13" ht="15.75" customHeight="1"/>
    <row r="78" spans="1:13" ht="15.75" customHeight="1"/>
  </sheetData>
  <mergeCells count="2">
    <mergeCell ref="A1:I1"/>
    <mergeCell ref="G57:G58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  <pageSetUpPr fitToPage="1"/>
  </sheetPr>
  <dimension ref="A1:M76"/>
  <sheetViews>
    <sheetView workbookViewId="0">
      <selection activeCell="E7" sqref="E7"/>
    </sheetView>
  </sheetViews>
  <sheetFormatPr defaultColWidth="9.109375" defaultRowHeight="15.75" customHeight="1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 ht="14.4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 ht="14.4">
      <c r="A3" s="195" t="s">
        <v>148</v>
      </c>
      <c r="B3" s="164"/>
      <c r="C3" s="170">
        <v>210785</v>
      </c>
      <c r="D3" s="183"/>
      <c r="E3" s="197">
        <v>163896463.11000001</v>
      </c>
      <c r="F3" s="197">
        <v>-100059247</v>
      </c>
      <c r="G3" s="197">
        <v>97415886</v>
      </c>
      <c r="H3" s="163">
        <f>SUM(F3:G3)</f>
        <v>-2643361</v>
      </c>
      <c r="I3" s="171">
        <f>E3+H3</f>
        <v>161253102.11000001</v>
      </c>
    </row>
    <row r="4" spans="1:9" ht="14.4">
      <c r="A4" s="195" t="s">
        <v>203</v>
      </c>
      <c r="B4" s="164"/>
      <c r="C4" s="170">
        <v>473</v>
      </c>
      <c r="D4" s="183"/>
      <c r="E4" s="197">
        <v>440286</v>
      </c>
      <c r="F4" s="197">
        <v>-279417</v>
      </c>
      <c r="G4" s="197">
        <v>259853</v>
      </c>
      <c r="H4" s="163">
        <f t="shared" ref="H4:H16" si="0">SUM(F4:G4)</f>
        <v>-19564</v>
      </c>
      <c r="I4" s="171">
        <f t="shared" ref="I4:I16" si="1">E4+H4</f>
        <v>420722</v>
      </c>
    </row>
    <row r="5" spans="1:9" ht="14.4">
      <c r="A5" s="195" t="s">
        <v>149</v>
      </c>
      <c r="B5" s="164"/>
      <c r="C5" s="170">
        <v>22275</v>
      </c>
      <c r="D5" s="183"/>
      <c r="E5" s="197">
        <v>41547460.5</v>
      </c>
      <c r="F5" s="197">
        <v>-23415149</v>
      </c>
      <c r="G5" s="197">
        <v>24599388</v>
      </c>
      <c r="H5" s="163">
        <f t="shared" si="0"/>
        <v>1184239</v>
      </c>
      <c r="I5" s="171">
        <f t="shared" si="1"/>
        <v>42731699.5</v>
      </c>
    </row>
    <row r="6" spans="1:9" ht="14.4">
      <c r="A6" s="195" t="s">
        <v>150</v>
      </c>
      <c r="B6" s="164"/>
      <c r="C6" s="170">
        <v>9117</v>
      </c>
      <c r="D6" s="183"/>
      <c r="E6" s="197">
        <v>4004139</v>
      </c>
      <c r="F6" s="197">
        <v>-2682404</v>
      </c>
      <c r="G6" s="197">
        <v>2367547</v>
      </c>
      <c r="H6" s="163">
        <f t="shared" si="0"/>
        <v>-314857</v>
      </c>
      <c r="I6" s="171">
        <f t="shared" si="1"/>
        <v>3689282</v>
      </c>
    </row>
    <row r="7" spans="1:9" ht="14.4">
      <c r="A7" s="195" t="s">
        <v>151</v>
      </c>
      <c r="B7" s="164"/>
      <c r="C7" s="170">
        <v>1838</v>
      </c>
      <c r="D7" s="183"/>
      <c r="E7" s="197">
        <v>106015937</v>
      </c>
      <c r="F7" s="197">
        <v>-56190770</v>
      </c>
      <c r="G7" s="197">
        <v>62624498</v>
      </c>
      <c r="H7" s="163">
        <f t="shared" si="0"/>
        <v>6433728</v>
      </c>
      <c r="I7" s="171">
        <f t="shared" si="1"/>
        <v>112449665</v>
      </c>
    </row>
    <row r="8" spans="1:9" ht="14.4">
      <c r="A8" s="195" t="s">
        <v>152</v>
      </c>
      <c r="B8" s="164"/>
      <c r="C8" s="170">
        <v>51</v>
      </c>
      <c r="D8" s="183"/>
      <c r="E8" s="197">
        <v>2633400</v>
      </c>
      <c r="F8" s="197">
        <v>-1369144</v>
      </c>
      <c r="G8" s="197">
        <v>1559116</v>
      </c>
      <c r="H8" s="163">
        <f t="shared" si="0"/>
        <v>189972</v>
      </c>
      <c r="I8" s="171">
        <f t="shared" si="1"/>
        <v>2823372</v>
      </c>
    </row>
    <row r="9" spans="1:9" ht="14.4">
      <c r="A9" s="195" t="s">
        <v>153</v>
      </c>
      <c r="B9" s="164"/>
      <c r="C9" s="170">
        <v>21</v>
      </c>
      <c r="D9" s="183"/>
      <c r="E9" s="197">
        <f>91586792-E10</f>
        <v>56035288</v>
      </c>
      <c r="F9" s="197">
        <v>0</v>
      </c>
      <c r="G9" s="197">
        <v>0</v>
      </c>
      <c r="H9" s="163">
        <f t="shared" si="0"/>
        <v>0</v>
      </c>
      <c r="I9" s="171">
        <f t="shared" si="1"/>
        <v>56035288</v>
      </c>
    </row>
    <row r="10" spans="1:9" ht="14.4">
      <c r="A10" s="195" t="s">
        <v>204</v>
      </c>
      <c r="B10" s="164"/>
      <c r="C10" s="170"/>
      <c r="D10" s="183"/>
      <c r="E10" s="197">
        <v>35551504</v>
      </c>
      <c r="F10" s="197">
        <v>0</v>
      </c>
      <c r="G10" s="197">
        <v>0</v>
      </c>
      <c r="H10" s="163">
        <f t="shared" si="0"/>
        <v>0</v>
      </c>
      <c r="I10" s="171">
        <f t="shared" si="1"/>
        <v>35551504</v>
      </c>
    </row>
    <row r="11" spans="1:9" ht="14.4">
      <c r="A11" s="195" t="s">
        <v>205</v>
      </c>
      <c r="B11" s="164"/>
      <c r="C11" s="170">
        <v>47</v>
      </c>
      <c r="D11" s="183"/>
      <c r="E11" s="197">
        <v>1899240</v>
      </c>
      <c r="F11" s="197">
        <v>0</v>
      </c>
      <c r="G11" s="197">
        <v>0</v>
      </c>
      <c r="H11" s="163">
        <f t="shared" si="0"/>
        <v>0</v>
      </c>
      <c r="I11" s="171">
        <f t="shared" si="1"/>
        <v>1899240</v>
      </c>
    </row>
    <row r="12" spans="1:9" ht="14.4">
      <c r="A12" s="195" t="s">
        <v>154</v>
      </c>
      <c r="B12" s="164"/>
      <c r="C12" s="170">
        <v>1175</v>
      </c>
      <c r="D12" s="183"/>
      <c r="E12" s="197">
        <v>4951519</v>
      </c>
      <c r="F12" s="197">
        <v>-1955919</v>
      </c>
      <c r="G12" s="197">
        <v>2194312</v>
      </c>
      <c r="H12" s="163">
        <f t="shared" si="0"/>
        <v>238393</v>
      </c>
      <c r="I12" s="171">
        <f t="shared" si="1"/>
        <v>5189912</v>
      </c>
    </row>
    <row r="13" spans="1:9" ht="14.4">
      <c r="A13" s="195" t="s">
        <v>155</v>
      </c>
      <c r="B13" s="164"/>
      <c r="C13" s="170">
        <v>1201</v>
      </c>
      <c r="D13" s="183"/>
      <c r="E13" s="197">
        <v>463349</v>
      </c>
      <c r="F13" s="197">
        <v>-111767</v>
      </c>
      <c r="G13" s="197">
        <v>173235</v>
      </c>
      <c r="H13" s="163">
        <f t="shared" si="0"/>
        <v>61468</v>
      </c>
      <c r="I13" s="171">
        <f t="shared" si="1"/>
        <v>524817</v>
      </c>
    </row>
    <row r="14" spans="1:9" ht="14.4">
      <c r="A14" s="195" t="s">
        <v>206</v>
      </c>
      <c r="B14" s="164"/>
      <c r="C14" s="170">
        <v>413</v>
      </c>
      <c r="D14" s="183"/>
      <c r="E14" s="197">
        <v>1002886</v>
      </c>
      <c r="F14" s="197"/>
      <c r="G14" s="197"/>
      <c r="H14" s="163"/>
      <c r="I14" s="171">
        <f t="shared" si="1"/>
        <v>1002886</v>
      </c>
    </row>
    <row r="15" spans="1:9" ht="14.4">
      <c r="A15" s="195" t="s">
        <v>207</v>
      </c>
      <c r="B15" s="164"/>
      <c r="C15" s="170"/>
      <c r="D15" s="183"/>
      <c r="E15" s="197">
        <v>425861</v>
      </c>
      <c r="F15" s="197"/>
      <c r="G15" s="197"/>
      <c r="H15" s="163">
        <f t="shared" si="0"/>
        <v>0</v>
      </c>
      <c r="I15" s="171">
        <f t="shared" si="1"/>
        <v>425861</v>
      </c>
    </row>
    <row r="16" spans="1:9" ht="14.4">
      <c r="A16" s="195" t="s">
        <v>208</v>
      </c>
      <c r="B16" s="164"/>
      <c r="C16" s="170"/>
      <c r="D16" s="204"/>
      <c r="E16" s="197">
        <v>229778</v>
      </c>
      <c r="F16" s="197"/>
      <c r="G16" s="197"/>
      <c r="H16" s="163">
        <f t="shared" si="0"/>
        <v>0</v>
      </c>
      <c r="I16" s="171">
        <f t="shared" si="1"/>
        <v>229778</v>
      </c>
    </row>
    <row r="17" spans="1:9" ht="14.4">
      <c r="A17" s="164"/>
      <c r="B17" s="164"/>
      <c r="C17" s="172">
        <f>SUM(C3:C16)</f>
        <v>247396</v>
      </c>
      <c r="E17" s="172">
        <f t="shared" ref="E17:I17" si="2">SUM(E3:E16)</f>
        <v>419097110.61000001</v>
      </c>
      <c r="F17" s="172">
        <f t="shared" si="2"/>
        <v>-186063817</v>
      </c>
      <c r="G17" s="172">
        <f t="shared" si="2"/>
        <v>191193835</v>
      </c>
      <c r="H17" s="172">
        <f t="shared" si="2"/>
        <v>5130018</v>
      </c>
      <c r="I17" s="172">
        <f t="shared" si="2"/>
        <v>424227128.61000001</v>
      </c>
    </row>
    <row r="18" spans="1:9" ht="15" thickBot="1">
      <c r="A18" s="164"/>
      <c r="B18" s="164"/>
      <c r="C18" s="164"/>
      <c r="E18" s="164"/>
      <c r="F18" s="164"/>
      <c r="G18" s="164"/>
      <c r="I18" s="164"/>
    </row>
    <row r="19" spans="1:9" ht="14.4">
      <c r="A19" s="164" t="s">
        <v>19</v>
      </c>
      <c r="B19" s="164"/>
      <c r="C19" s="173">
        <f>C3+C4</f>
        <v>211258</v>
      </c>
      <c r="E19" s="174">
        <f>E3+E4</f>
        <v>164336749.11000001</v>
      </c>
      <c r="F19" s="174">
        <f t="shared" ref="F19:H19" si="3">F3+F4</f>
        <v>-100338664</v>
      </c>
      <c r="G19" s="174">
        <f t="shared" si="3"/>
        <v>97675739</v>
      </c>
      <c r="H19" s="174">
        <f t="shared" si="3"/>
        <v>-2662925</v>
      </c>
      <c r="I19" s="173">
        <f>I3+I4</f>
        <v>161673824.11000001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5" thickBot="1">
      <c r="A21" s="164" t="s">
        <v>209</v>
      </c>
      <c r="B21" s="164"/>
      <c r="C21" s="191">
        <f>SUM(C5:C8,C11:C13)</f>
        <v>35704</v>
      </c>
      <c r="E21" s="192">
        <f>SUM(E5:E8,E11:E13)</f>
        <v>161515044.5</v>
      </c>
      <c r="F21" s="192">
        <f t="shared" ref="F21:H21" si="4">SUM(F5:F8,F11:F13)</f>
        <v>-85725153</v>
      </c>
      <c r="G21" s="192">
        <f t="shared" si="4"/>
        <v>93518096</v>
      </c>
      <c r="H21" s="192">
        <f t="shared" si="4"/>
        <v>7792943</v>
      </c>
      <c r="I21" s="191">
        <f>SUM(I5:I8,I11:I13)</f>
        <v>169307987.5</v>
      </c>
    </row>
    <row r="22" spans="1:9" ht="14.4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 ht="14.4">
      <c r="A24" s="195" t="s">
        <v>148</v>
      </c>
      <c r="B24" s="164"/>
      <c r="C24" s="196">
        <v>1846361.5</v>
      </c>
      <c r="D24" s="196">
        <v>14565825.780000001</v>
      </c>
      <c r="E24" s="198">
        <v>-9315428</v>
      </c>
      <c r="F24" s="198">
        <v>9034048</v>
      </c>
      <c r="G24" s="188">
        <f>SUM(D24:F24)</f>
        <v>14284445.780000001</v>
      </c>
      <c r="H24" s="188">
        <f>-J61</f>
        <v>14168.41496</v>
      </c>
      <c r="I24" s="188">
        <f>SUM(G24:H24)</f>
        <v>14298614.194960002</v>
      </c>
    </row>
    <row r="25" spans="1:9" ht="14.4">
      <c r="A25" s="195" t="s">
        <v>203</v>
      </c>
      <c r="B25" s="164"/>
      <c r="C25" s="196">
        <v>4071.5</v>
      </c>
      <c r="D25" s="196">
        <v>38567.850000000006</v>
      </c>
      <c r="E25" s="198">
        <v>-16683</v>
      </c>
      <c r="F25" s="198">
        <v>15495</v>
      </c>
      <c r="G25" s="188">
        <f t="shared" ref="G25:G33" si="5">SUM(D25:F25)</f>
        <v>37379.850000000006</v>
      </c>
      <c r="H25" s="188">
        <f t="shared" ref="H25:H33" si="6">-J62</f>
        <v>-511.98987999999997</v>
      </c>
      <c r="I25" s="188">
        <f t="shared" ref="I25:I34" si="7">SUM(G25:H25)</f>
        <v>36867.860120000005</v>
      </c>
    </row>
    <row r="26" spans="1:9" ht="14.4">
      <c r="A26" s="195" t="s">
        <v>149</v>
      </c>
      <c r="B26" s="164"/>
      <c r="C26" s="196">
        <v>408784.03</v>
      </c>
      <c r="D26" s="196">
        <v>4925407.38</v>
      </c>
      <c r="E26" s="198">
        <v>-2730754</v>
      </c>
      <c r="F26" s="198">
        <v>2857631</v>
      </c>
      <c r="G26" s="188">
        <f t="shared" si="5"/>
        <v>5052284.38</v>
      </c>
      <c r="H26" s="188">
        <f t="shared" si="6"/>
        <v>-3836.9343600000002</v>
      </c>
      <c r="I26" s="188">
        <f t="shared" si="7"/>
        <v>5048447.4456399996</v>
      </c>
    </row>
    <row r="27" spans="1:9" ht="14.4">
      <c r="A27" s="195" t="s">
        <v>150</v>
      </c>
      <c r="B27" s="164"/>
      <c r="C27" s="196">
        <v>165912.57999999999</v>
      </c>
      <c r="D27" s="196">
        <v>613494.53</v>
      </c>
      <c r="E27" s="198">
        <v>-386578</v>
      </c>
      <c r="F27" s="198">
        <v>354470</v>
      </c>
      <c r="G27" s="188">
        <f t="shared" si="5"/>
        <v>581386.53</v>
      </c>
      <c r="H27" s="188">
        <f t="shared" si="6"/>
        <v>859.55961000000002</v>
      </c>
      <c r="I27" s="188">
        <f t="shared" si="7"/>
        <v>582246.08961000002</v>
      </c>
    </row>
    <row r="28" spans="1:9" ht="14.4">
      <c r="A28" s="195" t="s">
        <v>151</v>
      </c>
      <c r="B28" s="164"/>
      <c r="C28" s="196">
        <v>920435.99</v>
      </c>
      <c r="D28" s="196">
        <v>9639894.6400000006</v>
      </c>
      <c r="E28" s="198">
        <v>-4532379</v>
      </c>
      <c r="F28" s="198">
        <v>5004741</v>
      </c>
      <c r="G28" s="188">
        <f t="shared" si="5"/>
        <v>10112256.640000001</v>
      </c>
      <c r="H28" s="188">
        <f t="shared" si="6"/>
        <v>-12610.106879999998</v>
      </c>
      <c r="I28" s="188">
        <f t="shared" si="7"/>
        <v>10099646.533120001</v>
      </c>
    </row>
    <row r="29" spans="1:9" ht="14.4">
      <c r="A29" s="195" t="s">
        <v>152</v>
      </c>
      <c r="B29" s="164"/>
      <c r="C29" s="196">
        <v>25816.66</v>
      </c>
      <c r="D29" s="196">
        <v>234025.64</v>
      </c>
      <c r="E29" s="198">
        <v>-111466</v>
      </c>
      <c r="F29" s="198">
        <v>126537</v>
      </c>
      <c r="G29" s="188">
        <f t="shared" si="5"/>
        <v>249096.64</v>
      </c>
      <c r="H29" s="188">
        <f t="shared" si="6"/>
        <v>-275.45940000000002</v>
      </c>
      <c r="I29" s="188">
        <f t="shared" si="7"/>
        <v>248821.18060000002</v>
      </c>
    </row>
    <row r="30" spans="1:9" ht="14.4">
      <c r="A30" s="195" t="s">
        <v>153</v>
      </c>
      <c r="B30" s="164"/>
      <c r="C30" s="196">
        <v>441000</v>
      </c>
      <c r="D30" s="196">
        <f>5411309.62-83290.3</f>
        <v>5328019.32</v>
      </c>
      <c r="E30" s="198">
        <v>0</v>
      </c>
      <c r="F30" s="198">
        <v>0</v>
      </c>
      <c r="G30" s="188">
        <f t="shared" si="5"/>
        <v>5328019.32</v>
      </c>
      <c r="H30" s="188">
        <f t="shared" si="6"/>
        <v>0</v>
      </c>
      <c r="I30" s="188">
        <f t="shared" si="7"/>
        <v>5328019.32</v>
      </c>
    </row>
    <row r="31" spans="1:9" ht="14.4">
      <c r="A31" s="195" t="s">
        <v>205</v>
      </c>
      <c r="B31" s="164"/>
      <c r="C31" s="196">
        <v>882</v>
      </c>
      <c r="D31" s="196">
        <v>130482.22</v>
      </c>
      <c r="E31" s="198">
        <v>0</v>
      </c>
      <c r="F31" s="198">
        <v>0</v>
      </c>
      <c r="G31" s="188">
        <f t="shared" si="5"/>
        <v>130482.22</v>
      </c>
      <c r="H31" s="188">
        <f t="shared" si="6"/>
        <v>0</v>
      </c>
      <c r="I31" s="188">
        <f t="shared" si="7"/>
        <v>130482.22</v>
      </c>
    </row>
    <row r="32" spans="1:9" ht="14.4">
      <c r="A32" s="195" t="s">
        <v>154</v>
      </c>
      <c r="B32" s="164"/>
      <c r="C32" s="196">
        <v>21258</v>
      </c>
      <c r="D32" s="196">
        <v>434303.99</v>
      </c>
      <c r="E32" s="198">
        <v>-173068</v>
      </c>
      <c r="F32" s="198">
        <v>188718</v>
      </c>
      <c r="G32" s="188">
        <f t="shared" si="5"/>
        <v>449953.99</v>
      </c>
      <c r="H32" s="188">
        <f t="shared" si="6"/>
        <v>-393.34845000000001</v>
      </c>
      <c r="I32" s="188">
        <f t="shared" si="7"/>
        <v>449560.64155</v>
      </c>
    </row>
    <row r="33" spans="1:10" ht="14.4">
      <c r="A33" s="195" t="s">
        <v>155</v>
      </c>
      <c r="B33" s="164"/>
      <c r="C33" s="196">
        <v>21762</v>
      </c>
      <c r="D33" s="196">
        <v>60784.740000000005</v>
      </c>
      <c r="E33" s="198">
        <v>-19747</v>
      </c>
      <c r="F33" s="198">
        <v>24942</v>
      </c>
      <c r="G33" s="188">
        <f t="shared" si="5"/>
        <v>65979.740000000005</v>
      </c>
      <c r="H33" s="188">
        <f t="shared" si="6"/>
        <v>-70.073519999999974</v>
      </c>
      <c r="I33" s="188">
        <f t="shared" si="7"/>
        <v>65909.66648</v>
      </c>
    </row>
    <row r="34" spans="1:10" ht="14.4">
      <c r="A34" s="195" t="s">
        <v>217</v>
      </c>
      <c r="B34" s="164"/>
      <c r="C34" s="188"/>
      <c r="D34" s="196">
        <v>550717.54</v>
      </c>
      <c r="E34" s="196"/>
      <c r="F34" s="196"/>
      <c r="G34" s="188">
        <f>SUM(D34:F34)</f>
        <v>550717.54</v>
      </c>
      <c r="H34" s="188"/>
      <c r="I34" s="188">
        <f t="shared" si="7"/>
        <v>550717.54</v>
      </c>
    </row>
    <row r="35" spans="1:10" ht="14.4">
      <c r="A35" s="195" t="s">
        <v>218</v>
      </c>
      <c r="B35" s="164"/>
      <c r="C35" s="183"/>
      <c r="D35" s="196">
        <v>1418396.09</v>
      </c>
      <c r="E35" s="196"/>
      <c r="F35" s="196"/>
      <c r="G35" s="188"/>
      <c r="H35" s="188"/>
      <c r="I35" s="188"/>
    </row>
    <row r="36" spans="1:10" ht="14.4">
      <c r="A36" s="195" t="s">
        <v>219</v>
      </c>
      <c r="B36" s="164"/>
      <c r="C36" s="183"/>
      <c r="D36" s="196">
        <v>1421845.03</v>
      </c>
      <c r="E36" s="196"/>
      <c r="F36" s="196"/>
      <c r="G36" s="188"/>
      <c r="H36" s="188"/>
      <c r="I36" s="188"/>
    </row>
    <row r="37" spans="1:10" ht="14.4">
      <c r="A37" s="164"/>
      <c r="B37" s="164"/>
      <c r="C37" s="178">
        <f>SUM(C24:C36)</f>
        <v>3856284.2600000007</v>
      </c>
      <c r="D37" s="178">
        <f t="shared" ref="D37:I37" si="8">SUM(D24:D36)</f>
        <v>39361764.750000007</v>
      </c>
      <c r="E37" s="178">
        <f t="shared" si="8"/>
        <v>-17286103</v>
      </c>
      <c r="F37" s="178">
        <f t="shared" si="8"/>
        <v>17606582</v>
      </c>
      <c r="G37" s="178">
        <f t="shared" si="8"/>
        <v>36842002.630000003</v>
      </c>
      <c r="H37" s="178">
        <f t="shared" si="8"/>
        <v>-2669.9379199999958</v>
      </c>
      <c r="I37" s="178">
        <f t="shared" si="8"/>
        <v>36839332.692079999</v>
      </c>
    </row>
    <row r="38" spans="1:10" ht="15" thickBot="1">
      <c r="A38" s="164"/>
      <c r="B38" s="164"/>
      <c r="D38" s="179"/>
      <c r="E38" s="164"/>
      <c r="F38" s="164"/>
    </row>
    <row r="39" spans="1:10" ht="14.4">
      <c r="A39" s="164" t="s">
        <v>19</v>
      </c>
      <c r="B39" s="164"/>
      <c r="C39" s="181">
        <f>C24+C25</f>
        <v>1850433</v>
      </c>
      <c r="D39" s="180">
        <f t="shared" ref="D39:I39" si="9">D24+D25</f>
        <v>14604393.630000001</v>
      </c>
      <c r="E39" s="180">
        <f t="shared" si="9"/>
        <v>-9332111</v>
      </c>
      <c r="F39" s="180">
        <f t="shared" si="9"/>
        <v>9049543</v>
      </c>
      <c r="G39" s="180">
        <f t="shared" si="9"/>
        <v>14321825.630000001</v>
      </c>
      <c r="H39" s="180">
        <f t="shared" si="9"/>
        <v>13656.425080000001</v>
      </c>
      <c r="I39" s="181">
        <f t="shared" si="9"/>
        <v>14335482.055080002</v>
      </c>
    </row>
    <row r="40" spans="1:10" ht="6" customHeight="1">
      <c r="A40" s="164"/>
      <c r="B40" s="164"/>
      <c r="C40" s="187"/>
      <c r="D40" s="180"/>
      <c r="E40" s="164"/>
      <c r="F40" s="164"/>
      <c r="I40" s="182"/>
    </row>
    <row r="41" spans="1:10" ht="15" thickBot="1">
      <c r="A41" s="164" t="s">
        <v>209</v>
      </c>
      <c r="B41" s="164"/>
      <c r="C41" s="189">
        <f>SUM(C26:C29,C31:C33)</f>
        <v>1564851.26</v>
      </c>
      <c r="D41" s="190">
        <f t="shared" ref="D41:I41" si="10">SUM(D26:D29,D31:D33)</f>
        <v>16038393.140000002</v>
      </c>
      <c r="E41" s="190">
        <f t="shared" si="10"/>
        <v>-7953992</v>
      </c>
      <c r="F41" s="190">
        <f t="shared" si="10"/>
        <v>8557039</v>
      </c>
      <c r="G41" s="190">
        <f t="shared" si="10"/>
        <v>16641440.140000002</v>
      </c>
      <c r="H41" s="190">
        <f t="shared" si="10"/>
        <v>-16326.362999999998</v>
      </c>
      <c r="I41" s="189">
        <f t="shared" si="10"/>
        <v>16625113.777000001</v>
      </c>
    </row>
    <row r="42" spans="1:10" ht="14.4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0" ht="14.4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0" ht="14.4">
      <c r="C44" s="161">
        <v>42675</v>
      </c>
      <c r="D44" s="185">
        <v>42675</v>
      </c>
      <c r="E44" s="185">
        <v>42278</v>
      </c>
      <c r="F44" s="161">
        <v>42583</v>
      </c>
      <c r="G44" s="161">
        <v>42644</v>
      </c>
      <c r="H44" s="161">
        <v>42380</v>
      </c>
      <c r="I44" s="161">
        <v>42552</v>
      </c>
      <c r="J44" s="161"/>
    </row>
    <row r="45" spans="1:10" ht="30" customHeight="1">
      <c r="A45" s="193" t="s">
        <v>220</v>
      </c>
      <c r="B45" s="166"/>
      <c r="C45" s="177" t="s">
        <v>221</v>
      </c>
      <c r="D45" s="177" t="s">
        <v>239</v>
      </c>
      <c r="E45" s="177" t="s">
        <v>222</v>
      </c>
      <c r="F45" s="177" t="s">
        <v>223</v>
      </c>
      <c r="G45" s="177" t="s">
        <v>224</v>
      </c>
      <c r="H45" s="177" t="s">
        <v>225</v>
      </c>
      <c r="I45" s="177" t="s">
        <v>226</v>
      </c>
      <c r="J45" s="177"/>
    </row>
    <row r="46" spans="1:10" ht="14.4">
      <c r="A46" s="195" t="s">
        <v>148</v>
      </c>
      <c r="B46" s="164"/>
      <c r="C46" s="184">
        <v>-5.1000000000000004E-4</v>
      </c>
      <c r="D46" s="184">
        <v>2.63E-3</v>
      </c>
      <c r="E46" s="184"/>
      <c r="F46" s="184">
        <v>2.6199999999999999E-3</v>
      </c>
      <c r="G46" s="184">
        <v>9.7000000000000005E-4</v>
      </c>
      <c r="H46" s="184">
        <v>0</v>
      </c>
      <c r="I46" s="184">
        <v>-3.5E-4</v>
      </c>
      <c r="J46" s="184"/>
    </row>
    <row r="47" spans="1:10" ht="14.4">
      <c r="A47" s="195" t="s">
        <v>203</v>
      </c>
      <c r="B47" s="164"/>
      <c r="C47" s="184">
        <v>-5.1000000000000004E-4</v>
      </c>
      <c r="D47" s="184">
        <v>2.63E-3</v>
      </c>
      <c r="E47" s="184">
        <v>-3.1530000000000002E-2</v>
      </c>
      <c r="F47" s="184">
        <v>2.6199999999999999E-3</v>
      </c>
      <c r="G47" s="184">
        <v>9.7000000000000005E-4</v>
      </c>
      <c r="H47" s="184">
        <v>0</v>
      </c>
      <c r="I47" s="184">
        <v>-3.5E-4</v>
      </c>
      <c r="J47" s="184"/>
    </row>
    <row r="48" spans="1:10" ht="14.4">
      <c r="A48" s="195" t="s">
        <v>149</v>
      </c>
      <c r="B48" s="164"/>
      <c r="C48" s="184"/>
      <c r="D48" s="184">
        <v>-1.4300000000000001E-3</v>
      </c>
      <c r="E48" s="184"/>
      <c r="F48" s="184">
        <v>3.62E-3</v>
      </c>
      <c r="G48" s="184">
        <v>1.41E-3</v>
      </c>
      <c r="H48" s="184">
        <v>0</v>
      </c>
      <c r="I48" s="184">
        <v>-3.6000000000000002E-4</v>
      </c>
      <c r="J48" s="184"/>
    </row>
    <row r="49" spans="1:13" ht="14.4">
      <c r="A49" s="195" t="s">
        <v>150</v>
      </c>
      <c r="B49" s="164"/>
      <c r="C49" s="184">
        <v>-5.1000000000000004E-4</v>
      </c>
      <c r="D49" s="184">
        <v>-1.4300000000000001E-3</v>
      </c>
      <c r="E49" s="184"/>
      <c r="F49" s="184">
        <v>3.62E-3</v>
      </c>
      <c r="G49" s="184">
        <v>1.41E-3</v>
      </c>
      <c r="H49" s="184">
        <v>0</v>
      </c>
      <c r="I49" s="184">
        <v>-3.6000000000000002E-4</v>
      </c>
      <c r="J49" s="184"/>
    </row>
    <row r="50" spans="1:13" ht="14.4">
      <c r="A50" s="195" t="s">
        <v>151</v>
      </c>
      <c r="B50" s="164"/>
      <c r="C50" s="184"/>
      <c r="D50" s="184">
        <v>-1.4300000000000001E-3</v>
      </c>
      <c r="E50" s="184"/>
      <c r="F50" s="184">
        <v>2.7299999999999998E-3</v>
      </c>
      <c r="G50" s="184">
        <v>1.0200000000000001E-3</v>
      </c>
      <c r="H50" s="184">
        <v>0</v>
      </c>
      <c r="I50" s="184">
        <v>-3.6000000000000002E-4</v>
      </c>
      <c r="J50" s="184"/>
    </row>
    <row r="51" spans="1:13" ht="14.4">
      <c r="A51" s="195" t="s">
        <v>152</v>
      </c>
      <c r="B51" s="164"/>
      <c r="C51" s="184">
        <v>-5.1000000000000004E-4</v>
      </c>
      <c r="D51" s="184">
        <v>-1.4300000000000001E-3</v>
      </c>
      <c r="E51" s="184"/>
      <c r="F51" s="184">
        <v>2.7299999999999998E-3</v>
      </c>
      <c r="G51" s="184">
        <v>1.0200000000000001E-3</v>
      </c>
      <c r="H51" s="184">
        <v>0</v>
      </c>
      <c r="I51" s="184">
        <v>-3.6000000000000002E-4</v>
      </c>
      <c r="J51" s="184"/>
    </row>
    <row r="52" spans="1:13" ht="14.4">
      <c r="A52" s="195" t="s">
        <v>153</v>
      </c>
      <c r="B52" s="164"/>
      <c r="C52" s="184"/>
      <c r="D52" s="184"/>
      <c r="E52" s="184"/>
      <c r="F52" s="184">
        <v>1.72E-3</v>
      </c>
      <c r="G52" s="184">
        <v>6.4000000000000005E-4</v>
      </c>
      <c r="H52" s="184">
        <v>0</v>
      </c>
      <c r="I52" s="184">
        <v>-3.4000000000000002E-4</v>
      </c>
      <c r="J52" s="184"/>
    </row>
    <row r="53" spans="1:13" ht="14.4">
      <c r="A53" s="195" t="s">
        <v>204</v>
      </c>
      <c r="B53" s="164"/>
      <c r="C53" s="184"/>
      <c r="D53" s="184"/>
      <c r="E53" s="184"/>
      <c r="F53" s="184">
        <v>1.72E-3</v>
      </c>
      <c r="G53" s="184">
        <v>0</v>
      </c>
      <c r="H53" s="184">
        <v>0</v>
      </c>
      <c r="I53" s="184">
        <v>-3.4000000000000002E-4</v>
      </c>
      <c r="J53" s="184"/>
    </row>
    <row r="54" spans="1:13" ht="14.4">
      <c r="A54" s="195" t="s">
        <v>205</v>
      </c>
      <c r="B54" s="164"/>
      <c r="C54" s="184"/>
      <c r="D54" s="184">
        <v>-1.4300000000000001E-3</v>
      </c>
      <c r="E54" s="184"/>
      <c r="F54" s="184">
        <v>2.6099999999999999E-3</v>
      </c>
      <c r="G54" s="184">
        <v>8.8999999999999995E-4</v>
      </c>
      <c r="H54" s="184">
        <v>0</v>
      </c>
      <c r="I54" s="184">
        <v>-4.2000000000000002E-4</v>
      </c>
      <c r="J54" s="184"/>
    </row>
    <row r="55" spans="1:13" ht="14.4">
      <c r="A55" s="195" t="s">
        <v>154</v>
      </c>
      <c r="B55" s="164"/>
      <c r="C55" s="184"/>
      <c r="D55" s="184">
        <v>-1.4300000000000001E-3</v>
      </c>
      <c r="E55" s="184"/>
      <c r="F55" s="184">
        <v>2.6099999999999999E-3</v>
      </c>
      <c r="G55" s="184">
        <v>8.8999999999999995E-4</v>
      </c>
      <c r="H55" s="184">
        <v>0</v>
      </c>
      <c r="I55" s="184">
        <v>-4.2000000000000002E-4</v>
      </c>
      <c r="J55" s="184"/>
    </row>
    <row r="56" spans="1:13" ht="14.4">
      <c r="A56" s="195" t="s">
        <v>155</v>
      </c>
      <c r="B56" s="164"/>
      <c r="C56" s="184">
        <v>-5.1000000000000004E-4</v>
      </c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 ht="14.4" customHeight="1">
      <c r="A57" s="195" t="s">
        <v>217</v>
      </c>
      <c r="B57" s="164"/>
      <c r="C57" s="202"/>
      <c r="D57" s="184"/>
      <c r="E57" s="184"/>
      <c r="F57" s="202">
        <v>8.6199999999999992E-3</v>
      </c>
      <c r="G57" s="255" t="s">
        <v>235</v>
      </c>
      <c r="H57" s="184">
        <v>0</v>
      </c>
      <c r="I57" s="199">
        <v>-3.6999999999999999E-4</v>
      </c>
      <c r="J57" s="202"/>
    </row>
    <row r="58" spans="1:13" ht="14.4">
      <c r="A58" s="195" t="s">
        <v>208</v>
      </c>
      <c r="B58" s="164"/>
      <c r="C58" s="202"/>
      <c r="D58" s="184"/>
      <c r="E58" s="184"/>
      <c r="F58" s="202">
        <v>8.6199999999999992E-3</v>
      </c>
      <c r="G58" s="255"/>
      <c r="H58" s="184">
        <v>0</v>
      </c>
      <c r="I58" s="199">
        <v>-3.6999999999999999E-4</v>
      </c>
      <c r="J58" s="202"/>
    </row>
    <row r="59" spans="1:13" ht="14.4">
      <c r="E59" s="164"/>
    </row>
    <row r="60" spans="1:13" ht="40.200000000000003">
      <c r="A60" s="193" t="s">
        <v>227</v>
      </c>
      <c r="B60" s="166"/>
      <c r="C60" s="186" t="s">
        <v>234</v>
      </c>
      <c r="D60" s="186" t="s">
        <v>239</v>
      </c>
      <c r="E60" s="186" t="s">
        <v>228</v>
      </c>
      <c r="F60" s="186" t="s">
        <v>229</v>
      </c>
      <c r="G60" s="186" t="s">
        <v>230</v>
      </c>
      <c r="H60" s="186" t="s">
        <v>231</v>
      </c>
      <c r="I60" s="186" t="s">
        <v>232</v>
      </c>
      <c r="J60" s="186" t="s">
        <v>233</v>
      </c>
      <c r="M60" s="215"/>
    </row>
    <row r="61" spans="1:13" ht="14.4">
      <c r="A61" s="195" t="s">
        <v>148</v>
      </c>
      <c r="C61" s="180">
        <f t="shared" ref="C61:I66" si="11">$H3*C46</f>
        <v>1348.1141100000002</v>
      </c>
      <c r="D61" s="180">
        <f t="shared" si="11"/>
        <v>-6952.0394299999998</v>
      </c>
      <c r="E61" s="180">
        <f t="shared" si="11"/>
        <v>0</v>
      </c>
      <c r="F61" s="180">
        <f t="shared" si="11"/>
        <v>-6925.6058199999998</v>
      </c>
      <c r="G61" s="180">
        <f t="shared" si="11"/>
        <v>-2564.0601700000002</v>
      </c>
      <c r="H61" s="180">
        <f t="shared" si="11"/>
        <v>0</v>
      </c>
      <c r="I61" s="180">
        <f t="shared" si="11"/>
        <v>925.17634999999996</v>
      </c>
      <c r="J61" s="180">
        <f>SUM(C61:I61)</f>
        <v>-14168.41496</v>
      </c>
      <c r="M61" s="180"/>
    </row>
    <row r="62" spans="1:13" ht="14.4">
      <c r="A62" s="195" t="s">
        <v>203</v>
      </c>
      <c r="C62" s="180">
        <f t="shared" si="11"/>
        <v>9.977640000000001</v>
      </c>
      <c r="D62" s="180">
        <f t="shared" si="11"/>
        <v>-51.453319999999998</v>
      </c>
      <c r="E62" s="180">
        <f t="shared" si="11"/>
        <v>616.85292000000004</v>
      </c>
      <c r="F62" s="180">
        <f t="shared" si="11"/>
        <v>-51.257680000000001</v>
      </c>
      <c r="G62" s="180">
        <f t="shared" si="11"/>
        <v>-18.977080000000001</v>
      </c>
      <c r="H62" s="180">
        <f t="shared" si="11"/>
        <v>0</v>
      </c>
      <c r="I62" s="180">
        <f t="shared" si="11"/>
        <v>6.8473999999999995</v>
      </c>
      <c r="J62" s="180">
        <f t="shared" ref="J62:J71" si="12">SUM(C62:I62)</f>
        <v>511.98987999999997</v>
      </c>
      <c r="M62" s="180"/>
    </row>
    <row r="63" spans="1:13" ht="14.4">
      <c r="A63" s="195" t="s">
        <v>149</v>
      </c>
      <c r="C63" s="180">
        <f t="shared" si="11"/>
        <v>0</v>
      </c>
      <c r="D63" s="180">
        <f t="shared" si="11"/>
        <v>-1693.4617700000001</v>
      </c>
      <c r="E63" s="180">
        <f t="shared" si="11"/>
        <v>0</v>
      </c>
      <c r="F63" s="180">
        <f t="shared" si="11"/>
        <v>4286.9451799999997</v>
      </c>
      <c r="G63" s="180">
        <f t="shared" si="11"/>
        <v>1669.7769900000001</v>
      </c>
      <c r="H63" s="180">
        <f t="shared" si="11"/>
        <v>0</v>
      </c>
      <c r="I63" s="180">
        <f t="shared" si="11"/>
        <v>-426.32604000000003</v>
      </c>
      <c r="J63" s="180">
        <f t="shared" si="12"/>
        <v>3836.9343600000002</v>
      </c>
      <c r="M63" s="180"/>
    </row>
    <row r="64" spans="1:13" ht="14.4">
      <c r="A64" s="195" t="s">
        <v>150</v>
      </c>
      <c r="C64" s="180">
        <f t="shared" si="11"/>
        <v>160.57707000000002</v>
      </c>
      <c r="D64" s="180">
        <f t="shared" si="11"/>
        <v>450.24551000000002</v>
      </c>
      <c r="E64" s="180">
        <f t="shared" si="11"/>
        <v>0</v>
      </c>
      <c r="F64" s="180">
        <f t="shared" si="11"/>
        <v>-1139.78234</v>
      </c>
      <c r="G64" s="180">
        <f t="shared" si="11"/>
        <v>-443.94837000000001</v>
      </c>
      <c r="H64" s="180">
        <f t="shared" si="11"/>
        <v>0</v>
      </c>
      <c r="I64" s="180">
        <f t="shared" si="11"/>
        <v>113.34852000000001</v>
      </c>
      <c r="J64" s="180">
        <f t="shared" si="12"/>
        <v>-859.55961000000002</v>
      </c>
      <c r="M64" s="180"/>
    </row>
    <row r="65" spans="1:13" ht="14.4">
      <c r="A65" s="195" t="s">
        <v>151</v>
      </c>
      <c r="C65" s="180">
        <f t="shared" si="11"/>
        <v>0</v>
      </c>
      <c r="D65" s="180">
        <f t="shared" si="11"/>
        <v>-9200.2310400000006</v>
      </c>
      <c r="E65" s="180">
        <f t="shared" si="11"/>
        <v>0</v>
      </c>
      <c r="F65" s="180">
        <f t="shared" si="11"/>
        <v>17564.077439999997</v>
      </c>
      <c r="G65" s="180">
        <f t="shared" si="11"/>
        <v>6562.4025600000004</v>
      </c>
      <c r="H65" s="180">
        <f t="shared" si="11"/>
        <v>0</v>
      </c>
      <c r="I65" s="180">
        <f t="shared" si="11"/>
        <v>-2316.1420800000001</v>
      </c>
      <c r="J65" s="180">
        <f t="shared" si="12"/>
        <v>12610.106879999998</v>
      </c>
      <c r="M65" s="180"/>
    </row>
    <row r="66" spans="1:13" ht="14.4">
      <c r="A66" s="195" t="s">
        <v>152</v>
      </c>
      <c r="C66" s="180">
        <f t="shared" si="11"/>
        <v>-96.885720000000006</v>
      </c>
      <c r="D66" s="180">
        <f t="shared" si="11"/>
        <v>-271.65996000000001</v>
      </c>
      <c r="E66" s="180">
        <f t="shared" si="11"/>
        <v>0</v>
      </c>
      <c r="F66" s="180">
        <f t="shared" si="11"/>
        <v>518.62356</v>
      </c>
      <c r="G66" s="180">
        <f t="shared" si="11"/>
        <v>193.77144000000001</v>
      </c>
      <c r="H66" s="180">
        <f t="shared" si="11"/>
        <v>0</v>
      </c>
      <c r="I66" s="180">
        <f t="shared" si="11"/>
        <v>-68.389920000000004</v>
      </c>
      <c r="J66" s="180">
        <f t="shared" si="12"/>
        <v>275.45940000000002</v>
      </c>
      <c r="M66" s="180"/>
    </row>
    <row r="67" spans="1:13" ht="14.4">
      <c r="A67" s="195" t="s">
        <v>153</v>
      </c>
      <c r="C67" s="180">
        <f t="shared" ref="C67:I67" si="13">($H9+$H10)*C52</f>
        <v>0</v>
      </c>
      <c r="D67" s="180">
        <f t="shared" si="13"/>
        <v>0</v>
      </c>
      <c r="E67" s="180">
        <f t="shared" si="13"/>
        <v>0</v>
      </c>
      <c r="F67" s="180">
        <f t="shared" si="13"/>
        <v>0</v>
      </c>
      <c r="G67" s="180">
        <f t="shared" si="13"/>
        <v>0</v>
      </c>
      <c r="H67" s="180">
        <f t="shared" si="13"/>
        <v>0</v>
      </c>
      <c r="I67" s="180">
        <f t="shared" si="13"/>
        <v>0</v>
      </c>
      <c r="J67" s="180">
        <f t="shared" si="12"/>
        <v>0</v>
      </c>
      <c r="M67" s="180"/>
    </row>
    <row r="68" spans="1:13" ht="14.4">
      <c r="A68" s="195" t="s">
        <v>205</v>
      </c>
      <c r="C68" s="180">
        <f t="shared" ref="C68:I70" si="14">$H11*C54</f>
        <v>0</v>
      </c>
      <c r="D68" s="180">
        <f t="shared" si="14"/>
        <v>0</v>
      </c>
      <c r="E68" s="180">
        <f t="shared" si="14"/>
        <v>0</v>
      </c>
      <c r="F68" s="180">
        <f t="shared" si="14"/>
        <v>0</v>
      </c>
      <c r="G68" s="180">
        <f t="shared" si="14"/>
        <v>0</v>
      </c>
      <c r="H68" s="180">
        <f t="shared" si="14"/>
        <v>0</v>
      </c>
      <c r="I68" s="180">
        <f t="shared" si="14"/>
        <v>0</v>
      </c>
      <c r="J68" s="180">
        <f t="shared" si="12"/>
        <v>0</v>
      </c>
      <c r="M68" s="180"/>
    </row>
    <row r="69" spans="1:13" ht="14.4">
      <c r="A69" s="195" t="s">
        <v>154</v>
      </c>
      <c r="C69" s="180">
        <f t="shared" si="14"/>
        <v>0</v>
      </c>
      <c r="D69" s="180">
        <f t="shared" si="14"/>
        <v>-340.90199000000001</v>
      </c>
      <c r="E69" s="180">
        <f t="shared" si="14"/>
        <v>0</v>
      </c>
      <c r="F69" s="180">
        <f t="shared" si="14"/>
        <v>622.20573000000002</v>
      </c>
      <c r="G69" s="180">
        <f t="shared" si="14"/>
        <v>212.16977</v>
      </c>
      <c r="H69" s="180">
        <f t="shared" si="14"/>
        <v>0</v>
      </c>
      <c r="I69" s="180">
        <f t="shared" si="14"/>
        <v>-100.12506</v>
      </c>
      <c r="J69" s="180">
        <f t="shared" si="12"/>
        <v>393.34845000000001</v>
      </c>
      <c r="M69" s="180"/>
    </row>
    <row r="70" spans="1:13" ht="14.4">
      <c r="A70" s="195" t="s">
        <v>155</v>
      </c>
      <c r="C70" s="180">
        <f t="shared" si="14"/>
        <v>-31.348680000000002</v>
      </c>
      <c r="D70" s="180">
        <f t="shared" si="14"/>
        <v>-87.899240000000006</v>
      </c>
      <c r="E70" s="180">
        <f t="shared" si="14"/>
        <v>0</v>
      </c>
      <c r="F70" s="180">
        <f t="shared" si="14"/>
        <v>160.43147999999999</v>
      </c>
      <c r="G70" s="180">
        <f t="shared" si="14"/>
        <v>54.706519999999998</v>
      </c>
      <c r="H70" s="180">
        <f t="shared" si="14"/>
        <v>0</v>
      </c>
      <c r="I70" s="180">
        <f t="shared" si="14"/>
        <v>-25.816560000000003</v>
      </c>
      <c r="J70" s="180">
        <f t="shared" si="12"/>
        <v>70.073519999999974</v>
      </c>
      <c r="M70" s="180"/>
    </row>
    <row r="71" spans="1:13" ht="14.4">
      <c r="A71" s="195" t="s">
        <v>217</v>
      </c>
      <c r="C71" s="180">
        <f>($H14+$H15)*C57</f>
        <v>0</v>
      </c>
      <c r="D71" s="180">
        <f>($H14+$H15)*D57</f>
        <v>0</v>
      </c>
      <c r="E71" s="180">
        <f>($H14+$H15)*E57</f>
        <v>0</v>
      </c>
      <c r="F71" s="180">
        <f>($H14+$H15)*F57</f>
        <v>0</v>
      </c>
      <c r="G71" s="180"/>
      <c r="H71" s="180">
        <f>($H14+$H15)*H57</f>
        <v>0</v>
      </c>
      <c r="I71" s="180">
        <f>($H14+$H15)*I57</f>
        <v>0</v>
      </c>
      <c r="J71" s="180">
        <f t="shared" si="12"/>
        <v>0</v>
      </c>
      <c r="M71" s="180"/>
    </row>
    <row r="72" spans="1:13" ht="14.4">
      <c r="A72" s="169"/>
      <c r="C72" s="194">
        <f>SUM(C61:C71)</f>
        <v>1390.4344200000003</v>
      </c>
      <c r="D72" s="194">
        <f>SUM(D61:D71)</f>
        <v>-18147.401239999996</v>
      </c>
      <c r="E72" s="194">
        <f t="shared" ref="E72:J72" si="15">SUM(E61:E71)</f>
        <v>616.85292000000004</v>
      </c>
      <c r="F72" s="194">
        <f t="shared" si="15"/>
        <v>15035.637549999998</v>
      </c>
      <c r="G72" s="194">
        <f t="shared" si="15"/>
        <v>5665.841660000001</v>
      </c>
      <c r="H72" s="194">
        <f t="shared" si="15"/>
        <v>0</v>
      </c>
      <c r="I72" s="194">
        <f t="shared" si="15"/>
        <v>-1891.4273900000003</v>
      </c>
      <c r="J72" s="194">
        <f t="shared" si="15"/>
        <v>2669.9379199999958</v>
      </c>
    </row>
    <row r="74" spans="1:13" ht="14.4">
      <c r="A74" s="164" t="s">
        <v>19</v>
      </c>
      <c r="B74" s="164"/>
      <c r="C74" s="180">
        <f>C61+C62</f>
        <v>1358.0917500000003</v>
      </c>
      <c r="D74" s="180">
        <f>D61+D62</f>
        <v>-7003.4927499999994</v>
      </c>
      <c r="E74" s="180">
        <f t="shared" ref="E74:J74" si="16">E61+E62</f>
        <v>616.85292000000004</v>
      </c>
      <c r="F74" s="180">
        <f t="shared" si="16"/>
        <v>-6976.8634999999995</v>
      </c>
      <c r="G74" s="180">
        <f t="shared" si="16"/>
        <v>-2583.0372500000003</v>
      </c>
      <c r="H74" s="180">
        <f t="shared" si="16"/>
        <v>0</v>
      </c>
      <c r="I74" s="180">
        <f t="shared" si="16"/>
        <v>932.02374999999995</v>
      </c>
      <c r="J74" s="180">
        <f t="shared" si="16"/>
        <v>-13656.425080000001</v>
      </c>
    </row>
    <row r="75" spans="1:13" ht="14.4">
      <c r="A75" s="164"/>
      <c r="B75" s="164"/>
      <c r="C75" s="180"/>
      <c r="D75" s="180"/>
      <c r="E75" s="180"/>
      <c r="F75" s="180"/>
      <c r="G75" s="180"/>
      <c r="H75" s="180"/>
      <c r="I75" s="180"/>
      <c r="J75" s="180"/>
    </row>
    <row r="76" spans="1:13" ht="14.4">
      <c r="A76" s="164" t="s">
        <v>209</v>
      </c>
      <c r="B76" s="164"/>
      <c r="C76" s="190">
        <f>SUM(C63:C66,C68:C70)</f>
        <v>32.342670000000012</v>
      </c>
      <c r="D76" s="190">
        <f>SUM(D63:D66,D68:D70)</f>
        <v>-11143.908490000002</v>
      </c>
      <c r="E76" s="190">
        <f t="shared" ref="E76:J76" si="17">SUM(E63:E66,E68:E70)</f>
        <v>0</v>
      </c>
      <c r="F76" s="190">
        <f t="shared" si="17"/>
        <v>22012.501049999999</v>
      </c>
      <c r="G76" s="190">
        <f t="shared" si="17"/>
        <v>8248.8789100000013</v>
      </c>
      <c r="H76" s="190">
        <f t="shared" si="17"/>
        <v>0</v>
      </c>
      <c r="I76" s="190">
        <f t="shared" si="17"/>
        <v>-2823.4511400000001</v>
      </c>
      <c r="J76" s="190">
        <f t="shared" si="17"/>
        <v>16326.362999999998</v>
      </c>
    </row>
  </sheetData>
  <mergeCells count="2">
    <mergeCell ref="A1:I1"/>
    <mergeCell ref="G57:G58"/>
  </mergeCells>
  <printOptions horizontalCentered="1"/>
  <pageMargins left="0.45" right="0.45" top="0.5" bottom="0.5" header="0.3" footer="0.3"/>
  <pageSetup scale="84" fitToHeight="2" orientation="landscape" r:id="rId1"/>
  <headerFooter>
    <oddFooter>&amp;L&amp;F / 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7558519241921"/>
  </sheetPr>
  <dimension ref="A1:M78"/>
  <sheetViews>
    <sheetView workbookViewId="0">
      <selection activeCell="E18" sqref="E18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6.5546875" style="162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211543</v>
      </c>
      <c r="D4" s="183"/>
      <c r="E4" s="197">
        <v>191031934.66999999</v>
      </c>
      <c r="F4" s="197">
        <v>-117448141</v>
      </c>
      <c r="G4" s="197">
        <v>100059247</v>
      </c>
      <c r="H4" s="163">
        <f>SUM(F4:G4)</f>
        <v>-17388894</v>
      </c>
      <c r="I4" s="171">
        <f>E4+H4</f>
        <v>173643040.66999999</v>
      </c>
    </row>
    <row r="5" spans="1:9">
      <c r="A5" s="195" t="s">
        <v>203</v>
      </c>
      <c r="B5" s="164"/>
      <c r="C5" s="170">
        <v>475</v>
      </c>
      <c r="D5" s="183"/>
      <c r="E5" s="197">
        <v>547840</v>
      </c>
      <c r="F5" s="197">
        <v>-343324</v>
      </c>
      <c r="G5" s="197">
        <v>279417</v>
      </c>
      <c r="H5" s="163">
        <f t="shared" ref="H5:H17" si="0">SUM(F5:G5)</f>
        <v>-63907</v>
      </c>
      <c r="I5" s="171">
        <f t="shared" ref="I5:I17" si="1">E5+H5</f>
        <v>483933</v>
      </c>
    </row>
    <row r="6" spans="1:9">
      <c r="A6" s="195" t="s">
        <v>149</v>
      </c>
      <c r="B6" s="164"/>
      <c r="C6" s="170">
        <v>22384</v>
      </c>
      <c r="D6" s="183"/>
      <c r="E6" s="197">
        <v>44837963</v>
      </c>
      <c r="F6" s="197">
        <v>-25437214</v>
      </c>
      <c r="G6" s="197">
        <v>23415149</v>
      </c>
      <c r="H6" s="163">
        <f t="shared" si="0"/>
        <v>-2022065</v>
      </c>
      <c r="I6" s="171">
        <f t="shared" si="1"/>
        <v>42815898</v>
      </c>
    </row>
    <row r="7" spans="1:9">
      <c r="A7" s="195" t="s">
        <v>150</v>
      </c>
      <c r="B7" s="164"/>
      <c r="C7" s="170">
        <v>9154</v>
      </c>
      <c r="D7" s="183"/>
      <c r="E7" s="197">
        <v>5093096.33</v>
      </c>
      <c r="F7" s="197">
        <v>-3089919</v>
      </c>
      <c r="G7" s="197">
        <v>2682404</v>
      </c>
      <c r="H7" s="163">
        <f t="shared" si="0"/>
        <v>-407515</v>
      </c>
      <c r="I7" s="171">
        <f t="shared" si="1"/>
        <v>4685581.33</v>
      </c>
    </row>
    <row r="8" spans="1:9">
      <c r="A8" s="195" t="s">
        <v>151</v>
      </c>
      <c r="B8" s="164"/>
      <c r="C8" s="170">
        <v>1850</v>
      </c>
      <c r="D8" s="183"/>
      <c r="E8" s="197">
        <v>107814958</v>
      </c>
      <c r="F8" s="197">
        <v>-56835786</v>
      </c>
      <c r="G8" s="197">
        <v>56190770</v>
      </c>
      <c r="H8" s="163">
        <f t="shared" si="0"/>
        <v>-645016</v>
      </c>
      <c r="I8" s="171">
        <f t="shared" si="1"/>
        <v>107169942</v>
      </c>
    </row>
    <row r="9" spans="1:9">
      <c r="A9" s="195" t="s">
        <v>152</v>
      </c>
      <c r="B9" s="164"/>
      <c r="C9" s="170">
        <v>47</v>
      </c>
      <c r="D9" s="183"/>
      <c r="E9" s="197">
        <v>2592560</v>
      </c>
      <c r="F9" s="197">
        <v>-1591777</v>
      </c>
      <c r="G9" s="197">
        <v>1369144</v>
      </c>
      <c r="H9" s="163">
        <f t="shared" si="0"/>
        <v>-222633</v>
      </c>
      <c r="I9" s="171">
        <f t="shared" si="1"/>
        <v>2369927</v>
      </c>
    </row>
    <row r="10" spans="1:9">
      <c r="A10" s="195" t="s">
        <v>153</v>
      </c>
      <c r="B10" s="164"/>
      <c r="C10" s="170">
        <v>21</v>
      </c>
      <c r="D10" s="183"/>
      <c r="E10" s="197">
        <f>90146900-E11</f>
        <v>55393800</v>
      </c>
      <c r="F10" s="197">
        <v>0</v>
      </c>
      <c r="G10" s="197">
        <v>0</v>
      </c>
      <c r="H10" s="163">
        <f t="shared" si="0"/>
        <v>0</v>
      </c>
      <c r="I10" s="171">
        <f t="shared" si="1"/>
        <v>55393800</v>
      </c>
    </row>
    <row r="11" spans="1:9">
      <c r="A11" s="195" t="s">
        <v>204</v>
      </c>
      <c r="B11" s="164"/>
      <c r="C11" s="170"/>
      <c r="D11" s="183"/>
      <c r="E11" s="197">
        <v>34753100</v>
      </c>
      <c r="F11" s="197">
        <v>0</v>
      </c>
      <c r="G11" s="197">
        <v>0</v>
      </c>
      <c r="H11" s="163">
        <f t="shared" si="0"/>
        <v>0</v>
      </c>
      <c r="I11" s="171">
        <f t="shared" si="1"/>
        <v>34753100</v>
      </c>
    </row>
    <row r="12" spans="1:9">
      <c r="A12" s="195" t="s">
        <v>205</v>
      </c>
      <c r="B12" s="164"/>
      <c r="C12" s="170">
        <v>44</v>
      </c>
      <c r="D12" s="183"/>
      <c r="E12" s="197">
        <v>69980</v>
      </c>
      <c r="F12" s="197">
        <v>0</v>
      </c>
      <c r="G12" s="197">
        <v>0</v>
      </c>
      <c r="H12" s="163">
        <f t="shared" si="0"/>
        <v>0</v>
      </c>
      <c r="I12" s="171">
        <f t="shared" si="1"/>
        <v>69980</v>
      </c>
    </row>
    <row r="13" spans="1:9">
      <c r="A13" s="195" t="s">
        <v>154</v>
      </c>
      <c r="B13" s="164"/>
      <c r="C13" s="170">
        <v>1195</v>
      </c>
      <c r="D13" s="183"/>
      <c r="E13" s="197">
        <v>4123845</v>
      </c>
      <c r="F13" s="197">
        <v>-2028735</v>
      </c>
      <c r="G13" s="197">
        <v>1955919</v>
      </c>
      <c r="H13" s="163">
        <f t="shared" si="0"/>
        <v>-72816</v>
      </c>
      <c r="I13" s="171">
        <f t="shared" si="1"/>
        <v>4051029</v>
      </c>
    </row>
    <row r="14" spans="1:9">
      <c r="A14" s="195" t="s">
        <v>155</v>
      </c>
      <c r="B14" s="164"/>
      <c r="C14" s="170">
        <v>1183</v>
      </c>
      <c r="D14" s="183"/>
      <c r="E14" s="197">
        <v>257339</v>
      </c>
      <c r="F14" s="197">
        <v>-156057</v>
      </c>
      <c r="G14" s="197">
        <v>111767</v>
      </c>
      <c r="H14" s="163">
        <f t="shared" si="0"/>
        <v>-44290</v>
      </c>
      <c r="I14" s="171">
        <f t="shared" si="1"/>
        <v>213049</v>
      </c>
    </row>
    <row r="15" spans="1:9">
      <c r="A15" s="195" t="s">
        <v>206</v>
      </c>
      <c r="B15" s="164"/>
      <c r="C15" s="170">
        <v>412</v>
      </c>
      <c r="D15" s="183"/>
      <c r="E15" s="197">
        <v>1047836</v>
      </c>
      <c r="F15" s="197"/>
      <c r="G15" s="197"/>
      <c r="H15" s="163"/>
      <c r="I15" s="171">
        <f t="shared" si="1"/>
        <v>1047836</v>
      </c>
    </row>
    <row r="16" spans="1:9">
      <c r="A16" s="195" t="s">
        <v>207</v>
      </c>
      <c r="B16" s="164"/>
      <c r="C16" s="170"/>
      <c r="D16" s="183"/>
      <c r="E16" s="197">
        <v>422257</v>
      </c>
      <c r="F16" s="197"/>
      <c r="G16" s="197"/>
      <c r="H16" s="163">
        <f t="shared" si="0"/>
        <v>0</v>
      </c>
      <c r="I16" s="171">
        <f t="shared" si="1"/>
        <v>422257</v>
      </c>
    </row>
    <row r="17" spans="1:9">
      <c r="A17" s="195" t="s">
        <v>208</v>
      </c>
      <c r="B17" s="164"/>
      <c r="C17" s="170"/>
      <c r="D17" s="204"/>
      <c r="E17" s="197">
        <v>231946</v>
      </c>
      <c r="F17" s="197"/>
      <c r="G17" s="197"/>
      <c r="H17" s="163">
        <f t="shared" si="0"/>
        <v>0</v>
      </c>
      <c r="I17" s="171">
        <f t="shared" si="1"/>
        <v>231946</v>
      </c>
    </row>
    <row r="18" spans="1:9">
      <c r="A18" s="164"/>
      <c r="B18" s="164"/>
      <c r="C18" s="172">
        <f>SUM(C4:C17)</f>
        <v>248308</v>
      </c>
      <c r="E18" s="172">
        <f t="shared" ref="E18:I18" si="2">SUM(E4:E17)</f>
        <v>448218455</v>
      </c>
      <c r="F18" s="172">
        <f t="shared" si="2"/>
        <v>-206930953</v>
      </c>
      <c r="G18" s="172">
        <f t="shared" si="2"/>
        <v>186063817</v>
      </c>
      <c r="H18" s="172">
        <f t="shared" si="2"/>
        <v>-20867136</v>
      </c>
      <c r="I18" s="172">
        <f t="shared" si="2"/>
        <v>427351319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212018</v>
      </c>
      <c r="E20" s="174">
        <f>E4+E5</f>
        <v>191579774.66999999</v>
      </c>
      <c r="F20" s="174">
        <f t="shared" ref="F20:H20" si="3">F4+F5</f>
        <v>-117791465</v>
      </c>
      <c r="G20" s="174">
        <f t="shared" si="3"/>
        <v>100338664</v>
      </c>
      <c r="H20" s="174">
        <f t="shared" si="3"/>
        <v>-17452801</v>
      </c>
      <c r="I20" s="173">
        <f>I4+I5</f>
        <v>174126973.66999999</v>
      </c>
    </row>
    <row r="21" spans="1:9" ht="7.2" customHeight="1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35857</v>
      </c>
      <c r="E22" s="192">
        <f>SUM(E6:E9,E12:E14)</f>
        <v>164789741.32999998</v>
      </c>
      <c r="F22" s="192">
        <f t="shared" ref="F22:H22" si="4">SUM(F6:F9,F12:F14)</f>
        <v>-89139488</v>
      </c>
      <c r="G22" s="192">
        <f t="shared" si="4"/>
        <v>85725153</v>
      </c>
      <c r="H22" s="192">
        <f t="shared" si="4"/>
        <v>-3414335</v>
      </c>
      <c r="I22" s="191">
        <f>SUM(I6:I9,I12:I14)</f>
        <v>161375406.32999998</v>
      </c>
    </row>
    <row r="23" spans="1:9">
      <c r="A23" s="164"/>
      <c r="B23" s="164"/>
      <c r="C23" s="164"/>
      <c r="D23" s="164"/>
      <c r="E23" s="164"/>
    </row>
    <row r="24" spans="1:9" ht="43.2" customHeight="1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1836578</v>
      </c>
      <c r="D26" s="196">
        <v>16928700.34</v>
      </c>
      <c r="E26" s="198">
        <v>-10894887</v>
      </c>
      <c r="F26" s="198">
        <v>9315428</v>
      </c>
      <c r="G26" s="188">
        <f>SUM(D26:F26)</f>
        <v>15349241.34</v>
      </c>
      <c r="H26" s="188">
        <f>-J63</f>
        <v>93204.471840000013</v>
      </c>
      <c r="I26" s="188">
        <f>SUM(G26:H26)</f>
        <v>15442445.81184</v>
      </c>
    </row>
    <row r="27" spans="1:9">
      <c r="A27" s="195" t="s">
        <v>203</v>
      </c>
      <c r="B27" s="164"/>
      <c r="C27" s="196">
        <v>4080</v>
      </c>
      <c r="D27" s="196">
        <v>48277.369999999995</v>
      </c>
      <c r="E27" s="198">
        <v>-20431</v>
      </c>
      <c r="F27" s="198">
        <v>16683</v>
      </c>
      <c r="G27" s="188">
        <f t="shared" ref="G27:G35" si="5">SUM(D27:F27)</f>
        <v>44529.369999999995</v>
      </c>
      <c r="H27" s="188">
        <f t="shared" ref="H27:H35" si="6">-J64</f>
        <v>-1672.4461900000001</v>
      </c>
      <c r="I27" s="188">
        <f t="shared" ref="I27:I36" si="7">SUM(G27:H27)</f>
        <v>42856.923809999993</v>
      </c>
    </row>
    <row r="28" spans="1:9">
      <c r="A28" s="195" t="s">
        <v>149</v>
      </c>
      <c r="B28" s="164"/>
      <c r="C28" s="196">
        <v>410508.85</v>
      </c>
      <c r="D28" s="196">
        <v>5252085.47</v>
      </c>
      <c r="E28" s="198">
        <v>-2922971</v>
      </c>
      <c r="F28" s="198">
        <v>2730754</v>
      </c>
      <c r="G28" s="188">
        <f t="shared" si="5"/>
        <v>5059868.47</v>
      </c>
      <c r="H28" s="188">
        <f t="shared" si="6"/>
        <v>6551.4905999999992</v>
      </c>
      <c r="I28" s="188">
        <f t="shared" si="7"/>
        <v>5066419.9605999999</v>
      </c>
    </row>
    <row r="29" spans="1:9">
      <c r="A29" s="195" t="s">
        <v>150</v>
      </c>
      <c r="B29" s="164"/>
      <c r="C29" s="196">
        <v>166354.35</v>
      </c>
      <c r="D29" s="196">
        <v>724731.8</v>
      </c>
      <c r="E29" s="198">
        <v>-431020</v>
      </c>
      <c r="F29" s="198">
        <v>386578</v>
      </c>
      <c r="G29" s="188">
        <f t="shared" si="5"/>
        <v>680289.8</v>
      </c>
      <c r="H29" s="188">
        <f t="shared" si="6"/>
        <v>1112.5159499999997</v>
      </c>
      <c r="I29" s="188">
        <f t="shared" si="7"/>
        <v>681402.31595000008</v>
      </c>
    </row>
    <row r="30" spans="1:9">
      <c r="A30" s="195" t="s">
        <v>151</v>
      </c>
      <c r="B30" s="164"/>
      <c r="C30" s="196">
        <v>924804</v>
      </c>
      <c r="D30" s="196">
        <v>9727788.5999999996</v>
      </c>
      <c r="E30" s="198">
        <v>-4572312</v>
      </c>
      <c r="F30" s="198">
        <v>4532379</v>
      </c>
      <c r="G30" s="188">
        <f t="shared" si="5"/>
        <v>9687855.5999999996</v>
      </c>
      <c r="H30" s="188">
        <f t="shared" si="6"/>
        <v>1264.23136</v>
      </c>
      <c r="I30" s="188">
        <f t="shared" si="7"/>
        <v>9689119.8313599993</v>
      </c>
    </row>
    <row r="31" spans="1:9">
      <c r="A31" s="195" t="s">
        <v>152</v>
      </c>
      <c r="B31" s="164"/>
      <c r="C31" s="196">
        <v>24000</v>
      </c>
      <c r="D31" s="196">
        <v>229950.58000000002</v>
      </c>
      <c r="E31" s="198">
        <v>-127535</v>
      </c>
      <c r="F31" s="198">
        <v>111466</v>
      </c>
      <c r="G31" s="188">
        <f t="shared" si="5"/>
        <v>213881.58000000002</v>
      </c>
      <c r="H31" s="188">
        <f t="shared" si="6"/>
        <v>322.81784999999985</v>
      </c>
      <c r="I31" s="188">
        <f t="shared" si="7"/>
        <v>214204.39785000001</v>
      </c>
    </row>
    <row r="32" spans="1:9">
      <c r="A32" s="195" t="s">
        <v>153</v>
      </c>
      <c r="B32" s="164"/>
      <c r="C32" s="196">
        <v>441000</v>
      </c>
      <c r="D32" s="196">
        <f>5300453.53-84062.8</f>
        <v>5216390.7300000004</v>
      </c>
      <c r="E32" s="198">
        <v>0</v>
      </c>
      <c r="F32" s="198">
        <v>0</v>
      </c>
      <c r="G32" s="188">
        <f t="shared" si="5"/>
        <v>5216390.7300000004</v>
      </c>
      <c r="H32" s="188">
        <f t="shared" si="6"/>
        <v>0</v>
      </c>
      <c r="I32" s="188">
        <f t="shared" si="7"/>
        <v>5216390.7300000004</v>
      </c>
    </row>
    <row r="33" spans="1:10">
      <c r="A33" s="195" t="s">
        <v>205</v>
      </c>
      <c r="B33" s="164"/>
      <c r="C33" s="196">
        <v>846</v>
      </c>
      <c r="D33" s="196">
        <v>5603.55</v>
      </c>
      <c r="E33" s="198">
        <v>0</v>
      </c>
      <c r="F33" s="198">
        <v>0</v>
      </c>
      <c r="G33" s="188">
        <f t="shared" si="5"/>
        <v>5603.55</v>
      </c>
      <c r="H33" s="188">
        <f t="shared" si="6"/>
        <v>0</v>
      </c>
      <c r="I33" s="188">
        <f t="shared" si="7"/>
        <v>5603.55</v>
      </c>
    </row>
    <row r="34" spans="1:10">
      <c r="A34" s="195" t="s">
        <v>154</v>
      </c>
      <c r="B34" s="164"/>
      <c r="C34" s="196">
        <v>21762</v>
      </c>
      <c r="D34" s="196">
        <v>359663.88</v>
      </c>
      <c r="E34" s="198">
        <v>-177427</v>
      </c>
      <c r="F34" s="198">
        <v>173068</v>
      </c>
      <c r="G34" s="188">
        <f t="shared" si="5"/>
        <v>355304.88</v>
      </c>
      <c r="H34" s="188">
        <f t="shared" si="6"/>
        <v>120.1464</v>
      </c>
      <c r="I34" s="188">
        <f t="shared" si="7"/>
        <v>355425.02640000003</v>
      </c>
    </row>
    <row r="35" spans="1:10">
      <c r="A35" s="195" t="s">
        <v>155</v>
      </c>
      <c r="B35" s="164"/>
      <c r="C35" s="196">
        <v>21546</v>
      </c>
      <c r="D35" s="196">
        <v>43895.200000000012</v>
      </c>
      <c r="E35" s="198">
        <v>-23399</v>
      </c>
      <c r="F35" s="198">
        <v>19747</v>
      </c>
      <c r="G35" s="188">
        <f t="shared" si="5"/>
        <v>40243.200000000012</v>
      </c>
      <c r="H35" s="188">
        <f t="shared" si="6"/>
        <v>50.490599999999986</v>
      </c>
      <c r="I35" s="188">
        <f t="shared" si="7"/>
        <v>40293.690600000009</v>
      </c>
    </row>
    <row r="36" spans="1:10">
      <c r="A36" s="195" t="s">
        <v>217</v>
      </c>
      <c r="B36" s="164"/>
      <c r="C36" s="188"/>
      <c r="D36" s="196">
        <v>547369.36</v>
      </c>
      <c r="E36" s="196"/>
      <c r="F36" s="196"/>
      <c r="G36" s="188">
        <f>SUM(D36:F36)</f>
        <v>547369.36</v>
      </c>
      <c r="H36" s="188"/>
      <c r="I36" s="188">
        <f t="shared" si="7"/>
        <v>547369.36</v>
      </c>
    </row>
    <row r="37" spans="1:10">
      <c r="A37" s="195" t="s">
        <v>218</v>
      </c>
      <c r="B37" s="164"/>
      <c r="C37" s="183"/>
      <c r="D37" s="196">
        <v>1571170.1</v>
      </c>
      <c r="E37" s="196"/>
      <c r="F37" s="196"/>
      <c r="G37" s="188"/>
      <c r="H37" s="188"/>
      <c r="I37" s="188"/>
    </row>
    <row r="38" spans="1:10">
      <c r="A38" s="195" t="s">
        <v>219</v>
      </c>
      <c r="B38" s="164"/>
      <c r="C38" s="183"/>
      <c r="D38" s="196">
        <v>1506317.73</v>
      </c>
      <c r="E38" s="196"/>
      <c r="F38" s="196"/>
      <c r="G38" s="188"/>
      <c r="H38" s="188"/>
      <c r="I38" s="188"/>
    </row>
    <row r="39" spans="1:10">
      <c r="A39" s="164"/>
      <c r="B39" s="164"/>
      <c r="C39" s="178">
        <f>SUM(C26:C38)</f>
        <v>3851479.2</v>
      </c>
      <c r="D39" s="178">
        <f t="shared" ref="D39:I39" si="8">SUM(D26:D38)</f>
        <v>42161944.710000001</v>
      </c>
      <c r="E39" s="178">
        <f t="shared" si="8"/>
        <v>-19169982</v>
      </c>
      <c r="F39" s="178">
        <f t="shared" si="8"/>
        <v>17286103</v>
      </c>
      <c r="G39" s="178">
        <f t="shared" si="8"/>
        <v>37200577.880000003</v>
      </c>
      <c r="H39" s="178">
        <f t="shared" si="8"/>
        <v>100953.71841000003</v>
      </c>
      <c r="I39" s="178">
        <f t="shared" si="8"/>
        <v>37301531.598409988</v>
      </c>
    </row>
    <row r="40" spans="1:10" ht="15" thickBot="1">
      <c r="A40" s="164"/>
      <c r="B40" s="164"/>
      <c r="D40" s="179"/>
      <c r="E40" s="164"/>
      <c r="F40" s="164"/>
    </row>
    <row r="41" spans="1:10">
      <c r="A41" s="164" t="s">
        <v>19</v>
      </c>
      <c r="B41" s="164"/>
      <c r="C41" s="181">
        <f>C26+C27</f>
        <v>1840658</v>
      </c>
      <c r="D41" s="180">
        <f t="shared" ref="D41:I41" si="9">D26+D27</f>
        <v>16976977.710000001</v>
      </c>
      <c r="E41" s="180">
        <f t="shared" si="9"/>
        <v>-10915318</v>
      </c>
      <c r="F41" s="180">
        <f t="shared" si="9"/>
        <v>9332111</v>
      </c>
      <c r="G41" s="180">
        <f t="shared" si="9"/>
        <v>15393770.709999999</v>
      </c>
      <c r="H41" s="180">
        <f t="shared" si="9"/>
        <v>91532.025650000011</v>
      </c>
      <c r="I41" s="181">
        <f t="shared" si="9"/>
        <v>15485302.735649999</v>
      </c>
    </row>
    <row r="42" spans="1:10" ht="6" customHeight="1">
      <c r="A42" s="164"/>
      <c r="B42" s="164"/>
      <c r="C42" s="187"/>
      <c r="D42" s="180"/>
      <c r="E42" s="164"/>
      <c r="F42" s="164"/>
      <c r="I42" s="182"/>
    </row>
    <row r="43" spans="1:10" ht="15" thickBot="1">
      <c r="A43" s="164" t="s">
        <v>209</v>
      </c>
      <c r="B43" s="164"/>
      <c r="C43" s="189">
        <f>SUM(C28:C31,C33:C35)</f>
        <v>1569821.2</v>
      </c>
      <c r="D43" s="190">
        <f t="shared" ref="D43:I43" si="10">SUM(D28:D31,D33:D35)</f>
        <v>16343719.08</v>
      </c>
      <c r="E43" s="190">
        <f t="shared" si="10"/>
        <v>-8254664</v>
      </c>
      <c r="F43" s="190">
        <f t="shared" si="10"/>
        <v>7953992</v>
      </c>
      <c r="G43" s="190">
        <f t="shared" si="10"/>
        <v>16043047.08</v>
      </c>
      <c r="H43" s="190">
        <f t="shared" si="10"/>
        <v>9421.6927599999981</v>
      </c>
      <c r="I43" s="189">
        <f t="shared" si="10"/>
        <v>16052468.77276</v>
      </c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0">
      <c r="C46" s="161">
        <v>42675</v>
      </c>
      <c r="D46" s="185">
        <v>42675</v>
      </c>
      <c r="E46" s="185">
        <v>42278</v>
      </c>
      <c r="F46" s="161">
        <v>42583</v>
      </c>
      <c r="G46" s="161">
        <v>42644</v>
      </c>
      <c r="H46" s="161">
        <v>42380</v>
      </c>
      <c r="I46" s="161">
        <v>42552</v>
      </c>
      <c r="J46" s="161"/>
    </row>
    <row r="47" spans="1:10" ht="30" customHeight="1">
      <c r="A47" s="193" t="s">
        <v>220</v>
      </c>
      <c r="B47" s="166"/>
      <c r="C47" s="177" t="s">
        <v>221</v>
      </c>
      <c r="D47" s="177" t="s">
        <v>239</v>
      </c>
      <c r="E47" s="177" t="s">
        <v>222</v>
      </c>
      <c r="F47" s="177" t="s">
        <v>223</v>
      </c>
      <c r="G47" s="177" t="s">
        <v>224</v>
      </c>
      <c r="H47" s="177" t="s">
        <v>225</v>
      </c>
      <c r="I47" s="177" t="s">
        <v>226</v>
      </c>
      <c r="J47" s="177"/>
    </row>
    <row r="48" spans="1:10">
      <c r="A48" s="195" t="s">
        <v>148</v>
      </c>
      <c r="B48" s="164"/>
      <c r="C48" s="184">
        <v>-5.1000000000000004E-4</v>
      </c>
      <c r="D48" s="184">
        <v>2.63E-3</v>
      </c>
      <c r="E48" s="184"/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/>
    </row>
    <row r="49" spans="1:13">
      <c r="A49" s="195" t="s">
        <v>203</v>
      </c>
      <c r="B49" s="164"/>
      <c r="C49" s="184">
        <v>-5.1000000000000004E-4</v>
      </c>
      <c r="D49" s="184">
        <v>2.63E-3</v>
      </c>
      <c r="E49" s="184">
        <v>-3.1530000000000002E-2</v>
      </c>
      <c r="F49" s="184">
        <v>2.6199999999999999E-3</v>
      </c>
      <c r="G49" s="184">
        <v>9.7000000000000005E-4</v>
      </c>
      <c r="H49" s="184">
        <v>0</v>
      </c>
      <c r="I49" s="184">
        <v>-3.5E-4</v>
      </c>
      <c r="J49" s="184"/>
    </row>
    <row r="50" spans="1:13">
      <c r="A50" s="195" t="s">
        <v>149</v>
      </c>
      <c r="B50" s="164"/>
      <c r="C50" s="184"/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/>
    </row>
    <row r="51" spans="1:13">
      <c r="A51" s="195" t="s">
        <v>150</v>
      </c>
      <c r="B51" s="164"/>
      <c r="C51" s="184">
        <v>-5.1000000000000004E-4</v>
      </c>
      <c r="D51" s="184">
        <v>-1.4300000000000001E-3</v>
      </c>
      <c r="E51" s="184"/>
      <c r="F51" s="184">
        <v>3.62E-3</v>
      </c>
      <c r="G51" s="184">
        <v>1.41E-3</v>
      </c>
      <c r="H51" s="184">
        <v>0</v>
      </c>
      <c r="I51" s="184">
        <v>-3.6000000000000002E-4</v>
      </c>
      <c r="J51" s="184"/>
    </row>
    <row r="52" spans="1:13">
      <c r="A52" s="195" t="s">
        <v>151</v>
      </c>
      <c r="B52" s="164"/>
      <c r="C52" s="184"/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/>
    </row>
    <row r="53" spans="1:13">
      <c r="A53" s="195" t="s">
        <v>152</v>
      </c>
      <c r="B53" s="164"/>
      <c r="C53" s="184">
        <v>-5.1000000000000004E-4</v>
      </c>
      <c r="D53" s="184">
        <v>-1.4300000000000001E-3</v>
      </c>
      <c r="E53" s="184"/>
      <c r="F53" s="184">
        <v>2.7299999999999998E-3</v>
      </c>
      <c r="G53" s="184">
        <v>1.0200000000000001E-3</v>
      </c>
      <c r="H53" s="184">
        <v>0</v>
      </c>
      <c r="I53" s="184">
        <v>-3.6000000000000002E-4</v>
      </c>
      <c r="J53" s="184"/>
    </row>
    <row r="54" spans="1:13">
      <c r="A54" s="195" t="s">
        <v>153</v>
      </c>
      <c r="B54" s="164"/>
      <c r="C54" s="184"/>
      <c r="D54" s="184"/>
      <c r="E54" s="184"/>
      <c r="F54" s="184">
        <v>1.72E-3</v>
      </c>
      <c r="G54" s="184">
        <v>6.4000000000000005E-4</v>
      </c>
      <c r="H54" s="184">
        <v>0</v>
      </c>
      <c r="I54" s="184">
        <v>-3.4000000000000002E-4</v>
      </c>
      <c r="J54" s="184"/>
    </row>
    <row r="55" spans="1:13">
      <c r="A55" s="195" t="s">
        <v>204</v>
      </c>
      <c r="B55" s="164"/>
      <c r="C55" s="184"/>
      <c r="D55" s="184"/>
      <c r="E55" s="184"/>
      <c r="F55" s="184">
        <v>1.72E-3</v>
      </c>
      <c r="G55" s="184">
        <v>0</v>
      </c>
      <c r="H55" s="184">
        <v>0</v>
      </c>
      <c r="I55" s="184">
        <v>-3.4000000000000002E-4</v>
      </c>
      <c r="J55" s="184"/>
    </row>
    <row r="56" spans="1:13">
      <c r="A56" s="195" t="s">
        <v>205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>
      <c r="A57" s="195" t="s">
        <v>154</v>
      </c>
      <c r="B57" s="164"/>
      <c r="C57" s="184"/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/>
    </row>
    <row r="58" spans="1:13">
      <c r="A58" s="195" t="s">
        <v>155</v>
      </c>
      <c r="B58" s="164"/>
      <c r="C58" s="184">
        <v>-5.1000000000000004E-4</v>
      </c>
      <c r="D58" s="184">
        <v>-1.4300000000000001E-3</v>
      </c>
      <c r="E58" s="184"/>
      <c r="F58" s="184">
        <v>2.6099999999999999E-3</v>
      </c>
      <c r="G58" s="184">
        <v>8.8999999999999995E-4</v>
      </c>
      <c r="H58" s="184">
        <v>0</v>
      </c>
      <c r="I58" s="184">
        <v>-4.2000000000000002E-4</v>
      </c>
      <c r="J58" s="184"/>
    </row>
    <row r="59" spans="1:13" ht="14.4" customHeight="1">
      <c r="A59" s="195" t="s">
        <v>217</v>
      </c>
      <c r="B59" s="164"/>
      <c r="C59" s="202"/>
      <c r="D59" s="184"/>
      <c r="E59" s="184"/>
      <c r="F59" s="202">
        <v>8.6199999999999992E-3</v>
      </c>
      <c r="G59" s="255" t="s">
        <v>235</v>
      </c>
      <c r="H59" s="184">
        <v>0</v>
      </c>
      <c r="I59" s="199">
        <v>-3.6999999999999999E-4</v>
      </c>
      <c r="J59" s="202"/>
    </row>
    <row r="60" spans="1:13">
      <c r="A60" s="195" t="s">
        <v>208</v>
      </c>
      <c r="B60" s="164"/>
      <c r="C60" s="202"/>
      <c r="D60" s="184"/>
      <c r="E60" s="184"/>
      <c r="F60" s="202">
        <v>8.6199999999999992E-3</v>
      </c>
      <c r="G60" s="255"/>
      <c r="H60" s="184">
        <v>0</v>
      </c>
      <c r="I60" s="199">
        <v>-3.6999999999999999E-4</v>
      </c>
      <c r="J60" s="202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4"/>
    </row>
    <row r="63" spans="1:13">
      <c r="A63" s="195" t="s">
        <v>148</v>
      </c>
      <c r="C63" s="180">
        <f>$H4*C48</f>
        <v>8868.3359400000008</v>
      </c>
      <c r="D63" s="180">
        <f t="shared" ref="D63:I63" si="11">$H4*D48</f>
        <v>-45732.791219999999</v>
      </c>
      <c r="E63" s="180">
        <f t="shared" si="11"/>
        <v>0</v>
      </c>
      <c r="F63" s="180">
        <f t="shared" si="11"/>
        <v>-45558.902280000002</v>
      </c>
      <c r="G63" s="180">
        <f t="shared" si="11"/>
        <v>-16867.227180000002</v>
      </c>
      <c r="H63" s="180">
        <f t="shared" si="11"/>
        <v>0</v>
      </c>
      <c r="I63" s="180">
        <f t="shared" si="11"/>
        <v>6086.1129000000001</v>
      </c>
      <c r="J63" s="180">
        <f>SUM(C63:I63)</f>
        <v>-93204.471840000013</v>
      </c>
      <c r="M63" s="180"/>
    </row>
    <row r="64" spans="1:13">
      <c r="A64" s="195" t="s">
        <v>203</v>
      </c>
      <c r="C64" s="180">
        <f t="shared" ref="C64:I68" si="12">$H5*C49</f>
        <v>32.592570000000002</v>
      </c>
      <c r="D64" s="180">
        <f t="shared" si="12"/>
        <v>-168.07541000000001</v>
      </c>
      <c r="E64" s="180">
        <f t="shared" si="12"/>
        <v>2014.9877100000001</v>
      </c>
      <c r="F64" s="180">
        <f t="shared" si="12"/>
        <v>-167.43634</v>
      </c>
      <c r="G64" s="180">
        <f t="shared" si="12"/>
        <v>-61.989790000000006</v>
      </c>
      <c r="H64" s="180">
        <f t="shared" si="12"/>
        <v>0</v>
      </c>
      <c r="I64" s="180">
        <f t="shared" si="12"/>
        <v>22.367449999999998</v>
      </c>
      <c r="J64" s="180">
        <f t="shared" ref="J64:J73" si="13">SUM(C64:I64)</f>
        <v>1672.4461900000001</v>
      </c>
      <c r="M64" s="180"/>
    </row>
    <row r="65" spans="1:13">
      <c r="A65" s="195" t="s">
        <v>149</v>
      </c>
      <c r="C65" s="180">
        <f t="shared" si="12"/>
        <v>0</v>
      </c>
      <c r="D65" s="180">
        <f t="shared" si="12"/>
        <v>2891.5529500000002</v>
      </c>
      <c r="E65" s="180">
        <f t="shared" si="12"/>
        <v>0</v>
      </c>
      <c r="F65" s="180">
        <f t="shared" si="12"/>
        <v>-7319.8752999999997</v>
      </c>
      <c r="G65" s="180">
        <f t="shared" si="12"/>
        <v>-2851.1116499999998</v>
      </c>
      <c r="H65" s="180">
        <f t="shared" si="12"/>
        <v>0</v>
      </c>
      <c r="I65" s="180">
        <f t="shared" si="12"/>
        <v>727.9434</v>
      </c>
      <c r="J65" s="180">
        <f t="shared" si="13"/>
        <v>-6551.4905999999992</v>
      </c>
      <c r="M65" s="180"/>
    </row>
    <row r="66" spans="1:13">
      <c r="A66" s="195" t="s">
        <v>150</v>
      </c>
      <c r="C66" s="180">
        <f t="shared" si="12"/>
        <v>207.83265</v>
      </c>
      <c r="D66" s="180">
        <f t="shared" si="12"/>
        <v>582.74644999999998</v>
      </c>
      <c r="E66" s="180">
        <f t="shared" si="12"/>
        <v>0</v>
      </c>
      <c r="F66" s="180">
        <f t="shared" si="12"/>
        <v>-1475.2042999999999</v>
      </c>
      <c r="G66" s="180">
        <f t="shared" si="12"/>
        <v>-574.59614999999997</v>
      </c>
      <c r="H66" s="180">
        <f t="shared" si="12"/>
        <v>0</v>
      </c>
      <c r="I66" s="180">
        <f t="shared" si="12"/>
        <v>146.7054</v>
      </c>
      <c r="J66" s="180">
        <f t="shared" si="13"/>
        <v>-1112.5159499999997</v>
      </c>
      <c r="M66" s="180"/>
    </row>
    <row r="67" spans="1:13">
      <c r="A67" s="195" t="s">
        <v>151</v>
      </c>
      <c r="C67" s="180">
        <f t="shared" si="12"/>
        <v>0</v>
      </c>
      <c r="D67" s="180">
        <f t="shared" si="12"/>
        <v>922.37288000000001</v>
      </c>
      <c r="E67" s="180">
        <f t="shared" si="12"/>
        <v>0</v>
      </c>
      <c r="F67" s="180">
        <f t="shared" si="12"/>
        <v>-1760.8936799999999</v>
      </c>
      <c r="G67" s="180">
        <f t="shared" si="12"/>
        <v>-657.91632000000004</v>
      </c>
      <c r="H67" s="180">
        <f t="shared" si="12"/>
        <v>0</v>
      </c>
      <c r="I67" s="180">
        <f t="shared" si="12"/>
        <v>232.20576000000003</v>
      </c>
      <c r="J67" s="180">
        <f t="shared" si="13"/>
        <v>-1264.23136</v>
      </c>
      <c r="M67" s="180"/>
    </row>
    <row r="68" spans="1:13">
      <c r="A68" s="195" t="s">
        <v>152</v>
      </c>
      <c r="C68" s="180">
        <f t="shared" si="12"/>
        <v>113.54283000000001</v>
      </c>
      <c r="D68" s="180">
        <f t="shared" si="12"/>
        <v>318.36519000000004</v>
      </c>
      <c r="E68" s="180">
        <f t="shared" si="12"/>
        <v>0</v>
      </c>
      <c r="F68" s="180">
        <f t="shared" si="12"/>
        <v>-607.7880899999999</v>
      </c>
      <c r="G68" s="180">
        <f t="shared" si="12"/>
        <v>-227.08566000000002</v>
      </c>
      <c r="H68" s="180">
        <f t="shared" si="12"/>
        <v>0</v>
      </c>
      <c r="I68" s="180">
        <f t="shared" si="12"/>
        <v>80.147880000000001</v>
      </c>
      <c r="J68" s="180">
        <f t="shared" si="13"/>
        <v>-322.81784999999985</v>
      </c>
      <c r="M68" s="180"/>
    </row>
    <row r="69" spans="1:13">
      <c r="A69" s="195" t="s">
        <v>153</v>
      </c>
      <c r="C69" s="180">
        <f>($H10+$H11)*C54</f>
        <v>0</v>
      </c>
      <c r="D69" s="180">
        <f t="shared" ref="D69:I69" si="14">($H10+$H11)*D54</f>
        <v>0</v>
      </c>
      <c r="E69" s="180">
        <f t="shared" si="14"/>
        <v>0</v>
      </c>
      <c r="F69" s="180">
        <f t="shared" si="14"/>
        <v>0</v>
      </c>
      <c r="G69" s="180">
        <f t="shared" si="14"/>
        <v>0</v>
      </c>
      <c r="H69" s="180">
        <f t="shared" si="14"/>
        <v>0</v>
      </c>
      <c r="I69" s="180">
        <f t="shared" si="14"/>
        <v>0</v>
      </c>
      <c r="J69" s="180">
        <f t="shared" si="13"/>
        <v>0</v>
      </c>
      <c r="M69" s="180"/>
    </row>
    <row r="70" spans="1:13">
      <c r="A70" s="195" t="s">
        <v>205</v>
      </c>
      <c r="C70" s="180">
        <f>$H12*C56</f>
        <v>0</v>
      </c>
      <c r="D70" s="180">
        <f t="shared" ref="D70:I70" si="15">$H12*D56</f>
        <v>0</v>
      </c>
      <c r="E70" s="180">
        <f t="shared" si="15"/>
        <v>0</v>
      </c>
      <c r="F70" s="180">
        <f t="shared" si="15"/>
        <v>0</v>
      </c>
      <c r="G70" s="180">
        <f t="shared" si="15"/>
        <v>0</v>
      </c>
      <c r="H70" s="180">
        <f t="shared" si="15"/>
        <v>0</v>
      </c>
      <c r="I70" s="180">
        <f t="shared" si="15"/>
        <v>0</v>
      </c>
      <c r="J70" s="180">
        <f t="shared" si="13"/>
        <v>0</v>
      </c>
      <c r="M70" s="180"/>
    </row>
    <row r="71" spans="1:13">
      <c r="A71" s="195" t="s">
        <v>154</v>
      </c>
      <c r="C71" s="180">
        <f t="shared" ref="C71:I72" si="16">$H13*C57</f>
        <v>0</v>
      </c>
      <c r="D71" s="180">
        <f t="shared" si="16"/>
        <v>104.12688</v>
      </c>
      <c r="E71" s="180">
        <f t="shared" si="16"/>
        <v>0</v>
      </c>
      <c r="F71" s="180">
        <f t="shared" si="16"/>
        <v>-190.04975999999999</v>
      </c>
      <c r="G71" s="180">
        <f t="shared" si="16"/>
        <v>-64.806240000000003</v>
      </c>
      <c r="H71" s="180">
        <f t="shared" si="16"/>
        <v>0</v>
      </c>
      <c r="I71" s="180">
        <f t="shared" si="16"/>
        <v>30.582720000000002</v>
      </c>
      <c r="J71" s="180">
        <f t="shared" si="13"/>
        <v>-120.1464</v>
      </c>
      <c r="M71" s="180"/>
    </row>
    <row r="72" spans="1:13">
      <c r="A72" s="195" t="s">
        <v>155</v>
      </c>
      <c r="C72" s="180">
        <f t="shared" si="16"/>
        <v>22.587900000000001</v>
      </c>
      <c r="D72" s="180">
        <f t="shared" si="16"/>
        <v>63.334700000000005</v>
      </c>
      <c r="E72" s="180">
        <f t="shared" si="16"/>
        <v>0</v>
      </c>
      <c r="F72" s="180">
        <f t="shared" si="16"/>
        <v>-115.59689999999999</v>
      </c>
      <c r="G72" s="180">
        <f t="shared" si="16"/>
        <v>-39.418099999999995</v>
      </c>
      <c r="H72" s="180">
        <f t="shared" si="16"/>
        <v>0</v>
      </c>
      <c r="I72" s="180">
        <f t="shared" si="16"/>
        <v>18.601800000000001</v>
      </c>
      <c r="J72" s="180">
        <f t="shared" si="13"/>
        <v>-50.490599999999986</v>
      </c>
      <c r="M72" s="180"/>
    </row>
    <row r="73" spans="1:13">
      <c r="A73" s="195" t="s">
        <v>217</v>
      </c>
      <c r="C73" s="180">
        <f>($H15+$H16)*C59</f>
        <v>0</v>
      </c>
      <c r="D73" s="180">
        <f t="shared" ref="D73:I73" si="17">($H15+$H16)*D59</f>
        <v>0</v>
      </c>
      <c r="E73" s="180">
        <f t="shared" si="17"/>
        <v>0</v>
      </c>
      <c r="F73" s="180">
        <f t="shared" si="17"/>
        <v>0</v>
      </c>
      <c r="G73" s="180"/>
      <c r="H73" s="180">
        <f t="shared" si="17"/>
        <v>0</v>
      </c>
      <c r="I73" s="180">
        <f t="shared" si="17"/>
        <v>0</v>
      </c>
      <c r="J73" s="180">
        <f t="shared" si="13"/>
        <v>0</v>
      </c>
      <c r="M73" s="180"/>
    </row>
    <row r="74" spans="1:13">
      <c r="A74" s="169"/>
      <c r="C74" s="194">
        <f>SUM(C63:C73)</f>
        <v>9244.8918900000026</v>
      </c>
      <c r="D74" s="194">
        <f>SUM(D63:D73)</f>
        <v>-41018.367579999998</v>
      </c>
      <c r="E74" s="194">
        <f t="shared" ref="E74:J74" si="18">SUM(E63:E73)</f>
        <v>2014.9877100000001</v>
      </c>
      <c r="F74" s="194">
        <f t="shared" si="18"/>
        <v>-57195.746650000001</v>
      </c>
      <c r="G74" s="194">
        <f t="shared" si="18"/>
        <v>-21344.151090000003</v>
      </c>
      <c r="H74" s="194">
        <f t="shared" si="18"/>
        <v>0</v>
      </c>
      <c r="I74" s="194">
        <f t="shared" si="18"/>
        <v>7344.6673100000007</v>
      </c>
      <c r="J74" s="194">
        <f t="shared" si="18"/>
        <v>-100953.71841000003</v>
      </c>
    </row>
    <row r="76" spans="1:13">
      <c r="A76" s="164" t="s">
        <v>19</v>
      </c>
      <c r="B76" s="164"/>
      <c r="C76" s="180">
        <f>C63+C64</f>
        <v>8900.9285100000016</v>
      </c>
      <c r="D76" s="180">
        <f>D63+D64</f>
        <v>-45900.866629999997</v>
      </c>
      <c r="E76" s="180">
        <f t="shared" ref="E76:J76" si="19">E63+E64</f>
        <v>2014.9877100000001</v>
      </c>
      <c r="F76" s="180">
        <f t="shared" si="19"/>
        <v>-45726.338620000002</v>
      </c>
      <c r="G76" s="180">
        <f t="shared" si="19"/>
        <v>-16929.216970000001</v>
      </c>
      <c r="H76" s="180">
        <f t="shared" si="19"/>
        <v>0</v>
      </c>
      <c r="I76" s="180">
        <f t="shared" si="19"/>
        <v>6108.4803499999998</v>
      </c>
      <c r="J76" s="180">
        <f t="shared" si="19"/>
        <v>-91532.025650000011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343.96338000000003</v>
      </c>
      <c r="D78" s="190">
        <f>SUM(D65:D68,D70:D72)</f>
        <v>4882.4990500000013</v>
      </c>
      <c r="E78" s="190">
        <f t="shared" ref="E78:J78" si="20">SUM(E65:E68,E70:E72)</f>
        <v>0</v>
      </c>
      <c r="F78" s="190">
        <f t="shared" si="20"/>
        <v>-11469.408029999999</v>
      </c>
      <c r="G78" s="190">
        <f t="shared" si="20"/>
        <v>-4414.934119999999</v>
      </c>
      <c r="H78" s="190">
        <f t="shared" si="20"/>
        <v>0</v>
      </c>
      <c r="I78" s="190">
        <f t="shared" si="20"/>
        <v>1236.18696</v>
      </c>
      <c r="J78" s="190">
        <f t="shared" si="20"/>
        <v>-9421.6927599999981</v>
      </c>
    </row>
  </sheetData>
  <mergeCells count="2">
    <mergeCell ref="A1:I1"/>
    <mergeCell ref="G59:G60"/>
  </mergeCells>
  <printOptions horizontalCentered="1"/>
  <pageMargins left="0.45" right="0.45" top="0.6" bottom="0.6" header="0.3" footer="0.3"/>
  <pageSetup scale="80" orientation="landscape" r:id="rId1"/>
  <headerFooter>
    <oddFooter>&amp;L&amp;F / 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M78"/>
  <sheetViews>
    <sheetView workbookViewId="0">
      <selection activeCell="D70" sqref="D70"/>
    </sheetView>
  </sheetViews>
  <sheetFormatPr defaultColWidth="9.109375" defaultRowHeight="14.4"/>
  <cols>
    <col min="1" max="1" width="14.6640625" style="162" customWidth="1"/>
    <col min="2" max="2" width="9.109375" style="162"/>
    <col min="3" max="3" width="16.6640625" style="162" customWidth="1"/>
    <col min="4" max="4" width="20.44140625" style="162" customWidth="1"/>
    <col min="5" max="5" width="15.33203125" style="162" customWidth="1"/>
    <col min="6" max="6" width="14.88671875" style="162" customWidth="1"/>
    <col min="7" max="7" width="15.44140625" style="162" customWidth="1"/>
    <col min="8" max="8" width="14.44140625" style="162" customWidth="1"/>
    <col min="9" max="9" width="14.8867187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212133</v>
      </c>
      <c r="D4" s="183"/>
      <c r="E4" s="197">
        <v>227165088</v>
      </c>
      <c r="F4" s="197">
        <v>-128468208</v>
      </c>
      <c r="G4" s="197">
        <v>117448141</v>
      </c>
      <c r="H4" s="163">
        <f>SUM(F4:G4)</f>
        <v>-11020067</v>
      </c>
      <c r="I4" s="171">
        <f>E4+H4</f>
        <v>216145021</v>
      </c>
    </row>
    <row r="5" spans="1:9">
      <c r="A5" s="195" t="s">
        <v>203</v>
      </c>
      <c r="B5" s="164"/>
      <c r="C5" s="170">
        <v>485</v>
      </c>
      <c r="D5" s="183"/>
      <c r="E5" s="197">
        <v>677037</v>
      </c>
      <c r="F5" s="197">
        <v>-386952</v>
      </c>
      <c r="G5" s="197">
        <v>343324</v>
      </c>
      <c r="H5" s="163">
        <f t="shared" ref="H5:H17" si="0">SUM(F5:G5)</f>
        <v>-43628</v>
      </c>
      <c r="I5" s="171">
        <f t="shared" ref="I5:I17" si="1">E5+H5</f>
        <v>633409</v>
      </c>
    </row>
    <row r="6" spans="1:9">
      <c r="A6" s="195" t="s">
        <v>149</v>
      </c>
      <c r="B6" s="164"/>
      <c r="C6" s="170">
        <v>22507</v>
      </c>
      <c r="D6" s="183"/>
      <c r="E6" s="197">
        <v>49412581</v>
      </c>
      <c r="F6" s="197">
        <v>-25861321</v>
      </c>
      <c r="G6" s="197">
        <v>25437214</v>
      </c>
      <c r="H6" s="163">
        <f t="shared" si="0"/>
        <v>-424107</v>
      </c>
      <c r="I6" s="171">
        <f t="shared" si="1"/>
        <v>48988474</v>
      </c>
    </row>
    <row r="7" spans="1:9">
      <c r="A7" s="195" t="s">
        <v>150</v>
      </c>
      <c r="B7" s="164"/>
      <c r="C7" s="170">
        <v>9152</v>
      </c>
      <c r="D7" s="183"/>
      <c r="E7" s="197">
        <v>6007892</v>
      </c>
      <c r="F7" s="197">
        <v>-3418080</v>
      </c>
      <c r="G7" s="197">
        <v>3089919</v>
      </c>
      <c r="H7" s="163">
        <f t="shared" si="0"/>
        <v>-328161</v>
      </c>
      <c r="I7" s="171">
        <f t="shared" si="1"/>
        <v>5679731</v>
      </c>
    </row>
    <row r="8" spans="1:9">
      <c r="A8" s="195" t="s">
        <v>151</v>
      </c>
      <c r="B8" s="164"/>
      <c r="C8" s="170">
        <v>1845</v>
      </c>
      <c r="D8" s="183"/>
      <c r="E8" s="197">
        <v>110636773</v>
      </c>
      <c r="F8" s="197">
        <v>-55076230</v>
      </c>
      <c r="G8" s="197">
        <v>56835786</v>
      </c>
      <c r="H8" s="163">
        <f t="shared" si="0"/>
        <v>1759556</v>
      </c>
      <c r="I8" s="171">
        <f t="shared" si="1"/>
        <v>112396329</v>
      </c>
    </row>
    <row r="9" spans="1:9">
      <c r="A9" s="195" t="s">
        <v>152</v>
      </c>
      <c r="B9" s="164"/>
      <c r="C9" s="170">
        <v>48</v>
      </c>
      <c r="D9" s="183"/>
      <c r="E9" s="197">
        <v>3074340</v>
      </c>
      <c r="F9" s="197">
        <v>-1709040</v>
      </c>
      <c r="G9" s="197">
        <v>1591777</v>
      </c>
      <c r="H9" s="163">
        <f t="shared" si="0"/>
        <v>-117263</v>
      </c>
      <c r="I9" s="171">
        <f t="shared" si="1"/>
        <v>2957077</v>
      </c>
    </row>
    <row r="10" spans="1:9">
      <c r="A10" s="195" t="s">
        <v>153</v>
      </c>
      <c r="B10" s="164"/>
      <c r="C10" s="170">
        <v>21</v>
      </c>
      <c r="D10" s="183"/>
      <c r="E10" s="197">
        <f>94521732-E11</f>
        <v>57771074</v>
      </c>
      <c r="F10" s="197">
        <v>0</v>
      </c>
      <c r="G10" s="197">
        <v>0</v>
      </c>
      <c r="H10" s="163">
        <f t="shared" si="0"/>
        <v>0</v>
      </c>
      <c r="I10" s="171">
        <f t="shared" si="1"/>
        <v>57771074</v>
      </c>
    </row>
    <row r="11" spans="1:9">
      <c r="A11" s="195" t="s">
        <v>204</v>
      </c>
      <c r="B11" s="164"/>
      <c r="C11" s="170"/>
      <c r="D11" s="183"/>
      <c r="E11" s="197">
        <v>36750658</v>
      </c>
      <c r="F11" s="197">
        <v>0</v>
      </c>
      <c r="G11" s="197">
        <v>0</v>
      </c>
      <c r="H11" s="163">
        <f t="shared" si="0"/>
        <v>0</v>
      </c>
      <c r="I11" s="171">
        <f t="shared" si="1"/>
        <v>36750658</v>
      </c>
    </row>
    <row r="12" spans="1:9">
      <c r="A12" s="195" t="s">
        <v>205</v>
      </c>
      <c r="B12" s="164"/>
      <c r="C12" s="170">
        <v>50</v>
      </c>
      <c r="D12" s="183"/>
      <c r="E12" s="197">
        <v>7200</v>
      </c>
      <c r="F12" s="197">
        <v>0</v>
      </c>
      <c r="G12" s="197">
        <v>0</v>
      </c>
      <c r="H12" s="163">
        <f t="shared" si="0"/>
        <v>0</v>
      </c>
      <c r="I12" s="171">
        <f t="shared" si="1"/>
        <v>7200</v>
      </c>
    </row>
    <row r="13" spans="1:9">
      <c r="A13" s="195" t="s">
        <v>154</v>
      </c>
      <c r="B13" s="164"/>
      <c r="C13" s="170">
        <v>1206</v>
      </c>
      <c r="D13" s="183"/>
      <c r="E13" s="197">
        <v>4276514</v>
      </c>
      <c r="F13" s="197">
        <v>-1741286</v>
      </c>
      <c r="G13" s="197">
        <v>2028735</v>
      </c>
      <c r="H13" s="163">
        <f t="shared" si="0"/>
        <v>287449</v>
      </c>
      <c r="I13" s="171">
        <f t="shared" si="1"/>
        <v>4563963</v>
      </c>
    </row>
    <row r="14" spans="1:9">
      <c r="A14" s="195" t="s">
        <v>155</v>
      </c>
      <c r="B14" s="164"/>
      <c r="C14" s="170">
        <v>1219</v>
      </c>
      <c r="D14" s="183"/>
      <c r="E14" s="197">
        <v>292802</v>
      </c>
      <c r="F14" s="197">
        <v>-161230</v>
      </c>
      <c r="G14" s="197">
        <v>156057</v>
      </c>
      <c r="H14" s="163">
        <f t="shared" si="0"/>
        <v>-5173</v>
      </c>
      <c r="I14" s="171">
        <f t="shared" si="1"/>
        <v>287629</v>
      </c>
    </row>
    <row r="15" spans="1:9">
      <c r="A15" s="195" t="s">
        <v>206</v>
      </c>
      <c r="B15" s="164"/>
      <c r="C15" s="170">
        <v>414</v>
      </c>
      <c r="D15" s="183"/>
      <c r="E15" s="197">
        <v>1015974</v>
      </c>
      <c r="F15" s="197"/>
      <c r="G15" s="197"/>
      <c r="H15" s="163"/>
      <c r="I15" s="171">
        <f t="shared" si="1"/>
        <v>1015974</v>
      </c>
    </row>
    <row r="16" spans="1:9">
      <c r="A16" s="195" t="s">
        <v>207</v>
      </c>
      <c r="B16" s="164"/>
      <c r="C16" s="170"/>
      <c r="D16" s="183"/>
      <c r="E16" s="197">
        <v>414778</v>
      </c>
      <c r="F16" s="197"/>
      <c r="G16" s="197"/>
      <c r="H16" s="163">
        <f t="shared" si="0"/>
        <v>0</v>
      </c>
      <c r="I16" s="171">
        <f t="shared" si="1"/>
        <v>414778</v>
      </c>
    </row>
    <row r="17" spans="1:9">
      <c r="A17" s="195" t="s">
        <v>208</v>
      </c>
      <c r="B17" s="164"/>
      <c r="C17" s="170"/>
      <c r="D17" s="204"/>
      <c r="E17" s="197">
        <v>227940</v>
      </c>
      <c r="F17" s="197"/>
      <c r="G17" s="197"/>
      <c r="H17" s="163">
        <f t="shared" si="0"/>
        <v>0</v>
      </c>
      <c r="I17" s="171">
        <f t="shared" si="1"/>
        <v>227940</v>
      </c>
    </row>
    <row r="18" spans="1:9">
      <c r="A18" s="164"/>
      <c r="B18" s="164"/>
      <c r="C18" s="172">
        <f>SUM(C4:C17)</f>
        <v>249080</v>
      </c>
      <c r="E18" s="172">
        <f t="shared" ref="E18:I18" si="2">SUM(E4:E17)</f>
        <v>497730651</v>
      </c>
      <c r="F18" s="172">
        <f t="shared" si="2"/>
        <v>-216822347</v>
      </c>
      <c r="G18" s="172">
        <f t="shared" si="2"/>
        <v>206930953</v>
      </c>
      <c r="H18" s="172">
        <f t="shared" si="2"/>
        <v>-9891394</v>
      </c>
      <c r="I18" s="172">
        <f t="shared" si="2"/>
        <v>487839257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212618</v>
      </c>
      <c r="E20" s="174">
        <f>E4+E5</f>
        <v>227842125</v>
      </c>
      <c r="F20" s="174">
        <f t="shared" ref="F20:H20" si="3">F4+F5</f>
        <v>-128855160</v>
      </c>
      <c r="G20" s="174">
        <f t="shared" si="3"/>
        <v>117791465</v>
      </c>
      <c r="H20" s="174">
        <f t="shared" si="3"/>
        <v>-11063695</v>
      </c>
      <c r="I20" s="173">
        <f>I4+I5</f>
        <v>216778430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36027</v>
      </c>
      <c r="E22" s="192">
        <f>SUM(E6:E9,E12:E14)</f>
        <v>173708102</v>
      </c>
      <c r="F22" s="192">
        <f t="shared" ref="F22:H22" si="4">SUM(F6:F9,F12:F14)</f>
        <v>-87967187</v>
      </c>
      <c r="G22" s="192">
        <f t="shared" si="4"/>
        <v>89139488</v>
      </c>
      <c r="H22" s="192">
        <f t="shared" si="4"/>
        <v>1172301</v>
      </c>
      <c r="I22" s="191">
        <f>SUM(I6:I9,I12:I14)</f>
        <v>174880403</v>
      </c>
    </row>
    <row r="23" spans="1:9">
      <c r="A23" s="164"/>
      <c r="B23" s="164"/>
      <c r="C23" s="164"/>
      <c r="D23" s="164"/>
      <c r="E23" s="164"/>
    </row>
    <row r="24" spans="1:9" ht="53.4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1839655</v>
      </c>
      <c r="D26" s="196">
        <v>20224708.690000001</v>
      </c>
      <c r="E26" s="198">
        <v>-12016833</v>
      </c>
      <c r="F26" s="198">
        <v>10894887</v>
      </c>
      <c r="G26" s="188">
        <f>SUM(D26:F26)</f>
        <v>19102762.690000001</v>
      </c>
      <c r="H26" s="188">
        <f>-J63</f>
        <v>59067.559119999998</v>
      </c>
      <c r="I26" s="188">
        <f>SUM(G26:H26)</f>
        <v>19161830.249120001</v>
      </c>
    </row>
    <row r="27" spans="1:9">
      <c r="A27" s="195" t="s">
        <v>203</v>
      </c>
      <c r="B27" s="164"/>
      <c r="C27" s="196">
        <v>4207.5</v>
      </c>
      <c r="D27" s="196">
        <v>60224.92</v>
      </c>
      <c r="E27" s="198">
        <v>-23365</v>
      </c>
      <c r="F27" s="198">
        <v>20431</v>
      </c>
      <c r="G27" s="188">
        <f t="shared" ref="G27:G35" si="5">SUM(D27:F27)</f>
        <v>57290.92</v>
      </c>
      <c r="H27" s="188">
        <f t="shared" ref="H27:H35" si="6">-J64</f>
        <v>-1141.74476</v>
      </c>
      <c r="I27" s="188">
        <f t="shared" ref="I27:I36" si="7">SUM(G27:H27)</f>
        <v>56149.175239999997</v>
      </c>
    </row>
    <row r="28" spans="1:9">
      <c r="A28" s="195" t="s">
        <v>149</v>
      </c>
      <c r="B28" s="164"/>
      <c r="C28" s="196">
        <v>413721.28</v>
      </c>
      <c r="D28" s="196">
        <v>5716019.9299999997</v>
      </c>
      <c r="E28" s="198">
        <v>-2954977</v>
      </c>
      <c r="F28" s="198">
        <v>2922971</v>
      </c>
      <c r="G28" s="188">
        <f t="shared" si="5"/>
        <v>5684013.9299999997</v>
      </c>
      <c r="H28" s="188">
        <f t="shared" si="6"/>
        <v>1374.1066799999999</v>
      </c>
      <c r="I28" s="188">
        <f t="shared" si="7"/>
        <v>5685388.0366799999</v>
      </c>
    </row>
    <row r="29" spans="1:9">
      <c r="A29" s="195" t="s">
        <v>150</v>
      </c>
      <c r="B29" s="164"/>
      <c r="C29" s="196">
        <v>166572.07999999999</v>
      </c>
      <c r="D29" s="196">
        <v>827105.88</v>
      </c>
      <c r="E29" s="198">
        <v>-466189</v>
      </c>
      <c r="F29" s="198">
        <v>431020</v>
      </c>
      <c r="G29" s="188">
        <f t="shared" si="5"/>
        <v>791936.88</v>
      </c>
      <c r="H29" s="188">
        <f t="shared" si="6"/>
        <v>895.87952999999993</v>
      </c>
      <c r="I29" s="188">
        <f t="shared" si="7"/>
        <v>792832.75953000004</v>
      </c>
    </row>
    <row r="30" spans="1:9">
      <c r="A30" s="195" t="s">
        <v>151</v>
      </c>
      <c r="B30" s="164"/>
      <c r="C30" s="196">
        <v>925066.66</v>
      </c>
      <c r="D30" s="196">
        <v>9943069.8599999994</v>
      </c>
      <c r="E30" s="198">
        <v>-4442738</v>
      </c>
      <c r="F30" s="198">
        <v>4572312</v>
      </c>
      <c r="G30" s="188">
        <f t="shared" si="5"/>
        <v>10072643.859999999</v>
      </c>
      <c r="H30" s="188">
        <f t="shared" si="6"/>
        <v>-3448.7297600000002</v>
      </c>
      <c r="I30" s="188">
        <f t="shared" si="7"/>
        <v>10069195.130239999</v>
      </c>
    </row>
    <row r="31" spans="1:9">
      <c r="A31" s="195" t="s">
        <v>152</v>
      </c>
      <c r="B31" s="164"/>
      <c r="C31" s="196">
        <v>24000</v>
      </c>
      <c r="D31" s="196">
        <v>270458.06</v>
      </c>
      <c r="E31" s="198">
        <v>-135941</v>
      </c>
      <c r="F31" s="198">
        <v>127535</v>
      </c>
      <c r="G31" s="188">
        <f t="shared" si="5"/>
        <v>262052.06</v>
      </c>
      <c r="H31" s="188">
        <f t="shared" si="6"/>
        <v>170.03134999999997</v>
      </c>
      <c r="I31" s="188">
        <f t="shared" si="7"/>
        <v>262222.09135</v>
      </c>
    </row>
    <row r="32" spans="1:9">
      <c r="A32" s="195" t="s">
        <v>153</v>
      </c>
      <c r="B32" s="164"/>
      <c r="C32" s="196">
        <v>441000</v>
      </c>
      <c r="D32" s="196">
        <f>5530712.45-87772.2</f>
        <v>5442940.25</v>
      </c>
      <c r="E32" s="198">
        <v>0</v>
      </c>
      <c r="F32" s="198">
        <v>0</v>
      </c>
      <c r="G32" s="188">
        <f t="shared" si="5"/>
        <v>5442940.25</v>
      </c>
      <c r="H32" s="188">
        <f t="shared" si="6"/>
        <v>0</v>
      </c>
      <c r="I32" s="188">
        <f t="shared" si="7"/>
        <v>5442940.25</v>
      </c>
    </row>
    <row r="33" spans="1:10">
      <c r="A33" s="195" t="s">
        <v>205</v>
      </c>
      <c r="B33" s="164"/>
      <c r="C33" s="196">
        <v>900</v>
      </c>
      <c r="D33" s="196">
        <v>1390.88</v>
      </c>
      <c r="E33" s="198">
        <v>0</v>
      </c>
      <c r="F33" s="198">
        <v>0</v>
      </c>
      <c r="G33" s="188">
        <f t="shared" si="5"/>
        <v>1390.88</v>
      </c>
      <c r="H33" s="188">
        <f t="shared" si="6"/>
        <v>0</v>
      </c>
      <c r="I33" s="188">
        <f t="shared" si="7"/>
        <v>1390.88</v>
      </c>
    </row>
    <row r="34" spans="1:10">
      <c r="A34" s="195" t="s">
        <v>154</v>
      </c>
      <c r="B34" s="164"/>
      <c r="C34" s="196">
        <v>21888</v>
      </c>
      <c r="D34" s="196">
        <v>370321.99</v>
      </c>
      <c r="E34" s="198">
        <v>-152942</v>
      </c>
      <c r="F34" s="198">
        <v>177427</v>
      </c>
      <c r="G34" s="188">
        <f t="shared" si="5"/>
        <v>394806.99</v>
      </c>
      <c r="H34" s="188">
        <f t="shared" si="6"/>
        <v>-474.29084999999992</v>
      </c>
      <c r="I34" s="188">
        <f t="shared" si="7"/>
        <v>394332.69915</v>
      </c>
    </row>
    <row r="35" spans="1:10">
      <c r="A35" s="195" t="s">
        <v>155</v>
      </c>
      <c r="B35" s="164"/>
      <c r="C35" s="196">
        <v>22104</v>
      </c>
      <c r="D35" s="196">
        <v>46989.08</v>
      </c>
      <c r="E35" s="198">
        <v>-23443</v>
      </c>
      <c r="F35" s="198">
        <v>23399</v>
      </c>
      <c r="G35" s="188">
        <f t="shared" si="5"/>
        <v>46945.08</v>
      </c>
      <c r="H35" s="188">
        <f t="shared" si="6"/>
        <v>5.8972199999999972</v>
      </c>
      <c r="I35" s="188">
        <f t="shared" si="7"/>
        <v>46950.977220000001</v>
      </c>
    </row>
    <row r="36" spans="1:10">
      <c r="A36" s="195" t="s">
        <v>217</v>
      </c>
      <c r="B36" s="164"/>
      <c r="C36" s="188"/>
      <c r="D36" s="196">
        <v>556517.66</v>
      </c>
      <c r="E36" s="196"/>
      <c r="F36" s="196"/>
      <c r="G36" s="188">
        <f>SUM(D36:F36)</f>
        <v>556517.66</v>
      </c>
      <c r="H36" s="188"/>
      <c r="I36" s="188">
        <f t="shared" si="7"/>
        <v>556517.66</v>
      </c>
    </row>
    <row r="37" spans="1:10">
      <c r="A37" s="195" t="s">
        <v>218</v>
      </c>
      <c r="B37" s="164"/>
      <c r="C37" s="183"/>
      <c r="D37" s="196">
        <v>1793207.43</v>
      </c>
      <c r="E37" s="196"/>
      <c r="F37" s="196"/>
      <c r="G37" s="188"/>
      <c r="H37" s="188"/>
      <c r="I37" s="188"/>
    </row>
    <row r="38" spans="1:10">
      <c r="A38" s="195" t="s">
        <v>219</v>
      </c>
      <c r="B38" s="164"/>
      <c r="C38" s="183"/>
      <c r="D38" s="196">
        <v>1659521.04</v>
      </c>
      <c r="E38" s="196"/>
      <c r="F38" s="196"/>
      <c r="G38" s="188"/>
      <c r="H38" s="188"/>
      <c r="I38" s="188"/>
    </row>
    <row r="39" spans="1:10">
      <c r="A39" s="164"/>
      <c r="B39" s="164"/>
      <c r="C39" s="178">
        <f>SUM(C26:C38)</f>
        <v>3859114.5200000005</v>
      </c>
      <c r="D39" s="178">
        <f t="shared" ref="D39:I39" si="8">SUM(D26:D38)</f>
        <v>46912475.670000002</v>
      </c>
      <c r="E39" s="178">
        <f t="shared" si="8"/>
        <v>-20216428</v>
      </c>
      <c r="F39" s="178">
        <f t="shared" si="8"/>
        <v>19169982</v>
      </c>
      <c r="G39" s="178">
        <f t="shared" si="8"/>
        <v>42413301.200000003</v>
      </c>
      <c r="H39" s="178">
        <f t="shared" si="8"/>
        <v>56448.708529999989</v>
      </c>
      <c r="I39" s="178">
        <f t="shared" si="8"/>
        <v>42469749.908529997</v>
      </c>
    </row>
    <row r="40" spans="1:10" ht="15" thickBot="1">
      <c r="A40" s="164"/>
      <c r="B40" s="164"/>
      <c r="D40" s="179"/>
      <c r="E40" s="164"/>
      <c r="F40" s="164"/>
    </row>
    <row r="41" spans="1:10">
      <c r="A41" s="164" t="s">
        <v>19</v>
      </c>
      <c r="B41" s="164"/>
      <c r="C41" s="181">
        <f>C26+C27</f>
        <v>1843862.5</v>
      </c>
      <c r="D41" s="180">
        <f t="shared" ref="D41:I41" si="9">D26+D27</f>
        <v>20284933.610000003</v>
      </c>
      <c r="E41" s="180">
        <f t="shared" si="9"/>
        <v>-12040198</v>
      </c>
      <c r="F41" s="180">
        <f t="shared" si="9"/>
        <v>10915318</v>
      </c>
      <c r="G41" s="180">
        <f t="shared" si="9"/>
        <v>19160053.610000003</v>
      </c>
      <c r="H41" s="180">
        <f t="shared" si="9"/>
        <v>57925.814359999997</v>
      </c>
      <c r="I41" s="181">
        <f t="shared" si="9"/>
        <v>19217979.42436</v>
      </c>
    </row>
    <row r="42" spans="1:10">
      <c r="A42" s="164"/>
      <c r="B42" s="164"/>
      <c r="C42" s="187"/>
      <c r="D42" s="180"/>
      <c r="E42" s="164"/>
      <c r="F42" s="164"/>
      <c r="I42" s="182"/>
    </row>
    <row r="43" spans="1:10" ht="15" thickBot="1">
      <c r="A43" s="164" t="s">
        <v>209</v>
      </c>
      <c r="B43" s="164"/>
      <c r="C43" s="189">
        <f>SUM(C28:C31,C33:C35)</f>
        <v>1574252.02</v>
      </c>
      <c r="D43" s="190">
        <f t="shared" ref="D43:I43" si="10">SUM(D28:D31,D33:D35)</f>
        <v>17175355.679999996</v>
      </c>
      <c r="E43" s="190">
        <f t="shared" si="10"/>
        <v>-8176230</v>
      </c>
      <c r="F43" s="190">
        <f t="shared" si="10"/>
        <v>8254664</v>
      </c>
      <c r="G43" s="190">
        <f t="shared" si="10"/>
        <v>17253789.679999992</v>
      </c>
      <c r="H43" s="190">
        <f t="shared" si="10"/>
        <v>-1477.10583</v>
      </c>
      <c r="I43" s="189">
        <f t="shared" si="10"/>
        <v>17252312.574169997</v>
      </c>
    </row>
    <row r="44" spans="1:10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0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0">
      <c r="C46" s="161">
        <v>42675</v>
      </c>
      <c r="D46" s="185">
        <v>42675</v>
      </c>
      <c r="E46" s="185">
        <v>42278</v>
      </c>
      <c r="F46" s="161">
        <v>42583</v>
      </c>
      <c r="G46" s="161">
        <v>42644</v>
      </c>
      <c r="H46" s="161">
        <v>42380</v>
      </c>
      <c r="I46" s="161">
        <v>42552</v>
      </c>
      <c r="J46" s="161"/>
    </row>
    <row r="47" spans="1:10" ht="30" customHeight="1">
      <c r="A47" s="193" t="s">
        <v>220</v>
      </c>
      <c r="B47" s="166"/>
      <c r="C47" s="177" t="s">
        <v>221</v>
      </c>
      <c r="D47" s="177" t="s">
        <v>239</v>
      </c>
      <c r="E47" s="177" t="s">
        <v>222</v>
      </c>
      <c r="F47" s="177" t="s">
        <v>223</v>
      </c>
      <c r="G47" s="177" t="s">
        <v>224</v>
      </c>
      <c r="H47" s="177" t="s">
        <v>225</v>
      </c>
      <c r="I47" s="177" t="s">
        <v>226</v>
      </c>
      <c r="J47" s="177"/>
    </row>
    <row r="48" spans="1:10">
      <c r="A48" s="195" t="s">
        <v>148</v>
      </c>
      <c r="B48" s="164"/>
      <c r="C48" s="184">
        <v>-5.1000000000000004E-4</v>
      </c>
      <c r="D48" s="184">
        <v>2.63E-3</v>
      </c>
      <c r="E48" s="184"/>
      <c r="F48" s="184">
        <v>2.6199999999999999E-3</v>
      </c>
      <c r="G48" s="184">
        <v>9.7000000000000005E-4</v>
      </c>
      <c r="H48" s="184">
        <v>0</v>
      </c>
      <c r="I48" s="184">
        <v>-3.5E-4</v>
      </c>
      <c r="J48" s="184"/>
    </row>
    <row r="49" spans="1:13">
      <c r="A49" s="195" t="s">
        <v>203</v>
      </c>
      <c r="B49" s="164"/>
      <c r="C49" s="184">
        <v>-5.1000000000000004E-4</v>
      </c>
      <c r="D49" s="184">
        <v>2.63E-3</v>
      </c>
      <c r="E49" s="184">
        <v>-3.1530000000000002E-2</v>
      </c>
      <c r="F49" s="184">
        <v>2.6199999999999999E-3</v>
      </c>
      <c r="G49" s="184">
        <v>9.7000000000000005E-4</v>
      </c>
      <c r="H49" s="184">
        <v>0</v>
      </c>
      <c r="I49" s="184">
        <v>-3.5E-4</v>
      </c>
      <c r="J49" s="184"/>
    </row>
    <row r="50" spans="1:13">
      <c r="A50" s="195" t="s">
        <v>149</v>
      </c>
      <c r="B50" s="164"/>
      <c r="C50" s="184"/>
      <c r="D50" s="184">
        <v>-1.4300000000000001E-3</v>
      </c>
      <c r="E50" s="184"/>
      <c r="F50" s="184">
        <v>3.62E-3</v>
      </c>
      <c r="G50" s="184">
        <v>1.41E-3</v>
      </c>
      <c r="H50" s="184">
        <v>0</v>
      </c>
      <c r="I50" s="184">
        <v>-3.6000000000000002E-4</v>
      </c>
      <c r="J50" s="184"/>
    </row>
    <row r="51" spans="1:13">
      <c r="A51" s="195" t="s">
        <v>150</v>
      </c>
      <c r="B51" s="164"/>
      <c r="C51" s="184">
        <v>-5.1000000000000004E-4</v>
      </c>
      <c r="D51" s="184">
        <v>-1.4300000000000001E-3</v>
      </c>
      <c r="E51" s="184"/>
      <c r="F51" s="184">
        <v>3.62E-3</v>
      </c>
      <c r="G51" s="184">
        <v>1.41E-3</v>
      </c>
      <c r="H51" s="184">
        <v>0</v>
      </c>
      <c r="I51" s="184">
        <v>-3.6000000000000002E-4</v>
      </c>
      <c r="J51" s="184"/>
    </row>
    <row r="52" spans="1:13">
      <c r="A52" s="195" t="s">
        <v>151</v>
      </c>
      <c r="B52" s="164"/>
      <c r="C52" s="184"/>
      <c r="D52" s="184">
        <v>-1.4300000000000001E-3</v>
      </c>
      <c r="E52" s="184"/>
      <c r="F52" s="184">
        <v>2.7299999999999998E-3</v>
      </c>
      <c r="G52" s="184">
        <v>1.0200000000000001E-3</v>
      </c>
      <c r="H52" s="184">
        <v>0</v>
      </c>
      <c r="I52" s="184">
        <v>-3.6000000000000002E-4</v>
      </c>
      <c r="J52" s="184"/>
    </row>
    <row r="53" spans="1:13">
      <c r="A53" s="195" t="s">
        <v>152</v>
      </c>
      <c r="B53" s="164"/>
      <c r="C53" s="184">
        <v>-5.1000000000000004E-4</v>
      </c>
      <c r="D53" s="184">
        <v>-1.4300000000000001E-3</v>
      </c>
      <c r="E53" s="184"/>
      <c r="F53" s="184">
        <v>2.7299999999999998E-3</v>
      </c>
      <c r="G53" s="184">
        <v>1.0200000000000001E-3</v>
      </c>
      <c r="H53" s="184">
        <v>0</v>
      </c>
      <c r="I53" s="184">
        <v>-3.6000000000000002E-4</v>
      </c>
      <c r="J53" s="184"/>
    </row>
    <row r="54" spans="1:13">
      <c r="A54" s="195" t="s">
        <v>153</v>
      </c>
      <c r="B54" s="164"/>
      <c r="C54" s="184"/>
      <c r="D54" s="184"/>
      <c r="E54" s="184"/>
      <c r="F54" s="184">
        <v>1.72E-3</v>
      </c>
      <c r="G54" s="184">
        <v>6.4000000000000005E-4</v>
      </c>
      <c r="H54" s="184">
        <v>0</v>
      </c>
      <c r="I54" s="184">
        <v>-3.4000000000000002E-4</v>
      </c>
      <c r="J54" s="184"/>
    </row>
    <row r="55" spans="1:13">
      <c r="A55" s="195" t="s">
        <v>204</v>
      </c>
      <c r="B55" s="164"/>
      <c r="C55" s="184"/>
      <c r="D55" s="184"/>
      <c r="E55" s="184"/>
      <c r="F55" s="184">
        <v>1.72E-3</v>
      </c>
      <c r="G55" s="184">
        <v>0</v>
      </c>
      <c r="H55" s="184">
        <v>0</v>
      </c>
      <c r="I55" s="184">
        <v>-3.4000000000000002E-4</v>
      </c>
      <c r="J55" s="184"/>
    </row>
    <row r="56" spans="1:13">
      <c r="A56" s="195" t="s">
        <v>205</v>
      </c>
      <c r="B56" s="164"/>
      <c r="C56" s="184"/>
      <c r="D56" s="184">
        <v>-1.4300000000000001E-3</v>
      </c>
      <c r="E56" s="184"/>
      <c r="F56" s="184">
        <v>2.6099999999999999E-3</v>
      </c>
      <c r="G56" s="184">
        <v>8.8999999999999995E-4</v>
      </c>
      <c r="H56" s="184">
        <v>0</v>
      </c>
      <c r="I56" s="184">
        <v>-4.2000000000000002E-4</v>
      </c>
      <c r="J56" s="184"/>
    </row>
    <row r="57" spans="1:13">
      <c r="A57" s="195" t="s">
        <v>154</v>
      </c>
      <c r="B57" s="164"/>
      <c r="C57" s="184"/>
      <c r="D57" s="184">
        <v>-1.4300000000000001E-3</v>
      </c>
      <c r="E57" s="184"/>
      <c r="F57" s="184">
        <v>2.6099999999999999E-3</v>
      </c>
      <c r="G57" s="184">
        <v>8.8999999999999995E-4</v>
      </c>
      <c r="H57" s="184">
        <v>0</v>
      </c>
      <c r="I57" s="184">
        <v>-4.2000000000000002E-4</v>
      </c>
      <c r="J57" s="184"/>
    </row>
    <row r="58" spans="1:13">
      <c r="A58" s="195" t="s">
        <v>155</v>
      </c>
      <c r="B58" s="164"/>
      <c r="C58" s="184">
        <v>-5.1000000000000004E-4</v>
      </c>
      <c r="D58" s="184">
        <v>-1.4300000000000001E-3</v>
      </c>
      <c r="E58" s="184"/>
      <c r="F58" s="184">
        <v>2.6099999999999999E-3</v>
      </c>
      <c r="G58" s="184">
        <v>8.8999999999999995E-4</v>
      </c>
      <c r="H58" s="184">
        <v>0</v>
      </c>
      <c r="I58" s="184">
        <v>-4.2000000000000002E-4</v>
      </c>
      <c r="J58" s="184"/>
    </row>
    <row r="59" spans="1:13" ht="14.4" customHeight="1">
      <c r="A59" s="195" t="s">
        <v>217</v>
      </c>
      <c r="B59" s="164"/>
      <c r="C59" s="202"/>
      <c r="D59" s="184"/>
      <c r="E59" s="184"/>
      <c r="F59" s="202">
        <v>8.6199999999999992E-3</v>
      </c>
      <c r="G59" s="255" t="s">
        <v>235</v>
      </c>
      <c r="H59" s="184">
        <v>0</v>
      </c>
      <c r="I59" s="199">
        <v>-3.6999999999999999E-4</v>
      </c>
      <c r="J59" s="202"/>
    </row>
    <row r="60" spans="1:13">
      <c r="A60" s="195" t="s">
        <v>208</v>
      </c>
      <c r="B60" s="164"/>
      <c r="C60" s="202"/>
      <c r="D60" s="184"/>
      <c r="E60" s="184"/>
      <c r="F60" s="202">
        <v>8.6199999999999992E-3</v>
      </c>
      <c r="G60" s="255"/>
      <c r="H60" s="184">
        <v>0</v>
      </c>
      <c r="I60" s="199">
        <v>-3.6999999999999999E-4</v>
      </c>
      <c r="J60" s="202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3"/>
    </row>
    <row r="63" spans="1:13">
      <c r="A63" s="195" t="s">
        <v>148</v>
      </c>
      <c r="C63" s="180">
        <f>$H4*C48</f>
        <v>5620.2341700000006</v>
      </c>
      <c r="D63" s="180">
        <f t="shared" ref="D63:I63" si="11">$H4*D48</f>
        <v>-28982.77621</v>
      </c>
      <c r="E63" s="180">
        <f t="shared" si="11"/>
        <v>0</v>
      </c>
      <c r="F63" s="180">
        <f t="shared" si="11"/>
        <v>-28872.575539999998</v>
      </c>
      <c r="G63" s="180">
        <f t="shared" si="11"/>
        <v>-10689.46499</v>
      </c>
      <c r="H63" s="180">
        <f t="shared" si="11"/>
        <v>0</v>
      </c>
      <c r="I63" s="180">
        <f t="shared" si="11"/>
        <v>3857.0234500000001</v>
      </c>
      <c r="J63" s="180">
        <f>SUM(C63:I63)</f>
        <v>-59067.559119999998</v>
      </c>
      <c r="M63" s="180"/>
    </row>
    <row r="64" spans="1:13">
      <c r="A64" s="195" t="s">
        <v>203</v>
      </c>
      <c r="C64" s="180">
        <f t="shared" ref="C64:I68" si="12">$H5*C49</f>
        <v>22.25028</v>
      </c>
      <c r="D64" s="180">
        <f t="shared" si="12"/>
        <v>-114.74164</v>
      </c>
      <c r="E64" s="180">
        <f t="shared" si="12"/>
        <v>1375.5908400000001</v>
      </c>
      <c r="F64" s="180">
        <f t="shared" si="12"/>
        <v>-114.30535999999999</v>
      </c>
      <c r="G64" s="180">
        <f t="shared" si="12"/>
        <v>-42.319160000000004</v>
      </c>
      <c r="H64" s="180">
        <f t="shared" si="12"/>
        <v>0</v>
      </c>
      <c r="I64" s="180">
        <f t="shared" si="12"/>
        <v>15.2698</v>
      </c>
      <c r="J64" s="180">
        <f t="shared" ref="J64:J73" si="13">SUM(C64:I64)</f>
        <v>1141.74476</v>
      </c>
      <c r="M64" s="180"/>
    </row>
    <row r="65" spans="1:13">
      <c r="A65" s="195" t="s">
        <v>149</v>
      </c>
      <c r="C65" s="180">
        <f t="shared" si="12"/>
        <v>0</v>
      </c>
      <c r="D65" s="180">
        <f t="shared" si="12"/>
        <v>606.47301000000004</v>
      </c>
      <c r="E65" s="180">
        <f t="shared" si="12"/>
        <v>0</v>
      </c>
      <c r="F65" s="180">
        <f t="shared" si="12"/>
        <v>-1535.2673399999999</v>
      </c>
      <c r="G65" s="180">
        <f t="shared" si="12"/>
        <v>-597.99086999999997</v>
      </c>
      <c r="H65" s="180">
        <f t="shared" si="12"/>
        <v>0</v>
      </c>
      <c r="I65" s="180">
        <f t="shared" si="12"/>
        <v>152.67852000000002</v>
      </c>
      <c r="J65" s="180">
        <f t="shared" si="13"/>
        <v>-1374.1066799999999</v>
      </c>
      <c r="M65" s="180"/>
    </row>
    <row r="66" spans="1:13">
      <c r="A66" s="195" t="s">
        <v>150</v>
      </c>
      <c r="C66" s="180">
        <f t="shared" si="12"/>
        <v>167.36211</v>
      </c>
      <c r="D66" s="180">
        <f t="shared" si="12"/>
        <v>469.27023000000003</v>
      </c>
      <c r="E66" s="180">
        <f t="shared" si="12"/>
        <v>0</v>
      </c>
      <c r="F66" s="180">
        <f t="shared" si="12"/>
        <v>-1187.94282</v>
      </c>
      <c r="G66" s="180">
        <f t="shared" si="12"/>
        <v>-462.70701000000003</v>
      </c>
      <c r="H66" s="180">
        <f t="shared" si="12"/>
        <v>0</v>
      </c>
      <c r="I66" s="180">
        <f t="shared" si="12"/>
        <v>118.13796000000001</v>
      </c>
      <c r="J66" s="180">
        <f t="shared" si="13"/>
        <v>-895.87952999999993</v>
      </c>
      <c r="M66" s="180"/>
    </row>
    <row r="67" spans="1:13">
      <c r="A67" s="195" t="s">
        <v>151</v>
      </c>
      <c r="C67" s="180">
        <f t="shared" si="12"/>
        <v>0</v>
      </c>
      <c r="D67" s="180">
        <f t="shared" si="12"/>
        <v>-2516.1650800000002</v>
      </c>
      <c r="E67" s="180">
        <f t="shared" si="12"/>
        <v>0</v>
      </c>
      <c r="F67" s="180">
        <f t="shared" si="12"/>
        <v>4803.58788</v>
      </c>
      <c r="G67" s="180">
        <f t="shared" si="12"/>
        <v>1794.7471200000002</v>
      </c>
      <c r="H67" s="180">
        <f t="shared" si="12"/>
        <v>0</v>
      </c>
      <c r="I67" s="180">
        <f t="shared" si="12"/>
        <v>-633.44015999999999</v>
      </c>
      <c r="J67" s="180">
        <f t="shared" si="13"/>
        <v>3448.7297600000002</v>
      </c>
      <c r="M67" s="180"/>
    </row>
    <row r="68" spans="1:13">
      <c r="A68" s="195" t="s">
        <v>152</v>
      </c>
      <c r="C68" s="180">
        <f t="shared" si="12"/>
        <v>59.804130000000008</v>
      </c>
      <c r="D68" s="180">
        <f t="shared" si="12"/>
        <v>167.68609000000001</v>
      </c>
      <c r="E68" s="180">
        <f t="shared" si="12"/>
        <v>0</v>
      </c>
      <c r="F68" s="180">
        <f t="shared" si="12"/>
        <v>-320.12798999999995</v>
      </c>
      <c r="G68" s="180">
        <f t="shared" si="12"/>
        <v>-119.60826000000002</v>
      </c>
      <c r="H68" s="180">
        <f t="shared" si="12"/>
        <v>0</v>
      </c>
      <c r="I68" s="180">
        <f t="shared" si="12"/>
        <v>42.214680000000001</v>
      </c>
      <c r="J68" s="180">
        <f t="shared" si="13"/>
        <v>-170.03134999999997</v>
      </c>
      <c r="M68" s="180"/>
    </row>
    <row r="69" spans="1:13">
      <c r="A69" s="195" t="s">
        <v>153</v>
      </c>
      <c r="C69" s="180">
        <f>($H10+$H11)*C54</f>
        <v>0</v>
      </c>
      <c r="D69" s="180">
        <f t="shared" ref="D69:I69" si="14">($H10+$H11)*D54</f>
        <v>0</v>
      </c>
      <c r="E69" s="180">
        <f t="shared" si="14"/>
        <v>0</v>
      </c>
      <c r="F69" s="180">
        <f t="shared" si="14"/>
        <v>0</v>
      </c>
      <c r="G69" s="180">
        <f t="shared" si="14"/>
        <v>0</v>
      </c>
      <c r="H69" s="180">
        <f t="shared" si="14"/>
        <v>0</v>
      </c>
      <c r="I69" s="180">
        <f t="shared" si="14"/>
        <v>0</v>
      </c>
      <c r="J69" s="180">
        <f t="shared" si="13"/>
        <v>0</v>
      </c>
      <c r="M69" s="180"/>
    </row>
    <row r="70" spans="1:13">
      <c r="A70" s="195" t="s">
        <v>205</v>
      </c>
      <c r="C70" s="180">
        <f>$H12*C56</f>
        <v>0</v>
      </c>
      <c r="D70" s="180">
        <f t="shared" ref="D70:I70" si="15">$H12*D56</f>
        <v>0</v>
      </c>
      <c r="E70" s="180">
        <f t="shared" si="15"/>
        <v>0</v>
      </c>
      <c r="F70" s="180">
        <f t="shared" si="15"/>
        <v>0</v>
      </c>
      <c r="G70" s="180">
        <f t="shared" si="15"/>
        <v>0</v>
      </c>
      <c r="H70" s="180">
        <f t="shared" si="15"/>
        <v>0</v>
      </c>
      <c r="I70" s="180">
        <f t="shared" si="15"/>
        <v>0</v>
      </c>
      <c r="J70" s="180">
        <f t="shared" si="13"/>
        <v>0</v>
      </c>
      <c r="M70" s="180"/>
    </row>
    <row r="71" spans="1:13">
      <c r="A71" s="195" t="s">
        <v>154</v>
      </c>
      <c r="C71" s="180">
        <f t="shared" ref="C71:I72" si="16">$H13*C57</f>
        <v>0</v>
      </c>
      <c r="D71" s="180">
        <f t="shared" si="16"/>
        <v>-411.05207000000001</v>
      </c>
      <c r="E71" s="180">
        <f t="shared" si="16"/>
        <v>0</v>
      </c>
      <c r="F71" s="180">
        <f t="shared" si="16"/>
        <v>750.24189000000001</v>
      </c>
      <c r="G71" s="180">
        <f t="shared" si="16"/>
        <v>255.82960999999997</v>
      </c>
      <c r="H71" s="180">
        <f t="shared" si="16"/>
        <v>0</v>
      </c>
      <c r="I71" s="180">
        <f t="shared" si="16"/>
        <v>-120.72858000000001</v>
      </c>
      <c r="J71" s="180">
        <f t="shared" si="13"/>
        <v>474.29084999999992</v>
      </c>
      <c r="M71" s="180"/>
    </row>
    <row r="72" spans="1:13">
      <c r="A72" s="195" t="s">
        <v>155</v>
      </c>
      <c r="C72" s="180">
        <f t="shared" si="16"/>
        <v>2.6382300000000001</v>
      </c>
      <c r="D72" s="180">
        <f t="shared" si="16"/>
        <v>7.3973900000000006</v>
      </c>
      <c r="E72" s="180">
        <f t="shared" si="16"/>
        <v>0</v>
      </c>
      <c r="F72" s="180">
        <f t="shared" si="16"/>
        <v>-13.501529999999999</v>
      </c>
      <c r="G72" s="180">
        <f t="shared" si="16"/>
        <v>-4.6039699999999995</v>
      </c>
      <c r="H72" s="180">
        <f t="shared" si="16"/>
        <v>0</v>
      </c>
      <c r="I72" s="180">
        <f t="shared" si="16"/>
        <v>2.17266</v>
      </c>
      <c r="J72" s="180">
        <f t="shared" si="13"/>
        <v>-5.8972199999999972</v>
      </c>
      <c r="M72" s="180"/>
    </row>
    <row r="73" spans="1:13">
      <c r="A73" s="195" t="s">
        <v>217</v>
      </c>
      <c r="C73" s="180">
        <f>($H15+$H16)*C59</f>
        <v>0</v>
      </c>
      <c r="D73" s="180">
        <f t="shared" ref="D73:I73" si="17">($H15+$H16)*D59</f>
        <v>0</v>
      </c>
      <c r="E73" s="180">
        <f t="shared" si="17"/>
        <v>0</v>
      </c>
      <c r="F73" s="180">
        <f t="shared" si="17"/>
        <v>0</v>
      </c>
      <c r="G73" s="180"/>
      <c r="H73" s="180">
        <f t="shared" si="17"/>
        <v>0</v>
      </c>
      <c r="I73" s="180">
        <f t="shared" si="17"/>
        <v>0</v>
      </c>
      <c r="J73" s="180">
        <f t="shared" si="13"/>
        <v>0</v>
      </c>
      <c r="M73" s="180"/>
    </row>
    <row r="74" spans="1:13">
      <c r="A74" s="169"/>
      <c r="C74" s="194">
        <f>SUM(C63:C73)</f>
        <v>5872.2889200000009</v>
      </c>
      <c r="D74" s="194">
        <f>SUM(D63:D73)</f>
        <v>-30773.908280000003</v>
      </c>
      <c r="E74" s="194">
        <f>SUM(E63:E73)</f>
        <v>1375.5908400000001</v>
      </c>
      <c r="F74" s="194">
        <f t="shared" ref="F74:J74" si="18">SUM(F63:F73)</f>
        <v>-26489.890809999997</v>
      </c>
      <c r="G74" s="194">
        <f t="shared" si="18"/>
        <v>-9866.1175299999995</v>
      </c>
      <c r="H74" s="194">
        <f t="shared" si="18"/>
        <v>0</v>
      </c>
      <c r="I74" s="194">
        <f t="shared" si="18"/>
        <v>3433.3283300000003</v>
      </c>
      <c r="J74" s="194">
        <f t="shared" si="18"/>
        <v>-56448.708529999989</v>
      </c>
    </row>
    <row r="76" spans="1:13">
      <c r="A76" s="164" t="s">
        <v>19</v>
      </c>
      <c r="B76" s="164"/>
      <c r="C76" s="180">
        <f>C63+C64</f>
        <v>5642.4844500000008</v>
      </c>
      <c r="D76" s="180">
        <f>D63+D64</f>
        <v>-29097.51785</v>
      </c>
      <c r="E76" s="180">
        <f t="shared" ref="E76:J76" si="19">E63+E64</f>
        <v>1375.5908400000001</v>
      </c>
      <c r="F76" s="180">
        <f t="shared" si="19"/>
        <v>-28986.880899999996</v>
      </c>
      <c r="G76" s="180">
        <f t="shared" si="19"/>
        <v>-10731.784149999999</v>
      </c>
      <c r="H76" s="180">
        <f t="shared" si="19"/>
        <v>0</v>
      </c>
      <c r="I76" s="180">
        <f t="shared" si="19"/>
        <v>3872.2932500000002</v>
      </c>
      <c r="J76" s="180">
        <f t="shared" si="19"/>
        <v>-57925.814359999997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229.80447000000001</v>
      </c>
      <c r="D78" s="190">
        <f>SUM(D65:D68,D70:D72)</f>
        <v>-1676.3904300000002</v>
      </c>
      <c r="E78" s="190">
        <f t="shared" ref="E78:J78" si="20">SUM(E65:E68,E70:E72)</f>
        <v>0</v>
      </c>
      <c r="F78" s="190">
        <f t="shared" si="20"/>
        <v>2496.9900900000007</v>
      </c>
      <c r="G78" s="190">
        <f t="shared" si="20"/>
        <v>865.66662000000031</v>
      </c>
      <c r="H78" s="190">
        <f t="shared" si="20"/>
        <v>0</v>
      </c>
      <c r="I78" s="190">
        <f t="shared" si="20"/>
        <v>-438.96492000000001</v>
      </c>
      <c r="J78" s="190">
        <f t="shared" si="20"/>
        <v>1477.10583</v>
      </c>
    </row>
  </sheetData>
  <mergeCells count="2">
    <mergeCell ref="A1:I1"/>
    <mergeCell ref="G59:G60"/>
  </mergeCells>
  <pageMargins left="0.57999999999999996" right="0.6" top="0.47" bottom="0.5" header="0.3" footer="0.3"/>
  <pageSetup scale="80" orientation="landscape" r:id="rId1"/>
  <headerFooter>
    <oddFooter>&amp;L&amp;F / 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  <pageSetUpPr fitToPage="1"/>
  </sheetPr>
  <dimension ref="A1:M78"/>
  <sheetViews>
    <sheetView workbookViewId="0">
      <selection sqref="A1:XFD1048576"/>
    </sheetView>
  </sheetViews>
  <sheetFormatPr defaultColWidth="9.109375" defaultRowHeight="14.4"/>
  <cols>
    <col min="1" max="1" width="17.6640625" style="162" customWidth="1"/>
    <col min="2" max="2" width="9.109375" style="162"/>
    <col min="3" max="3" width="18.33203125" style="162" customWidth="1"/>
    <col min="4" max="4" width="22" style="162" customWidth="1"/>
    <col min="5" max="5" width="17.33203125" style="162" customWidth="1"/>
    <col min="6" max="6" width="16.33203125" style="162" customWidth="1"/>
    <col min="7" max="8" width="15.6640625" style="162" customWidth="1"/>
    <col min="9" max="9" width="21.3320312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7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211566</v>
      </c>
      <c r="D4" s="183"/>
      <c r="E4" s="197">
        <v>274442037</v>
      </c>
      <c r="F4" s="197">
        <v>-160764583</v>
      </c>
      <c r="G4" s="197">
        <v>128468208</v>
      </c>
      <c r="H4" s="163">
        <f>SUM(F4:G4)</f>
        <v>-32296375</v>
      </c>
      <c r="I4" s="171">
        <f>E4+H4</f>
        <v>242145662</v>
      </c>
    </row>
    <row r="5" spans="1:9">
      <c r="A5" s="195" t="s">
        <v>203</v>
      </c>
      <c r="B5" s="164"/>
      <c r="C5" s="170">
        <v>493</v>
      </c>
      <c r="D5" s="183"/>
      <c r="E5" s="197">
        <v>822947</v>
      </c>
      <c r="F5" s="197">
        <v>-509741</v>
      </c>
      <c r="G5" s="197">
        <v>386952</v>
      </c>
      <c r="H5" s="163">
        <f t="shared" ref="H5:H17" si="0">SUM(F5:G5)</f>
        <v>-122789</v>
      </c>
      <c r="I5" s="171">
        <f t="shared" ref="I5:I17" si="1">E5+H5</f>
        <v>700158</v>
      </c>
    </row>
    <row r="6" spans="1:9">
      <c r="A6" s="195" t="s">
        <v>149</v>
      </c>
      <c r="B6" s="164"/>
      <c r="C6" s="170">
        <v>22357</v>
      </c>
      <c r="D6" s="183"/>
      <c r="E6" s="197">
        <v>55386925</v>
      </c>
      <c r="F6" s="197">
        <v>-30113951</v>
      </c>
      <c r="G6" s="197">
        <v>25861321</v>
      </c>
      <c r="H6" s="163">
        <f t="shared" si="0"/>
        <v>-4252630</v>
      </c>
      <c r="I6" s="171">
        <f t="shared" si="1"/>
        <v>51134295</v>
      </c>
    </row>
    <row r="7" spans="1:9">
      <c r="A7" s="195" t="s">
        <v>150</v>
      </c>
      <c r="B7" s="164"/>
      <c r="C7" s="170">
        <v>9133</v>
      </c>
      <c r="D7" s="183"/>
      <c r="E7" s="197">
        <v>7328263</v>
      </c>
      <c r="F7" s="197">
        <v>-3960298</v>
      </c>
      <c r="G7" s="197">
        <v>3418080</v>
      </c>
      <c r="H7" s="163">
        <f t="shared" si="0"/>
        <v>-542218</v>
      </c>
      <c r="I7" s="171">
        <f t="shared" si="1"/>
        <v>6786045</v>
      </c>
    </row>
    <row r="8" spans="1:9">
      <c r="A8" s="195" t="s">
        <v>151</v>
      </c>
      <c r="B8" s="164"/>
      <c r="C8" s="170">
        <v>1850</v>
      </c>
      <c r="D8" s="183"/>
      <c r="E8" s="197">
        <v>118288562</v>
      </c>
      <c r="F8" s="197">
        <v>-62384500</v>
      </c>
      <c r="G8" s="197">
        <v>55076230</v>
      </c>
      <c r="H8" s="163">
        <f t="shared" si="0"/>
        <v>-7308270</v>
      </c>
      <c r="I8" s="171">
        <f t="shared" si="1"/>
        <v>110980292</v>
      </c>
    </row>
    <row r="9" spans="1:9">
      <c r="A9" s="195" t="s">
        <v>152</v>
      </c>
      <c r="B9" s="164"/>
      <c r="C9" s="170">
        <v>48</v>
      </c>
      <c r="D9" s="183"/>
      <c r="E9" s="197">
        <v>3615480</v>
      </c>
      <c r="F9" s="197">
        <v>-2156598</v>
      </c>
      <c r="G9" s="197">
        <v>1709040</v>
      </c>
      <c r="H9" s="163">
        <f t="shared" si="0"/>
        <v>-447558</v>
      </c>
      <c r="I9" s="171">
        <f t="shared" si="1"/>
        <v>3167922</v>
      </c>
    </row>
    <row r="10" spans="1:9">
      <c r="A10" s="195" t="s">
        <v>153</v>
      </c>
      <c r="B10" s="164"/>
      <c r="C10" s="170">
        <v>21</v>
      </c>
      <c r="D10" s="183"/>
      <c r="E10" s="197">
        <f>86125720-E11</f>
        <v>54508202</v>
      </c>
      <c r="F10" s="197">
        <v>0</v>
      </c>
      <c r="G10" s="197">
        <v>0</v>
      </c>
      <c r="H10" s="163">
        <f t="shared" si="0"/>
        <v>0</v>
      </c>
      <c r="I10" s="171">
        <f t="shared" si="1"/>
        <v>54508202</v>
      </c>
    </row>
    <row r="11" spans="1:9">
      <c r="A11" s="195" t="s">
        <v>204</v>
      </c>
      <c r="B11" s="164"/>
      <c r="C11" s="170"/>
      <c r="D11" s="183"/>
      <c r="E11" s="197">
        <v>31617518</v>
      </c>
      <c r="F11" s="197">
        <v>0</v>
      </c>
      <c r="G11" s="197">
        <v>0</v>
      </c>
      <c r="H11" s="163">
        <f t="shared" si="0"/>
        <v>0</v>
      </c>
      <c r="I11" s="171">
        <f t="shared" si="1"/>
        <v>31617518</v>
      </c>
    </row>
    <row r="12" spans="1:9">
      <c r="A12" s="195" t="s">
        <v>205</v>
      </c>
      <c r="B12" s="164"/>
      <c r="C12" s="170">
        <v>79</v>
      </c>
      <c r="D12" s="183"/>
      <c r="E12" s="197">
        <v>8040</v>
      </c>
      <c r="F12" s="197">
        <v>0</v>
      </c>
      <c r="G12" s="197">
        <v>0</v>
      </c>
      <c r="H12" s="163">
        <f t="shared" si="0"/>
        <v>0</v>
      </c>
      <c r="I12" s="171">
        <f t="shared" si="1"/>
        <v>8040</v>
      </c>
    </row>
    <row r="13" spans="1:9">
      <c r="A13" s="195" t="s">
        <v>154</v>
      </c>
      <c r="B13" s="164"/>
      <c r="C13" s="170">
        <v>1143</v>
      </c>
      <c r="D13" s="183"/>
      <c r="E13" s="197">
        <v>4099265</v>
      </c>
      <c r="F13" s="197">
        <v>-1646857</v>
      </c>
      <c r="G13" s="197">
        <v>1741286</v>
      </c>
      <c r="H13" s="163">
        <f t="shared" si="0"/>
        <v>94429</v>
      </c>
      <c r="I13" s="171">
        <f t="shared" si="1"/>
        <v>4193694</v>
      </c>
    </row>
    <row r="14" spans="1:9">
      <c r="A14" s="195" t="s">
        <v>155</v>
      </c>
      <c r="B14" s="164"/>
      <c r="C14" s="170">
        <v>1179</v>
      </c>
      <c r="D14" s="183"/>
      <c r="E14" s="197">
        <v>326575</v>
      </c>
      <c r="F14" s="197">
        <v>-156844</v>
      </c>
      <c r="G14" s="197">
        <v>161230</v>
      </c>
      <c r="H14" s="163">
        <f t="shared" si="0"/>
        <v>4386</v>
      </c>
      <c r="I14" s="171">
        <f t="shared" si="1"/>
        <v>330961</v>
      </c>
    </row>
    <row r="15" spans="1:9">
      <c r="A15" s="195" t="s">
        <v>206</v>
      </c>
      <c r="B15" s="164"/>
      <c r="C15" s="170">
        <v>413</v>
      </c>
      <c r="D15" s="183"/>
      <c r="E15" s="197">
        <v>1036174</v>
      </c>
      <c r="F15" s="197"/>
      <c r="G15" s="197"/>
      <c r="H15" s="163"/>
      <c r="I15" s="171">
        <f t="shared" si="1"/>
        <v>1036174</v>
      </c>
    </row>
    <row r="16" spans="1:9">
      <c r="A16" s="195" t="s">
        <v>207</v>
      </c>
      <c r="B16" s="164"/>
      <c r="C16" s="170"/>
      <c r="D16" s="183"/>
      <c r="E16" s="197">
        <v>428557.71062000003</v>
      </c>
      <c r="F16" s="197"/>
      <c r="G16" s="197"/>
      <c r="H16" s="163">
        <f t="shared" si="0"/>
        <v>0</v>
      </c>
      <c r="I16" s="171">
        <f t="shared" si="1"/>
        <v>428557.71062000003</v>
      </c>
    </row>
    <row r="17" spans="1:9">
      <c r="A17" s="195" t="s">
        <v>208</v>
      </c>
      <c r="B17" s="164"/>
      <c r="C17" s="170"/>
      <c r="D17" s="204"/>
      <c r="E17" s="197">
        <v>229226.95167000001</v>
      </c>
      <c r="F17" s="197"/>
      <c r="G17" s="197"/>
      <c r="H17" s="163">
        <f t="shared" si="0"/>
        <v>0</v>
      </c>
      <c r="I17" s="171">
        <f t="shared" si="1"/>
        <v>229226.95167000001</v>
      </c>
    </row>
    <row r="18" spans="1:9">
      <c r="A18" s="164"/>
      <c r="B18" s="164"/>
      <c r="C18" s="172">
        <f>SUM(C4:C17)</f>
        <v>248282</v>
      </c>
      <c r="E18" s="172">
        <f t="shared" ref="E18:I18" si="2">SUM(E4:E17)</f>
        <v>552137772.6622901</v>
      </c>
      <c r="F18" s="172">
        <f t="shared" si="2"/>
        <v>-261693372</v>
      </c>
      <c r="G18" s="172">
        <f t="shared" si="2"/>
        <v>216822347</v>
      </c>
      <c r="H18" s="172">
        <f t="shared" si="2"/>
        <v>-44871025</v>
      </c>
      <c r="I18" s="172">
        <f t="shared" si="2"/>
        <v>507266747.66228998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212059</v>
      </c>
      <c r="E20" s="174">
        <f>E4+E5</f>
        <v>275264984</v>
      </c>
      <c r="F20" s="174">
        <f t="shared" ref="F20:I20" si="3">F4+F5</f>
        <v>-161274324</v>
      </c>
      <c r="G20" s="174">
        <f t="shared" si="3"/>
        <v>128855160</v>
      </c>
      <c r="H20" s="174">
        <f t="shared" si="3"/>
        <v>-32419164</v>
      </c>
      <c r="I20" s="173">
        <f t="shared" si="3"/>
        <v>242845820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35789</v>
      </c>
      <c r="E22" s="192">
        <f>SUM(E6:E9,E12:E14)</f>
        <v>189053110</v>
      </c>
      <c r="F22" s="192">
        <f t="shared" ref="F22:H22" si="4">SUM(F6:F9,F12:F14)</f>
        <v>-100419048</v>
      </c>
      <c r="G22" s="192">
        <f t="shared" si="4"/>
        <v>87967187</v>
      </c>
      <c r="H22" s="192">
        <f t="shared" si="4"/>
        <v>-12451861</v>
      </c>
      <c r="I22" s="191">
        <f>SUM(I6:I9,I12:I14)</f>
        <v>176601249</v>
      </c>
    </row>
    <row r="23" spans="1:9">
      <c r="A23" s="164"/>
      <c r="B23" s="164"/>
      <c r="C23" s="164"/>
      <c r="D23" s="164"/>
      <c r="E23" s="164"/>
    </row>
    <row r="24" spans="1:9" ht="40.200000000000003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1830160.5</v>
      </c>
      <c r="D26" s="196">
        <v>24590760.27</v>
      </c>
      <c r="E26" s="198">
        <v>-15142628</v>
      </c>
      <c r="F26" s="198">
        <v>12016833</v>
      </c>
      <c r="G26" s="188">
        <f>SUM(D26:F26)</f>
        <v>21464965.27</v>
      </c>
      <c r="H26" s="188">
        <f>-J63</f>
        <v>173108.57</v>
      </c>
      <c r="I26" s="188">
        <f>SUM(G26:H26)</f>
        <v>21638073.84</v>
      </c>
    </row>
    <row r="27" spans="1:9">
      <c r="A27" s="195" t="s">
        <v>203</v>
      </c>
      <c r="B27" s="164"/>
      <c r="C27" s="196">
        <v>4216</v>
      </c>
      <c r="D27" s="196">
        <v>74010.76999999999</v>
      </c>
      <c r="E27" s="198">
        <v>-31200</v>
      </c>
      <c r="F27" s="198">
        <v>23365</v>
      </c>
      <c r="G27" s="188">
        <f t="shared" ref="G27:G35" si="5">SUM(D27:F27)</f>
        <v>66175.76999999999</v>
      </c>
      <c r="H27" s="188">
        <f t="shared" ref="H27:H35" si="6">-J64</f>
        <v>-3213.3881300000007</v>
      </c>
      <c r="I27" s="188">
        <f t="shared" ref="I27:I36" si="7">SUM(G27:H27)</f>
        <v>62962.38186999999</v>
      </c>
    </row>
    <row r="28" spans="1:9">
      <c r="A28" s="195" t="s">
        <v>149</v>
      </c>
      <c r="B28" s="164"/>
      <c r="C28" s="196">
        <v>410030.59</v>
      </c>
      <c r="D28" s="196">
        <v>6280915.9900000002</v>
      </c>
      <c r="E28" s="198">
        <v>-3375090</v>
      </c>
      <c r="F28" s="198">
        <v>2954977</v>
      </c>
      <c r="G28" s="188">
        <f t="shared" si="5"/>
        <v>5860802.9900000002</v>
      </c>
      <c r="H28" s="188">
        <f t="shared" si="6"/>
        <v>13778.521199999999</v>
      </c>
      <c r="I28" s="188">
        <f t="shared" si="7"/>
        <v>5874581.5112000005</v>
      </c>
    </row>
    <row r="29" spans="1:9">
      <c r="A29" s="195" t="s">
        <v>150</v>
      </c>
      <c r="B29" s="164"/>
      <c r="C29" s="196">
        <v>165802.66</v>
      </c>
      <c r="D29" s="196">
        <v>964155.21000000008</v>
      </c>
      <c r="E29" s="198">
        <v>-522935</v>
      </c>
      <c r="F29" s="198">
        <v>466189</v>
      </c>
      <c r="G29" s="188">
        <f t="shared" si="5"/>
        <v>907409.21000000008</v>
      </c>
      <c r="H29" s="188">
        <f t="shared" si="6"/>
        <v>1480.25514</v>
      </c>
      <c r="I29" s="188">
        <f t="shared" si="7"/>
        <v>908889.4651400001</v>
      </c>
    </row>
    <row r="30" spans="1:9">
      <c r="A30" s="195" t="s">
        <v>151</v>
      </c>
      <c r="B30" s="164"/>
      <c r="C30" s="196">
        <v>924849.99</v>
      </c>
      <c r="D30" s="196">
        <v>10513959.75</v>
      </c>
      <c r="E30" s="198">
        <v>-4954750</v>
      </c>
      <c r="F30" s="198">
        <v>4442738</v>
      </c>
      <c r="G30" s="188">
        <f t="shared" si="5"/>
        <v>10001947.75</v>
      </c>
      <c r="H30" s="188">
        <f t="shared" si="6"/>
        <v>14324.209199999998</v>
      </c>
      <c r="I30" s="188">
        <f t="shared" si="7"/>
        <v>10016271.9592</v>
      </c>
    </row>
    <row r="31" spans="1:9">
      <c r="A31" s="195" t="s">
        <v>152</v>
      </c>
      <c r="B31" s="164"/>
      <c r="C31" s="196">
        <v>24000</v>
      </c>
      <c r="D31" s="196">
        <v>312906.99000000005</v>
      </c>
      <c r="E31" s="198">
        <v>-168815</v>
      </c>
      <c r="F31" s="198">
        <v>135941</v>
      </c>
      <c r="G31" s="188">
        <f t="shared" si="5"/>
        <v>280032.99000000005</v>
      </c>
      <c r="H31" s="188">
        <f t="shared" si="6"/>
        <v>648.95909999999981</v>
      </c>
      <c r="I31" s="188">
        <f t="shared" si="7"/>
        <v>280681.94910000003</v>
      </c>
    </row>
    <row r="32" spans="1:9">
      <c r="A32" s="195" t="s">
        <v>153</v>
      </c>
      <c r="B32" s="164"/>
      <c r="C32" s="196">
        <v>441000</v>
      </c>
      <c r="D32" s="196">
        <v>5078831.4000000004</v>
      </c>
      <c r="E32" s="198">
        <v>0</v>
      </c>
      <c r="F32" s="198">
        <v>0</v>
      </c>
      <c r="G32" s="188">
        <f t="shared" si="5"/>
        <v>5078831.4000000004</v>
      </c>
      <c r="H32" s="188">
        <f t="shared" si="6"/>
        <v>0</v>
      </c>
      <c r="I32" s="188">
        <f t="shared" si="7"/>
        <v>5078831.4000000004</v>
      </c>
    </row>
    <row r="33" spans="1:9">
      <c r="A33" s="195" t="s">
        <v>205</v>
      </c>
      <c r="B33" s="164"/>
      <c r="C33" s="196">
        <v>1422</v>
      </c>
      <c r="D33" s="196">
        <v>1970.18</v>
      </c>
      <c r="E33" s="198">
        <v>0</v>
      </c>
      <c r="F33" s="198">
        <v>0</v>
      </c>
      <c r="G33" s="188">
        <f t="shared" si="5"/>
        <v>1970.18</v>
      </c>
      <c r="H33" s="188">
        <f t="shared" si="6"/>
        <v>0</v>
      </c>
      <c r="I33" s="188">
        <f t="shared" si="7"/>
        <v>1970.18</v>
      </c>
    </row>
    <row r="34" spans="1:9">
      <c r="A34" s="195" t="s">
        <v>154</v>
      </c>
      <c r="B34" s="164"/>
      <c r="C34" s="196">
        <v>20754</v>
      </c>
      <c r="D34" s="196">
        <v>359590.57</v>
      </c>
      <c r="E34" s="198">
        <v>-143700</v>
      </c>
      <c r="F34" s="198">
        <v>152942</v>
      </c>
      <c r="G34" s="188">
        <f t="shared" si="5"/>
        <v>368832.57</v>
      </c>
      <c r="H34" s="188">
        <f t="shared" si="6"/>
        <v>-290.84131999999994</v>
      </c>
      <c r="I34" s="188">
        <f t="shared" si="7"/>
        <v>368541.72868</v>
      </c>
    </row>
    <row r="35" spans="1:9">
      <c r="A35" s="195" t="s">
        <v>155</v>
      </c>
      <c r="B35" s="164"/>
      <c r="C35" s="196">
        <v>21420</v>
      </c>
      <c r="D35" s="196">
        <v>48767.56</v>
      </c>
      <c r="E35" s="198">
        <v>-22990</v>
      </c>
      <c r="F35" s="198">
        <v>23443</v>
      </c>
      <c r="G35" s="188">
        <f t="shared" si="5"/>
        <v>49220.56</v>
      </c>
      <c r="H35" s="188">
        <f t="shared" si="6"/>
        <v>121.52458999999999</v>
      </c>
      <c r="I35" s="188">
        <f t="shared" si="7"/>
        <v>49342.084589999999</v>
      </c>
    </row>
    <row r="36" spans="1:9">
      <c r="A36" s="195" t="s">
        <v>217</v>
      </c>
      <c r="B36" s="164"/>
      <c r="C36" s="188"/>
      <c r="D36" s="196">
        <v>560259.71</v>
      </c>
      <c r="E36" s="196"/>
      <c r="F36" s="196"/>
      <c r="G36" s="188">
        <f>SUM(D36:F36)</f>
        <v>560259.71</v>
      </c>
      <c r="H36" s="188"/>
      <c r="I36" s="188">
        <f t="shared" si="7"/>
        <v>560259.71</v>
      </c>
    </row>
    <row r="37" spans="1:9">
      <c r="A37" s="195" t="s">
        <v>218</v>
      </c>
      <c r="B37" s="164"/>
      <c r="C37" s="183"/>
      <c r="D37" s="196">
        <v>2067941.45</v>
      </c>
      <c r="E37" s="196"/>
      <c r="F37" s="196"/>
      <c r="G37" s="188"/>
      <c r="H37" s="188"/>
      <c r="I37" s="188"/>
    </row>
    <row r="38" spans="1:9">
      <c r="A38" s="195" t="s">
        <v>219</v>
      </c>
      <c r="B38" s="164"/>
      <c r="C38" s="183"/>
      <c r="D38" s="196">
        <v>1862597.74</v>
      </c>
      <c r="E38" s="196"/>
      <c r="F38" s="196"/>
      <c r="G38" s="188"/>
      <c r="H38" s="188"/>
      <c r="I38" s="188"/>
    </row>
    <row r="39" spans="1:9">
      <c r="A39" s="164"/>
      <c r="B39" s="164"/>
      <c r="C39" s="178">
        <f>SUM(C26:C38)</f>
        <v>3843655.74</v>
      </c>
      <c r="D39" s="178">
        <f t="shared" ref="D39:I39" si="8">SUM(D26:D38)</f>
        <v>52716667.590000011</v>
      </c>
      <c r="E39" s="178">
        <f t="shared" si="8"/>
        <v>-24362108</v>
      </c>
      <c r="F39" s="178">
        <f t="shared" si="8"/>
        <v>20216428</v>
      </c>
      <c r="G39" s="178">
        <f t="shared" si="8"/>
        <v>44640448.400000006</v>
      </c>
      <c r="H39" s="178">
        <f t="shared" si="8"/>
        <v>199957.80977999998</v>
      </c>
      <c r="I39" s="178">
        <f t="shared" si="8"/>
        <v>44840406.209780008</v>
      </c>
    </row>
    <row r="40" spans="1:9" ht="15" thickBot="1">
      <c r="A40" s="164"/>
      <c r="B40" s="164"/>
      <c r="D40" s="179"/>
      <c r="E40" s="164"/>
      <c r="F40" s="164"/>
    </row>
    <row r="41" spans="1:9">
      <c r="A41" s="164" t="s">
        <v>19</v>
      </c>
      <c r="B41" s="164"/>
      <c r="C41" s="181">
        <f>C26+C27</f>
        <v>1834376.5</v>
      </c>
      <c r="D41" s="180">
        <f t="shared" ref="D41:I41" si="9">D26+D27</f>
        <v>24664771.039999999</v>
      </c>
      <c r="E41" s="180">
        <f t="shared" si="9"/>
        <v>-15173828</v>
      </c>
      <c r="F41" s="180">
        <f t="shared" si="9"/>
        <v>12040198</v>
      </c>
      <c r="G41" s="180">
        <f t="shared" si="9"/>
        <v>21531141.039999999</v>
      </c>
      <c r="H41" s="180">
        <f t="shared" si="9"/>
        <v>169895.18187</v>
      </c>
      <c r="I41" s="181">
        <f t="shared" si="9"/>
        <v>21701036.221870001</v>
      </c>
    </row>
    <row r="42" spans="1:9">
      <c r="A42" s="164"/>
      <c r="B42" s="164"/>
      <c r="C42" s="187"/>
      <c r="D42" s="180"/>
      <c r="E42" s="164"/>
      <c r="F42" s="164"/>
      <c r="I42" s="182"/>
    </row>
    <row r="43" spans="1:9" ht="15" thickBot="1">
      <c r="A43" s="164" t="s">
        <v>209</v>
      </c>
      <c r="B43" s="164"/>
      <c r="C43" s="189">
        <f>SUM(C28:C31,C33:C35)</f>
        <v>1568279.24</v>
      </c>
      <c r="D43" s="190">
        <f t="shared" ref="D43:I43" si="10">SUM(D28:D31,D33:D35)</f>
        <v>18482266.249999996</v>
      </c>
      <c r="E43" s="190">
        <f t="shared" si="10"/>
        <v>-9188280</v>
      </c>
      <c r="F43" s="190">
        <f t="shared" si="10"/>
        <v>8176230</v>
      </c>
      <c r="G43" s="190">
        <f t="shared" si="10"/>
        <v>17470216.249999996</v>
      </c>
      <c r="H43" s="190">
        <f t="shared" si="10"/>
        <v>30062.627909999996</v>
      </c>
      <c r="I43" s="189">
        <f t="shared" si="10"/>
        <v>17500278.877909999</v>
      </c>
    </row>
    <row r="44" spans="1:9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9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9">
      <c r="C46" s="185">
        <v>42675</v>
      </c>
      <c r="D46" s="185">
        <v>42278</v>
      </c>
      <c r="E46" s="161">
        <v>42583</v>
      </c>
      <c r="F46" s="161">
        <v>42644</v>
      </c>
      <c r="G46" s="161">
        <v>42380</v>
      </c>
      <c r="H46" s="161">
        <v>42552</v>
      </c>
      <c r="I46" s="161">
        <v>42675</v>
      </c>
    </row>
    <row r="47" spans="1:9" ht="27">
      <c r="A47" s="193" t="s">
        <v>220</v>
      </c>
      <c r="B47" s="166"/>
      <c r="C47" s="177" t="s">
        <v>239</v>
      </c>
      <c r="D47" s="177" t="s">
        <v>222</v>
      </c>
      <c r="E47" s="177" t="s">
        <v>223</v>
      </c>
      <c r="F47" s="177" t="s">
        <v>224</v>
      </c>
      <c r="G47" s="177" t="s">
        <v>225</v>
      </c>
      <c r="H47" s="177" t="s">
        <v>226</v>
      </c>
      <c r="I47" s="177" t="s">
        <v>221</v>
      </c>
    </row>
    <row r="48" spans="1:9">
      <c r="A48" s="195" t="s">
        <v>148</v>
      </c>
      <c r="B48" s="164"/>
      <c r="C48" s="184">
        <v>2.63E-3</v>
      </c>
      <c r="D48" s="184"/>
      <c r="E48" s="184">
        <v>2.6199999999999999E-3</v>
      </c>
      <c r="F48" s="184">
        <v>9.7000000000000005E-4</v>
      </c>
      <c r="G48" s="184">
        <v>0</v>
      </c>
      <c r="H48" s="184">
        <v>-3.5E-4</v>
      </c>
      <c r="I48" s="184">
        <v>-5.1000000000000004E-4</v>
      </c>
    </row>
    <row r="49" spans="1:13">
      <c r="A49" s="195" t="s">
        <v>203</v>
      </c>
      <c r="B49" s="164"/>
      <c r="C49" s="184">
        <v>2.63E-3</v>
      </c>
      <c r="D49" s="184">
        <v>-3.1530000000000002E-2</v>
      </c>
      <c r="E49" s="184">
        <v>2.6199999999999999E-3</v>
      </c>
      <c r="F49" s="184">
        <v>9.7000000000000005E-4</v>
      </c>
      <c r="G49" s="184">
        <v>0</v>
      </c>
      <c r="H49" s="184">
        <v>-3.5E-4</v>
      </c>
      <c r="I49" s="184">
        <v>-5.1000000000000004E-4</v>
      </c>
    </row>
    <row r="50" spans="1:13">
      <c r="A50" s="195" t="s">
        <v>149</v>
      </c>
      <c r="B50" s="164"/>
      <c r="C50" s="184">
        <v>-1.4300000000000001E-3</v>
      </c>
      <c r="D50" s="184"/>
      <c r="E50" s="184">
        <v>3.62E-3</v>
      </c>
      <c r="F50" s="184">
        <v>1.41E-3</v>
      </c>
      <c r="G50" s="184">
        <v>0</v>
      </c>
      <c r="H50" s="184">
        <v>-3.6000000000000002E-4</v>
      </c>
      <c r="I50" s="184"/>
    </row>
    <row r="51" spans="1:13">
      <c r="A51" s="195" t="s">
        <v>150</v>
      </c>
      <c r="B51" s="164"/>
      <c r="C51" s="184">
        <v>-1.4300000000000001E-3</v>
      </c>
      <c r="D51" s="184"/>
      <c r="E51" s="184">
        <v>3.62E-3</v>
      </c>
      <c r="F51" s="184">
        <v>1.41E-3</v>
      </c>
      <c r="G51" s="184">
        <v>0</v>
      </c>
      <c r="H51" s="184">
        <v>-3.6000000000000002E-4</v>
      </c>
      <c r="I51" s="184">
        <v>-5.1000000000000004E-4</v>
      </c>
    </row>
    <row r="52" spans="1:13">
      <c r="A52" s="195" t="s">
        <v>151</v>
      </c>
      <c r="B52" s="164"/>
      <c r="C52" s="184">
        <v>-1.4300000000000001E-3</v>
      </c>
      <c r="D52" s="184"/>
      <c r="E52" s="184">
        <v>2.7299999999999998E-3</v>
      </c>
      <c r="F52" s="184">
        <v>1.0200000000000001E-3</v>
      </c>
      <c r="G52" s="184">
        <v>0</v>
      </c>
      <c r="H52" s="184">
        <v>-3.6000000000000002E-4</v>
      </c>
      <c r="I52" s="184"/>
    </row>
    <row r="53" spans="1:13">
      <c r="A53" s="195" t="s">
        <v>152</v>
      </c>
      <c r="B53" s="164"/>
      <c r="C53" s="184">
        <v>-1.4300000000000001E-3</v>
      </c>
      <c r="D53" s="184"/>
      <c r="E53" s="184">
        <v>2.7299999999999998E-3</v>
      </c>
      <c r="F53" s="184">
        <v>1.0200000000000001E-3</v>
      </c>
      <c r="G53" s="184">
        <v>0</v>
      </c>
      <c r="H53" s="184">
        <v>-3.6000000000000002E-4</v>
      </c>
      <c r="I53" s="184">
        <v>-5.1000000000000004E-4</v>
      </c>
    </row>
    <row r="54" spans="1:13">
      <c r="A54" s="195" t="s">
        <v>153</v>
      </c>
      <c r="B54" s="164"/>
      <c r="C54" s="184"/>
      <c r="D54" s="184"/>
      <c r="E54" s="184">
        <v>1.72E-3</v>
      </c>
      <c r="F54" s="184">
        <v>6.4000000000000005E-4</v>
      </c>
      <c r="G54" s="184">
        <v>0</v>
      </c>
      <c r="H54" s="184">
        <v>-3.4000000000000002E-4</v>
      </c>
      <c r="I54" s="184"/>
    </row>
    <row r="55" spans="1:13">
      <c r="A55" s="195" t="s">
        <v>204</v>
      </c>
      <c r="B55" s="164"/>
      <c r="C55" s="184"/>
      <c r="D55" s="184"/>
      <c r="E55" s="184">
        <v>1.72E-3</v>
      </c>
      <c r="F55" s="184">
        <v>0</v>
      </c>
      <c r="G55" s="184">
        <v>0</v>
      </c>
      <c r="H55" s="184">
        <v>-3.4000000000000002E-4</v>
      </c>
      <c r="I55" s="184"/>
    </row>
    <row r="56" spans="1:13">
      <c r="A56" s="195" t="s">
        <v>205</v>
      </c>
      <c r="B56" s="164"/>
      <c r="C56" s="184">
        <v>-1.4300000000000001E-3</v>
      </c>
      <c r="D56" s="184"/>
      <c r="E56" s="184">
        <v>2.6099999999999999E-3</v>
      </c>
      <c r="F56" s="184">
        <v>8.8999999999999995E-4</v>
      </c>
      <c r="G56" s="184">
        <v>0</v>
      </c>
      <c r="H56" s="184">
        <v>-4.2000000000000002E-4</v>
      </c>
      <c r="I56" s="184"/>
    </row>
    <row r="57" spans="1:13">
      <c r="A57" s="195" t="s">
        <v>154</v>
      </c>
      <c r="B57" s="164"/>
      <c r="C57" s="184">
        <v>-1.4300000000000001E-3</v>
      </c>
      <c r="D57" s="184"/>
      <c r="E57" s="184">
        <v>2.6099999999999999E-3</v>
      </c>
      <c r="F57" s="184">
        <v>8.8999999999999995E-4</v>
      </c>
      <c r="G57" s="184">
        <v>0</v>
      </c>
      <c r="H57" s="184">
        <v>-4.2000000000000002E-4</v>
      </c>
      <c r="I57" s="184"/>
    </row>
    <row r="58" spans="1:13">
      <c r="A58" s="195" t="s">
        <v>155</v>
      </c>
      <c r="B58" s="164"/>
      <c r="C58" s="184">
        <v>-1.4300000000000001E-3</v>
      </c>
      <c r="D58" s="184"/>
      <c r="E58" s="184">
        <v>2.6099999999999999E-3</v>
      </c>
      <c r="F58" s="184">
        <v>8.8999999999999995E-4</v>
      </c>
      <c r="G58" s="184">
        <v>0</v>
      </c>
      <c r="H58" s="184">
        <v>-4.2000000000000002E-4</v>
      </c>
      <c r="I58" s="184">
        <v>-5.1000000000000004E-4</v>
      </c>
    </row>
    <row r="59" spans="1:13" ht="14.4" customHeight="1">
      <c r="A59" s="195" t="s">
        <v>217</v>
      </c>
      <c r="B59" s="164"/>
      <c r="C59" s="184"/>
      <c r="D59" s="184"/>
      <c r="E59" s="202">
        <v>8.6199999999999992E-3</v>
      </c>
      <c r="F59" s="255" t="s">
        <v>235</v>
      </c>
      <c r="G59" s="184">
        <v>0</v>
      </c>
      <c r="H59" s="199">
        <v>-3.6999999999999999E-4</v>
      </c>
      <c r="I59" s="255"/>
    </row>
    <row r="60" spans="1:13">
      <c r="A60" s="195" t="s">
        <v>208</v>
      </c>
      <c r="B60" s="164"/>
      <c r="C60" s="184"/>
      <c r="D60" s="184"/>
      <c r="E60" s="202">
        <v>8.6199999999999992E-3</v>
      </c>
      <c r="F60" s="255"/>
      <c r="G60" s="184">
        <v>0</v>
      </c>
      <c r="H60" s="199">
        <v>-3.6999999999999999E-4</v>
      </c>
      <c r="I60" s="255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12"/>
    </row>
    <row r="63" spans="1:13">
      <c r="A63" s="195" t="s">
        <v>148</v>
      </c>
      <c r="C63" s="180">
        <f>I48*H4</f>
        <v>16471.151250000003</v>
      </c>
      <c r="D63" s="180">
        <f t="shared" ref="D63:I68" si="11">$H4*C48</f>
        <v>-84939.466249999998</v>
      </c>
      <c r="E63" s="180">
        <f t="shared" si="11"/>
        <v>0</v>
      </c>
      <c r="F63" s="180">
        <f t="shared" si="11"/>
        <v>-84616.502500000002</v>
      </c>
      <c r="G63" s="180">
        <f t="shared" si="11"/>
        <v>-31327.483750000003</v>
      </c>
      <c r="H63" s="180">
        <f t="shared" si="11"/>
        <v>0</v>
      </c>
      <c r="I63" s="180">
        <f t="shared" si="11"/>
        <v>11303.731250000001</v>
      </c>
      <c r="J63" s="180">
        <f>SUM(C63:I63)</f>
        <v>-173108.57</v>
      </c>
      <c r="M63" s="180"/>
    </row>
    <row r="64" spans="1:13">
      <c r="A64" s="195" t="s">
        <v>203</v>
      </c>
      <c r="C64" s="180">
        <f>(I49*H5)</f>
        <v>62.622390000000003</v>
      </c>
      <c r="D64" s="180">
        <f t="shared" si="11"/>
        <v>-322.93507</v>
      </c>
      <c r="E64" s="180">
        <f t="shared" si="11"/>
        <v>3871.5371700000005</v>
      </c>
      <c r="F64" s="180">
        <f t="shared" si="11"/>
        <v>-321.70717999999999</v>
      </c>
      <c r="G64" s="180">
        <f t="shared" si="11"/>
        <v>-119.10533000000001</v>
      </c>
      <c r="H64" s="180">
        <f t="shared" si="11"/>
        <v>0</v>
      </c>
      <c r="I64" s="180">
        <f t="shared" si="11"/>
        <v>42.976149999999997</v>
      </c>
      <c r="J64" s="180">
        <f t="shared" ref="J64:J73" si="12">SUM(C64:I64)</f>
        <v>3213.3881300000007</v>
      </c>
      <c r="M64" s="180"/>
    </row>
    <row r="65" spans="1:13">
      <c r="A65" s="195" t="s">
        <v>149</v>
      </c>
      <c r="C65" s="180">
        <f>I50*H6</f>
        <v>0</v>
      </c>
      <c r="D65" s="180">
        <f t="shared" si="11"/>
        <v>6081.2609000000002</v>
      </c>
      <c r="E65" s="180">
        <f t="shared" si="11"/>
        <v>0</v>
      </c>
      <c r="F65" s="180">
        <f t="shared" si="11"/>
        <v>-15394.5206</v>
      </c>
      <c r="G65" s="180">
        <f t="shared" si="11"/>
        <v>-5996.2083000000002</v>
      </c>
      <c r="H65" s="180">
        <f t="shared" si="11"/>
        <v>0</v>
      </c>
      <c r="I65" s="180">
        <f t="shared" si="11"/>
        <v>1530.9468000000002</v>
      </c>
      <c r="J65" s="180">
        <f t="shared" si="12"/>
        <v>-13778.521199999999</v>
      </c>
      <c r="M65" s="180"/>
    </row>
    <row r="66" spans="1:13">
      <c r="A66" s="195" t="s">
        <v>150</v>
      </c>
      <c r="C66" s="180">
        <f>(I51*H7)</f>
        <v>276.53118000000001</v>
      </c>
      <c r="D66" s="180">
        <f t="shared" si="11"/>
        <v>775.37174000000005</v>
      </c>
      <c r="E66" s="180">
        <f t="shared" si="11"/>
        <v>0</v>
      </c>
      <c r="F66" s="180">
        <f t="shared" si="11"/>
        <v>-1962.82916</v>
      </c>
      <c r="G66" s="180">
        <f t="shared" si="11"/>
        <v>-764.52737999999999</v>
      </c>
      <c r="H66" s="180">
        <f t="shared" si="11"/>
        <v>0</v>
      </c>
      <c r="I66" s="180">
        <f t="shared" si="11"/>
        <v>195.19848000000002</v>
      </c>
      <c r="J66" s="180">
        <f t="shared" si="12"/>
        <v>-1480.25514</v>
      </c>
      <c r="M66" s="180"/>
    </row>
    <row r="67" spans="1:13">
      <c r="A67" s="195" t="s">
        <v>151</v>
      </c>
      <c r="C67" s="180">
        <f>I52*H8</f>
        <v>0</v>
      </c>
      <c r="D67" s="180">
        <f t="shared" si="11"/>
        <v>10450.8261</v>
      </c>
      <c r="E67" s="180">
        <f t="shared" si="11"/>
        <v>0</v>
      </c>
      <c r="F67" s="180">
        <f t="shared" si="11"/>
        <v>-19951.577099999999</v>
      </c>
      <c r="G67" s="180">
        <f t="shared" si="11"/>
        <v>-7454.4354000000003</v>
      </c>
      <c r="H67" s="180">
        <f t="shared" si="11"/>
        <v>0</v>
      </c>
      <c r="I67" s="180">
        <f t="shared" si="11"/>
        <v>2630.9772000000003</v>
      </c>
      <c r="J67" s="180">
        <f t="shared" si="12"/>
        <v>-14324.209199999998</v>
      </c>
      <c r="M67" s="180"/>
    </row>
    <row r="68" spans="1:13">
      <c r="A68" s="195" t="s">
        <v>152</v>
      </c>
      <c r="C68" s="180">
        <f>(I53*H9)</f>
        <v>228.25458</v>
      </c>
      <c r="D68" s="180">
        <f t="shared" si="11"/>
        <v>640.00794000000008</v>
      </c>
      <c r="E68" s="180">
        <f t="shared" si="11"/>
        <v>0</v>
      </c>
      <c r="F68" s="180">
        <f t="shared" si="11"/>
        <v>-1221.8333399999999</v>
      </c>
      <c r="G68" s="180">
        <f t="shared" si="11"/>
        <v>-456.50916000000001</v>
      </c>
      <c r="H68" s="180">
        <f t="shared" si="11"/>
        <v>0</v>
      </c>
      <c r="I68" s="180">
        <f t="shared" si="11"/>
        <v>161.12088</v>
      </c>
      <c r="J68" s="180">
        <f t="shared" si="12"/>
        <v>-648.95909999999981</v>
      </c>
      <c r="M68" s="180"/>
    </row>
    <row r="69" spans="1:13">
      <c r="A69" s="195" t="s">
        <v>153</v>
      </c>
      <c r="C69" s="180">
        <f>I54*H10</f>
        <v>0</v>
      </c>
      <c r="D69" s="180">
        <f>$H10*C54</f>
        <v>0</v>
      </c>
      <c r="E69" s="180">
        <f>$H10*D54+$H11*D55</f>
        <v>0</v>
      </c>
      <c r="F69" s="180">
        <f>$H10*E54+$H11*E55</f>
        <v>0</v>
      </c>
      <c r="G69" s="180">
        <f>$H10*F54+$H11*F55</f>
        <v>0</v>
      </c>
      <c r="H69" s="180">
        <f>$H10*G54+$H11*G55</f>
        <v>0</v>
      </c>
      <c r="I69" s="180">
        <f>$H10*H54+$H11*H55</f>
        <v>0</v>
      </c>
      <c r="J69" s="180">
        <f t="shared" si="12"/>
        <v>0</v>
      </c>
      <c r="M69" s="180"/>
    </row>
    <row r="70" spans="1:13">
      <c r="A70" s="195" t="s">
        <v>205</v>
      </c>
      <c r="C70" s="180">
        <f>(I55*H11)</f>
        <v>0</v>
      </c>
      <c r="D70" s="180">
        <f>$H11*C55</f>
        <v>0</v>
      </c>
      <c r="E70" s="180">
        <f t="shared" ref="E70:I72" si="13">$H12*D56</f>
        <v>0</v>
      </c>
      <c r="F70" s="180">
        <f t="shared" si="13"/>
        <v>0</v>
      </c>
      <c r="G70" s="180">
        <f t="shared" si="13"/>
        <v>0</v>
      </c>
      <c r="H70" s="180">
        <f t="shared" si="13"/>
        <v>0</v>
      </c>
      <c r="I70" s="180">
        <f t="shared" si="13"/>
        <v>0</v>
      </c>
      <c r="J70" s="180">
        <f t="shared" si="12"/>
        <v>0</v>
      </c>
      <c r="M70" s="180"/>
    </row>
    <row r="71" spans="1:13">
      <c r="A71" s="195" t="s">
        <v>154</v>
      </c>
      <c r="C71" s="180">
        <f>I56*H12</f>
        <v>0</v>
      </c>
      <c r="D71" s="180">
        <f>$H12*C56</f>
        <v>0</v>
      </c>
      <c r="E71" s="180">
        <f t="shared" si="13"/>
        <v>0</v>
      </c>
      <c r="F71" s="180">
        <f t="shared" si="13"/>
        <v>246.45968999999999</v>
      </c>
      <c r="G71" s="180">
        <f t="shared" si="13"/>
        <v>84.041809999999998</v>
      </c>
      <c r="H71" s="180">
        <f t="shared" si="13"/>
        <v>0</v>
      </c>
      <c r="I71" s="180">
        <f t="shared" si="13"/>
        <v>-39.660180000000004</v>
      </c>
      <c r="J71" s="180">
        <f t="shared" si="12"/>
        <v>290.84131999999994</v>
      </c>
      <c r="M71" s="180"/>
    </row>
    <row r="72" spans="1:13">
      <c r="A72" s="195" t="s">
        <v>155</v>
      </c>
      <c r="C72" s="180">
        <f>(I57*H13)</f>
        <v>0</v>
      </c>
      <c r="D72" s="180">
        <f>$H13*C57</f>
        <v>-135.03346999999999</v>
      </c>
      <c r="E72" s="180">
        <f t="shared" si="13"/>
        <v>0</v>
      </c>
      <c r="F72" s="180">
        <f t="shared" si="13"/>
        <v>11.44746</v>
      </c>
      <c r="G72" s="180">
        <f t="shared" si="13"/>
        <v>3.9035399999999996</v>
      </c>
      <c r="H72" s="180">
        <f t="shared" si="13"/>
        <v>0</v>
      </c>
      <c r="I72" s="180">
        <f t="shared" si="13"/>
        <v>-1.84212</v>
      </c>
      <c r="J72" s="180">
        <f t="shared" si="12"/>
        <v>-121.52458999999999</v>
      </c>
      <c r="M72" s="180"/>
    </row>
    <row r="73" spans="1:13">
      <c r="A73" s="195" t="s">
        <v>217</v>
      </c>
      <c r="C73" s="180">
        <f>I58*H14</f>
        <v>-2.2368600000000001</v>
      </c>
      <c r="D73" s="180">
        <f>$H14*C58</f>
        <v>-6.2719800000000001</v>
      </c>
      <c r="E73" s="180">
        <f>($H15+$H16+$H17)*D59</f>
        <v>0</v>
      </c>
      <c r="F73" s="180">
        <f>($H15+$H16+$H17)*E59</f>
        <v>0</v>
      </c>
      <c r="G73" s="180">
        <v>0</v>
      </c>
      <c r="H73" s="198">
        <v>0</v>
      </c>
      <c r="I73" s="198">
        <v>0</v>
      </c>
      <c r="J73" s="180">
        <f t="shared" si="12"/>
        <v>-8.5088399999999993</v>
      </c>
      <c r="M73" s="180"/>
    </row>
    <row r="74" spans="1:13">
      <c r="A74" s="169"/>
      <c r="C74" s="194">
        <f>SUM(C63:C73)</f>
        <v>17036.322540000005</v>
      </c>
      <c r="D74" s="194">
        <f>SUM(D63:D73)</f>
        <v>-67456.240090000007</v>
      </c>
      <c r="E74" s="194">
        <f t="shared" ref="E74:J74" si="14">SUM(E63:E73)</f>
        <v>3871.5371700000005</v>
      </c>
      <c r="F74" s="194">
        <f t="shared" si="14"/>
        <v>-123211.06272999999</v>
      </c>
      <c r="G74" s="194">
        <f t="shared" si="14"/>
        <v>-46030.323970000005</v>
      </c>
      <c r="H74" s="194">
        <f t="shared" si="14"/>
        <v>0</v>
      </c>
      <c r="I74" s="194">
        <f t="shared" si="14"/>
        <v>15823.448460000001</v>
      </c>
      <c r="J74" s="194">
        <f t="shared" si="14"/>
        <v>-199966.31861999998</v>
      </c>
    </row>
    <row r="76" spans="1:13">
      <c r="A76" s="164" t="s">
        <v>19</v>
      </c>
      <c r="B76" s="164"/>
      <c r="C76" s="180">
        <f>C63+C64</f>
        <v>16533.773640000003</v>
      </c>
      <c r="D76" s="180">
        <f>D63+D64</f>
        <v>-85262.401320000004</v>
      </c>
      <c r="E76" s="180">
        <f t="shared" ref="E76:J76" si="15">E63+E64</f>
        <v>3871.5371700000005</v>
      </c>
      <c r="F76" s="180">
        <f t="shared" si="15"/>
        <v>-84938.20968</v>
      </c>
      <c r="G76" s="180">
        <f t="shared" si="15"/>
        <v>-31446.589080000002</v>
      </c>
      <c r="H76" s="180">
        <f t="shared" si="15"/>
        <v>0</v>
      </c>
      <c r="I76" s="180">
        <f t="shared" si="15"/>
        <v>11346.707400000001</v>
      </c>
      <c r="J76" s="180">
        <f t="shared" si="15"/>
        <v>-169895.18187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504.78575999999998</v>
      </c>
      <c r="D78" s="190">
        <f>SUM(D65:D68,D70:D72)</f>
        <v>17812.433210000003</v>
      </c>
      <c r="E78" s="190">
        <f t="shared" ref="E78:J78" si="16">SUM(E65:E68,E70:E72)</f>
        <v>0</v>
      </c>
      <c r="F78" s="190">
        <f t="shared" si="16"/>
        <v>-38272.853049999991</v>
      </c>
      <c r="G78" s="190">
        <f t="shared" si="16"/>
        <v>-14583.73489</v>
      </c>
      <c r="H78" s="190">
        <f t="shared" si="16"/>
        <v>0</v>
      </c>
      <c r="I78" s="190">
        <f t="shared" si="16"/>
        <v>4476.7410600000003</v>
      </c>
      <c r="J78" s="190">
        <f t="shared" si="16"/>
        <v>-30062.627909999996</v>
      </c>
    </row>
  </sheetData>
  <mergeCells count="3">
    <mergeCell ref="A1:I1"/>
    <mergeCell ref="F59:F60"/>
    <mergeCell ref="I59:I60"/>
  </mergeCells>
  <pageMargins left="0.7" right="0.7" top="0.66" bottom="0.64" header="0.3" footer="0.3"/>
  <pageSetup scale="71" fitToHeight="2" orientation="landscape" r:id="rId1"/>
  <headerFooter>
    <oddFooter>&amp;L&amp;F / 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  <pageSetUpPr fitToPage="1"/>
  </sheetPr>
  <dimension ref="A1:M78"/>
  <sheetViews>
    <sheetView workbookViewId="0">
      <selection activeCell="F18" sqref="F18"/>
    </sheetView>
  </sheetViews>
  <sheetFormatPr defaultColWidth="9.109375" defaultRowHeight="14.4"/>
  <cols>
    <col min="1" max="1" width="17.6640625" style="162" customWidth="1"/>
    <col min="2" max="2" width="9.109375" style="162"/>
    <col min="3" max="3" width="18.33203125" style="162" customWidth="1"/>
    <col min="4" max="4" width="22" style="162" customWidth="1"/>
    <col min="5" max="5" width="17.33203125" style="162" customWidth="1"/>
    <col min="6" max="6" width="16.33203125" style="162" customWidth="1"/>
    <col min="7" max="8" width="15.6640625" style="162" customWidth="1"/>
    <col min="9" max="9" width="21.33203125" style="162" customWidth="1"/>
    <col min="10" max="10" width="18.33203125" style="162" bestFit="1" customWidth="1"/>
    <col min="11" max="11" width="9.109375" style="162"/>
    <col min="12" max="12" width="13.44140625" style="162" bestFit="1" customWidth="1"/>
    <col min="13" max="13" width="27.5546875" style="162" bestFit="1" customWidth="1"/>
    <col min="14" max="16384" width="9.109375" style="162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7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207"/>
      <c r="B3" s="164"/>
      <c r="C3" s="208"/>
      <c r="D3" s="164"/>
      <c r="E3" s="208"/>
      <c r="F3" s="209"/>
      <c r="G3" s="209"/>
      <c r="H3" s="209"/>
      <c r="I3" s="209"/>
    </row>
    <row r="4" spans="1:9">
      <c r="A4" s="195" t="s">
        <v>148</v>
      </c>
      <c r="B4" s="164"/>
      <c r="C4" s="170">
        <v>211633</v>
      </c>
      <c r="D4" s="183"/>
      <c r="E4" s="197">
        <v>327175941</v>
      </c>
      <c r="F4" s="197">
        <v>-158594608</v>
      </c>
      <c r="G4" s="197">
        <v>160764583</v>
      </c>
      <c r="H4" s="163">
        <f>SUM(F4:G4)</f>
        <v>2169975</v>
      </c>
      <c r="I4" s="171">
        <f>E4+H4</f>
        <v>329345916</v>
      </c>
    </row>
    <row r="5" spans="1:9">
      <c r="A5" s="195" t="s">
        <v>203</v>
      </c>
      <c r="B5" s="164"/>
      <c r="C5" s="170">
        <v>501</v>
      </c>
      <c r="D5" s="183"/>
      <c r="E5" s="197">
        <v>1028552</v>
      </c>
      <c r="F5" s="197">
        <v>-463234</v>
      </c>
      <c r="G5" s="197">
        <v>509741</v>
      </c>
      <c r="H5" s="163">
        <f t="shared" ref="H5:H17" si="0">SUM(F5:G5)</f>
        <v>46507</v>
      </c>
      <c r="I5" s="171">
        <f t="shared" ref="I5:I17" si="1">E5+H5</f>
        <v>1075059</v>
      </c>
    </row>
    <row r="6" spans="1:9">
      <c r="A6" s="195" t="s">
        <v>149</v>
      </c>
      <c r="B6" s="164"/>
      <c r="C6" s="170">
        <v>22480</v>
      </c>
      <c r="D6" s="183"/>
      <c r="E6" s="197">
        <v>61579579</v>
      </c>
      <c r="F6" s="197">
        <v>-33268651</v>
      </c>
      <c r="G6" s="197">
        <v>30113951</v>
      </c>
      <c r="H6" s="163">
        <f t="shared" si="0"/>
        <v>-3154700</v>
      </c>
      <c r="I6" s="171">
        <f t="shared" si="1"/>
        <v>58424879</v>
      </c>
    </row>
    <row r="7" spans="1:9">
      <c r="A7" s="195" t="s">
        <v>150</v>
      </c>
      <c r="B7" s="164"/>
      <c r="C7" s="170">
        <v>9102</v>
      </c>
      <c r="D7" s="183"/>
      <c r="E7" s="197">
        <v>8059800</v>
      </c>
      <c r="F7" s="197">
        <v>-3790100</v>
      </c>
      <c r="G7" s="197">
        <v>3960298</v>
      </c>
      <c r="H7" s="163">
        <f t="shared" si="0"/>
        <v>170198</v>
      </c>
      <c r="I7" s="171">
        <f t="shared" si="1"/>
        <v>8229998</v>
      </c>
    </row>
    <row r="8" spans="1:9">
      <c r="A8" s="195" t="s">
        <v>151</v>
      </c>
      <c r="B8" s="164"/>
      <c r="C8" s="170">
        <v>1834</v>
      </c>
      <c r="D8" s="183"/>
      <c r="E8" s="197">
        <v>127594204</v>
      </c>
      <c r="F8" s="197">
        <v>-78918294</v>
      </c>
      <c r="G8" s="197">
        <v>62384500</v>
      </c>
      <c r="H8" s="163">
        <f t="shared" si="0"/>
        <v>-16533794</v>
      </c>
      <c r="I8" s="171">
        <f t="shared" si="1"/>
        <v>111060410</v>
      </c>
    </row>
    <row r="9" spans="1:9">
      <c r="A9" s="195" t="s">
        <v>152</v>
      </c>
      <c r="B9" s="164"/>
      <c r="C9" s="170">
        <v>50</v>
      </c>
      <c r="D9" s="183"/>
      <c r="E9" s="197">
        <v>4367920</v>
      </c>
      <c r="F9" s="197">
        <v>-1895050</v>
      </c>
      <c r="G9" s="197">
        <v>2156598</v>
      </c>
      <c r="H9" s="163">
        <f t="shared" si="0"/>
        <v>261548</v>
      </c>
      <c r="I9" s="171">
        <f t="shared" si="1"/>
        <v>4629468</v>
      </c>
    </row>
    <row r="10" spans="1:9">
      <c r="A10" s="195" t="s">
        <v>153</v>
      </c>
      <c r="B10" s="164"/>
      <c r="C10" s="170">
        <v>23</v>
      </c>
      <c r="D10" s="183"/>
      <c r="E10" s="197">
        <f>99654645-E11</f>
        <v>64398505</v>
      </c>
      <c r="F10" s="197">
        <v>-4573701</v>
      </c>
      <c r="G10" s="197">
        <v>0</v>
      </c>
      <c r="H10" s="163">
        <f>SUM(F10:G10)</f>
        <v>-4573701</v>
      </c>
      <c r="I10" s="171">
        <f t="shared" si="1"/>
        <v>59824804</v>
      </c>
    </row>
    <row r="11" spans="1:9">
      <c r="A11" s="195" t="s">
        <v>204</v>
      </c>
      <c r="B11" s="164"/>
      <c r="C11" s="170"/>
      <c r="D11" s="183"/>
      <c r="E11" s="197">
        <v>35256140</v>
      </c>
      <c r="F11" s="197">
        <v>0</v>
      </c>
      <c r="G11" s="197">
        <v>0</v>
      </c>
      <c r="H11" s="163">
        <f>SUM(F11:G11)</f>
        <v>0</v>
      </c>
      <c r="I11" s="171">
        <f t="shared" si="1"/>
        <v>35256140</v>
      </c>
    </row>
    <row r="12" spans="1:9">
      <c r="A12" s="195" t="s">
        <v>205</v>
      </c>
      <c r="B12" s="164"/>
      <c r="C12" s="170">
        <v>31</v>
      </c>
      <c r="D12" s="183"/>
      <c r="E12" s="197">
        <v>7860</v>
      </c>
      <c r="F12" s="197">
        <v>0</v>
      </c>
      <c r="G12" s="197">
        <v>0</v>
      </c>
      <c r="H12" s="163">
        <f t="shared" si="0"/>
        <v>0</v>
      </c>
      <c r="I12" s="171">
        <f t="shared" si="1"/>
        <v>7860</v>
      </c>
    </row>
    <row r="13" spans="1:9">
      <c r="A13" s="195" t="s">
        <v>154</v>
      </c>
      <c r="B13" s="164"/>
      <c r="C13" s="170">
        <v>1200</v>
      </c>
      <c r="D13" s="183"/>
      <c r="E13" s="197">
        <v>3742415</v>
      </c>
      <c r="F13" s="197">
        <v>-2105611</v>
      </c>
      <c r="G13" s="197">
        <v>1646857</v>
      </c>
      <c r="H13" s="163">
        <f t="shared" si="0"/>
        <v>-458754</v>
      </c>
      <c r="I13" s="171">
        <f t="shared" si="1"/>
        <v>3283661</v>
      </c>
    </row>
    <row r="14" spans="1:9">
      <c r="A14" s="195" t="s">
        <v>155</v>
      </c>
      <c r="B14" s="164"/>
      <c r="C14" s="170">
        <v>1186</v>
      </c>
      <c r="D14" s="183"/>
      <c r="E14" s="197">
        <v>364149</v>
      </c>
      <c r="F14" s="197">
        <v>-168449</v>
      </c>
      <c r="G14" s="197">
        <v>156844</v>
      </c>
      <c r="H14" s="163">
        <f t="shared" si="0"/>
        <v>-11605</v>
      </c>
      <c r="I14" s="171">
        <f t="shared" si="1"/>
        <v>352544</v>
      </c>
    </row>
    <row r="15" spans="1:9">
      <c r="A15" s="195" t="s">
        <v>206</v>
      </c>
      <c r="B15" s="164"/>
      <c r="C15" s="170">
        <v>410</v>
      </c>
      <c r="D15" s="183"/>
      <c r="E15" s="197">
        <v>1161517</v>
      </c>
      <c r="F15" s="197"/>
      <c r="G15" s="197"/>
      <c r="H15" s="163"/>
      <c r="I15" s="171">
        <f t="shared" si="1"/>
        <v>1161517</v>
      </c>
    </row>
    <row r="16" spans="1:9">
      <c r="A16" s="195" t="s">
        <v>207</v>
      </c>
      <c r="B16" s="164"/>
      <c r="C16" s="170"/>
      <c r="D16" s="183"/>
      <c r="E16" s="197">
        <v>451550</v>
      </c>
      <c r="F16" s="197"/>
      <c r="G16" s="197"/>
      <c r="H16" s="163">
        <f t="shared" si="0"/>
        <v>0</v>
      </c>
      <c r="I16" s="171">
        <f t="shared" si="1"/>
        <v>451550</v>
      </c>
    </row>
    <row r="17" spans="1:9">
      <c r="A17" s="195" t="s">
        <v>208</v>
      </c>
      <c r="B17" s="164"/>
      <c r="C17" s="170"/>
      <c r="D17" s="204"/>
      <c r="E17" s="197">
        <v>248016</v>
      </c>
      <c r="F17" s="197"/>
      <c r="G17" s="197"/>
      <c r="H17" s="163">
        <f t="shared" si="0"/>
        <v>0</v>
      </c>
      <c r="I17" s="171">
        <f t="shared" si="1"/>
        <v>248016</v>
      </c>
    </row>
    <row r="18" spans="1:9">
      <c r="A18" s="164"/>
      <c r="B18" s="164"/>
      <c r="C18" s="172">
        <f>SUM(C4:C17)</f>
        <v>248450</v>
      </c>
      <c r="E18" s="172">
        <f t="shared" ref="E18:I18" si="2">SUM(E4:E17)</f>
        <v>635436148</v>
      </c>
      <c r="F18" s="172">
        <f t="shared" si="2"/>
        <v>-283777698</v>
      </c>
      <c r="G18" s="172">
        <f t="shared" si="2"/>
        <v>261693372</v>
      </c>
      <c r="H18" s="172">
        <f t="shared" si="2"/>
        <v>-22084326</v>
      </c>
      <c r="I18" s="172">
        <f t="shared" si="2"/>
        <v>613351822</v>
      </c>
    </row>
    <row r="19" spans="1:9" ht="15" thickBot="1">
      <c r="A19" s="164"/>
      <c r="B19" s="164"/>
      <c r="C19" s="164"/>
      <c r="E19" s="164"/>
      <c r="F19" s="164"/>
      <c r="G19" s="164"/>
      <c r="I19" s="164"/>
    </row>
    <row r="20" spans="1:9">
      <c r="A20" s="164" t="s">
        <v>19</v>
      </c>
      <c r="B20" s="164"/>
      <c r="C20" s="173">
        <f>C4+C5</f>
        <v>212134</v>
      </c>
      <c r="E20" s="174">
        <f>E4+E5</f>
        <v>328204493</v>
      </c>
      <c r="F20" s="174">
        <f t="shared" ref="F20:I20" si="3">F4+F5</f>
        <v>-159057842</v>
      </c>
      <c r="G20" s="174">
        <f t="shared" si="3"/>
        <v>161274324</v>
      </c>
      <c r="H20" s="174">
        <f t="shared" si="3"/>
        <v>2216482</v>
      </c>
      <c r="I20" s="173">
        <f t="shared" si="3"/>
        <v>330420975</v>
      </c>
    </row>
    <row r="21" spans="1:9">
      <c r="A21" s="164"/>
      <c r="B21" s="164"/>
      <c r="C21" s="175"/>
      <c r="E21" s="164"/>
      <c r="F21" s="164"/>
      <c r="G21" s="164"/>
      <c r="H21" s="164"/>
      <c r="I21" s="175"/>
    </row>
    <row r="22" spans="1:9" ht="15" thickBot="1">
      <c r="A22" s="164" t="s">
        <v>209</v>
      </c>
      <c r="B22" s="164"/>
      <c r="C22" s="191">
        <f>SUM(C6:C9,C12:C14)</f>
        <v>35883</v>
      </c>
      <c r="E22" s="192">
        <f>SUM(E6:E9,E12:E14)</f>
        <v>205715927</v>
      </c>
      <c r="F22" s="192">
        <f t="shared" ref="F22:H22" si="4">SUM(F6:F9,F12:F14)</f>
        <v>-120146155</v>
      </c>
      <c r="G22" s="192">
        <f t="shared" si="4"/>
        <v>100419048</v>
      </c>
      <c r="H22" s="192">
        <f t="shared" si="4"/>
        <v>-19727107</v>
      </c>
      <c r="I22" s="191">
        <f>SUM(I6:I9,I12:I14)</f>
        <v>185988820</v>
      </c>
    </row>
    <row r="23" spans="1:9">
      <c r="A23" s="164"/>
      <c r="B23" s="164"/>
      <c r="C23" s="164"/>
      <c r="D23" s="164"/>
      <c r="E23" s="164"/>
    </row>
    <row r="24" spans="1:9" ht="40.200000000000003">
      <c r="A24" s="165"/>
      <c r="B24" s="176"/>
      <c r="C24" s="186" t="s">
        <v>210</v>
      </c>
      <c r="D24" s="186" t="s">
        <v>211</v>
      </c>
      <c r="E24" s="168" t="s">
        <v>212</v>
      </c>
      <c r="F24" s="168" t="s">
        <v>213</v>
      </c>
      <c r="G24" s="168" t="s">
        <v>214</v>
      </c>
      <c r="H24" s="168" t="s">
        <v>215</v>
      </c>
      <c r="I24" s="168" t="s">
        <v>216</v>
      </c>
    </row>
    <row r="25" spans="1:9">
      <c r="A25" s="207"/>
      <c r="B25" s="210"/>
      <c r="C25" s="211"/>
      <c r="D25" s="211"/>
      <c r="E25" s="209"/>
      <c r="F25" s="209"/>
      <c r="G25" s="209"/>
      <c r="H25" s="209"/>
      <c r="I25" s="209"/>
    </row>
    <row r="26" spans="1:9">
      <c r="A26" s="195" t="s">
        <v>148</v>
      </c>
      <c r="B26" s="164"/>
      <c r="C26" s="196">
        <v>1831826.5</v>
      </c>
      <c r="D26" s="196">
        <v>29529644.149999999</v>
      </c>
      <c r="E26" s="198">
        <v>-14781254</v>
      </c>
      <c r="F26" s="198">
        <v>15142628</v>
      </c>
      <c r="G26" s="188">
        <f>SUM(D26:F26)</f>
        <v>29891018.149999999</v>
      </c>
      <c r="H26" s="188">
        <f>-J63</f>
        <v>-11631.065999999999</v>
      </c>
      <c r="I26" s="188">
        <f>SUM(G26:H26)</f>
        <v>29879387.083999999</v>
      </c>
    </row>
    <row r="27" spans="1:9">
      <c r="A27" s="195" t="s">
        <v>203</v>
      </c>
      <c r="B27" s="164"/>
      <c r="C27" s="196">
        <v>4326.5</v>
      </c>
      <c r="D27" s="196">
        <v>93661.51</v>
      </c>
      <c r="E27" s="198">
        <v>-28026</v>
      </c>
      <c r="F27" s="198">
        <v>31200</v>
      </c>
      <c r="G27" s="188">
        <f t="shared" ref="G27:G35" si="5">SUM(D27:F27)</f>
        <v>96835.51</v>
      </c>
      <c r="H27" s="188">
        <f t="shared" ref="H27:H35" si="6">-J64</f>
        <v>1217.0881900000002</v>
      </c>
      <c r="I27" s="188">
        <f t="shared" ref="I27:I36" si="7">SUM(G27:H27)</f>
        <v>98052.59818999999</v>
      </c>
    </row>
    <row r="28" spans="1:9">
      <c r="A28" s="195" t="s">
        <v>149</v>
      </c>
      <c r="B28" s="164"/>
      <c r="C28" s="196">
        <v>412229.86</v>
      </c>
      <c r="D28" s="196">
        <v>6867677.9800000004</v>
      </c>
      <c r="E28" s="198">
        <v>-3797481</v>
      </c>
      <c r="F28" s="198">
        <v>3375090</v>
      </c>
      <c r="G28" s="188">
        <f t="shared" si="5"/>
        <v>6445286.9800000004</v>
      </c>
      <c r="H28" s="188">
        <f t="shared" si="6"/>
        <v>10221.227999999999</v>
      </c>
      <c r="I28" s="188">
        <f t="shared" si="7"/>
        <v>6455508.2080000006</v>
      </c>
    </row>
    <row r="29" spans="1:9">
      <c r="A29" s="195" t="s">
        <v>150</v>
      </c>
      <c r="B29" s="164"/>
      <c r="C29" s="196">
        <v>165470.49</v>
      </c>
      <c r="D29" s="196">
        <v>1042848.61</v>
      </c>
      <c r="E29" s="198">
        <v>-512529</v>
      </c>
      <c r="F29" s="198">
        <v>522935</v>
      </c>
      <c r="G29" s="188">
        <f t="shared" si="5"/>
        <v>1053254.6099999999</v>
      </c>
      <c r="H29" s="188">
        <f t="shared" si="6"/>
        <v>-464.64054000000004</v>
      </c>
      <c r="I29" s="188">
        <f t="shared" si="7"/>
        <v>1052789.9694599998</v>
      </c>
    </row>
    <row r="30" spans="1:9">
      <c r="A30" s="195" t="s">
        <v>151</v>
      </c>
      <c r="B30" s="164"/>
      <c r="C30" s="196">
        <v>919850</v>
      </c>
      <c r="D30" s="196">
        <v>11150089.310000001</v>
      </c>
      <c r="E30" s="198">
        <v>-6185816</v>
      </c>
      <c r="F30" s="198">
        <v>4954750</v>
      </c>
      <c r="G30" s="188">
        <f t="shared" si="5"/>
        <v>9919023.3100000005</v>
      </c>
      <c r="H30" s="188">
        <f t="shared" si="6"/>
        <v>32406.236239999998</v>
      </c>
      <c r="I30" s="188">
        <f t="shared" si="7"/>
        <v>9951429.5462400001</v>
      </c>
    </row>
    <row r="31" spans="1:9">
      <c r="A31" s="195" t="s">
        <v>152</v>
      </c>
      <c r="B31" s="164"/>
      <c r="C31" s="196">
        <v>25000</v>
      </c>
      <c r="D31" s="196">
        <v>371355.52</v>
      </c>
      <c r="E31" s="198">
        <v>-149324</v>
      </c>
      <c r="F31" s="198">
        <v>168815</v>
      </c>
      <c r="G31" s="188">
        <f t="shared" si="5"/>
        <v>390846.52</v>
      </c>
      <c r="H31" s="188">
        <f t="shared" si="6"/>
        <v>-379.24459999999993</v>
      </c>
      <c r="I31" s="188">
        <f t="shared" si="7"/>
        <v>390467.27540000004</v>
      </c>
    </row>
    <row r="32" spans="1:9">
      <c r="A32" s="195" t="s">
        <v>153</v>
      </c>
      <c r="B32" s="164"/>
      <c r="C32" s="196">
        <v>483000</v>
      </c>
      <c r="D32" s="196">
        <f>5850694.25-83377.7</f>
        <v>5767316.5499999998</v>
      </c>
      <c r="E32" s="198">
        <v>-300179</v>
      </c>
      <c r="F32" s="198">
        <v>0</v>
      </c>
      <c r="G32" s="188">
        <f t="shared" si="5"/>
        <v>5467137.5499999998</v>
      </c>
      <c r="H32" s="188">
        <f t="shared" si="6"/>
        <v>9238.8760199999997</v>
      </c>
      <c r="I32" s="188">
        <f t="shared" si="7"/>
        <v>5476376.4260200001</v>
      </c>
    </row>
    <row r="33" spans="1:9">
      <c r="A33" s="195" t="s">
        <v>205</v>
      </c>
      <c r="B33" s="164"/>
      <c r="C33" s="196">
        <v>558</v>
      </c>
      <c r="D33" s="196">
        <v>1093.9000000000001</v>
      </c>
      <c r="E33" s="198">
        <v>0</v>
      </c>
      <c r="F33" s="198">
        <v>0</v>
      </c>
      <c r="G33" s="188">
        <f t="shared" si="5"/>
        <v>1093.9000000000001</v>
      </c>
      <c r="H33" s="188">
        <f t="shared" si="6"/>
        <v>0</v>
      </c>
      <c r="I33" s="188">
        <f t="shared" si="7"/>
        <v>1093.9000000000001</v>
      </c>
    </row>
    <row r="34" spans="1:9">
      <c r="A34" s="195" t="s">
        <v>154</v>
      </c>
      <c r="B34" s="164"/>
      <c r="C34" s="196">
        <v>21780</v>
      </c>
      <c r="D34" s="196">
        <v>329699.69</v>
      </c>
      <c r="E34" s="198">
        <v>-183013</v>
      </c>
      <c r="F34" s="198">
        <v>143700</v>
      </c>
      <c r="G34" s="188">
        <f t="shared" si="5"/>
        <v>290386.69</v>
      </c>
      <c r="H34" s="188">
        <f t="shared" si="6"/>
        <v>1412.9623199999999</v>
      </c>
      <c r="I34" s="188">
        <f t="shared" si="7"/>
        <v>291799.65231999999</v>
      </c>
    </row>
    <row r="35" spans="1:9">
      <c r="A35" s="195" t="s">
        <v>155</v>
      </c>
      <c r="B35" s="164"/>
      <c r="C35" s="196">
        <v>21462.6</v>
      </c>
      <c r="D35" s="196">
        <v>51883.55</v>
      </c>
      <c r="E35" s="198">
        <v>-24762</v>
      </c>
      <c r="F35" s="198">
        <v>22990</v>
      </c>
      <c r="G35" s="188">
        <f t="shared" si="5"/>
        <v>50111.55</v>
      </c>
      <c r="H35" s="188">
        <f t="shared" si="6"/>
        <v>-620.27482000000009</v>
      </c>
      <c r="I35" s="188">
        <f t="shared" si="7"/>
        <v>49491.275180000004</v>
      </c>
    </row>
    <row r="36" spans="1:9">
      <c r="A36" s="195" t="s">
        <v>217</v>
      </c>
      <c r="B36" s="164"/>
      <c r="C36" s="188"/>
      <c r="D36" s="196">
        <v>563654.31000000006</v>
      </c>
      <c r="E36" s="196"/>
      <c r="F36" s="196"/>
      <c r="G36" s="188">
        <f>SUM(D36:F36)</f>
        <v>563654.31000000006</v>
      </c>
      <c r="H36" s="188"/>
      <c r="I36" s="188">
        <f t="shared" si="7"/>
        <v>563654.31000000006</v>
      </c>
    </row>
    <row r="37" spans="1:9">
      <c r="A37" s="195" t="s">
        <v>218</v>
      </c>
      <c r="B37" s="164"/>
      <c r="C37" s="183"/>
      <c r="D37" s="196">
        <v>2411286.0699999998</v>
      </c>
      <c r="E37" s="196"/>
      <c r="F37" s="196"/>
      <c r="G37" s="188"/>
      <c r="H37" s="188"/>
      <c r="I37" s="188"/>
    </row>
    <row r="38" spans="1:9">
      <c r="A38" s="195" t="s">
        <v>219</v>
      </c>
      <c r="B38" s="164"/>
      <c r="C38" s="183"/>
      <c r="D38" s="196">
        <v>2093989.11</v>
      </c>
      <c r="E38" s="196"/>
      <c r="F38" s="196"/>
      <c r="G38" s="188"/>
      <c r="H38" s="188"/>
      <c r="I38" s="188"/>
    </row>
    <row r="39" spans="1:9">
      <c r="A39" s="164"/>
      <c r="B39" s="164"/>
      <c r="C39" s="178">
        <f>SUM(C26:C38)</f>
        <v>3885503.9499999997</v>
      </c>
      <c r="D39" s="178">
        <f t="shared" ref="D39:I39" si="8">SUM(D26:D38)</f>
        <v>60274200.259999998</v>
      </c>
      <c r="E39" s="178">
        <f t="shared" si="8"/>
        <v>-25962384</v>
      </c>
      <c r="F39" s="178">
        <f t="shared" si="8"/>
        <v>24362108</v>
      </c>
      <c r="G39" s="178">
        <f t="shared" si="8"/>
        <v>54168649.079999998</v>
      </c>
      <c r="H39" s="178">
        <f t="shared" si="8"/>
        <v>41401.164810000002</v>
      </c>
      <c r="I39" s="178">
        <f t="shared" si="8"/>
        <v>54210050.244809993</v>
      </c>
    </row>
    <row r="40" spans="1:9" ht="15" thickBot="1">
      <c r="A40" s="164"/>
      <c r="B40" s="164"/>
      <c r="D40" s="179"/>
      <c r="E40" s="164"/>
      <c r="F40" s="164"/>
    </row>
    <row r="41" spans="1:9">
      <c r="A41" s="164" t="s">
        <v>19</v>
      </c>
      <c r="B41" s="164"/>
      <c r="C41" s="181">
        <f>C26+C27</f>
        <v>1836153</v>
      </c>
      <c r="D41" s="180">
        <f t="shared" ref="D41:I41" si="9">D26+D27</f>
        <v>29623305.66</v>
      </c>
      <c r="E41" s="180">
        <f t="shared" si="9"/>
        <v>-14809280</v>
      </c>
      <c r="F41" s="180">
        <f t="shared" si="9"/>
        <v>15173828</v>
      </c>
      <c r="G41" s="180">
        <f t="shared" si="9"/>
        <v>29987853.66</v>
      </c>
      <c r="H41" s="180">
        <f t="shared" si="9"/>
        <v>-10413.977809999998</v>
      </c>
      <c r="I41" s="181">
        <f t="shared" si="9"/>
        <v>29977439.682189997</v>
      </c>
    </row>
    <row r="42" spans="1:9">
      <c r="A42" s="164"/>
      <c r="B42" s="164"/>
      <c r="C42" s="187"/>
      <c r="D42" s="180"/>
      <c r="E42" s="164"/>
      <c r="F42" s="164"/>
      <c r="I42" s="182"/>
    </row>
    <row r="43" spans="1:9" ht="15" thickBot="1">
      <c r="A43" s="164" t="s">
        <v>209</v>
      </c>
      <c r="B43" s="164"/>
      <c r="C43" s="189">
        <f>SUM(C28:C31,C33:C35)</f>
        <v>1566350.9500000002</v>
      </c>
      <c r="D43" s="190">
        <f t="shared" ref="D43:I43" si="10">SUM(D28:D31,D33:D35)</f>
        <v>19814648.560000002</v>
      </c>
      <c r="E43" s="190">
        <f t="shared" si="10"/>
        <v>-10852925</v>
      </c>
      <c r="F43" s="190">
        <f t="shared" si="10"/>
        <v>9188280</v>
      </c>
      <c r="G43" s="190">
        <f t="shared" si="10"/>
        <v>18150003.559999999</v>
      </c>
      <c r="H43" s="190">
        <f t="shared" si="10"/>
        <v>42576.266599999995</v>
      </c>
      <c r="I43" s="189">
        <f t="shared" si="10"/>
        <v>18192579.826600004</v>
      </c>
    </row>
    <row r="44" spans="1:9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9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9">
      <c r="C46" s="185">
        <v>42675</v>
      </c>
      <c r="D46" s="185">
        <v>42278</v>
      </c>
      <c r="E46" s="161">
        <v>42583</v>
      </c>
      <c r="F46" s="161">
        <v>42644</v>
      </c>
      <c r="G46" s="161">
        <v>42380</v>
      </c>
      <c r="H46" s="161">
        <v>42552</v>
      </c>
      <c r="I46" s="161">
        <v>42675</v>
      </c>
    </row>
    <row r="47" spans="1:9" ht="27">
      <c r="A47" s="193" t="s">
        <v>220</v>
      </c>
      <c r="B47" s="166"/>
      <c r="C47" s="177" t="s">
        <v>239</v>
      </c>
      <c r="D47" s="177" t="s">
        <v>222</v>
      </c>
      <c r="E47" s="177" t="s">
        <v>223</v>
      </c>
      <c r="F47" s="177" t="s">
        <v>224</v>
      </c>
      <c r="G47" s="177" t="s">
        <v>225</v>
      </c>
      <c r="H47" s="177" t="s">
        <v>226</v>
      </c>
      <c r="I47" s="177" t="s">
        <v>221</v>
      </c>
    </row>
    <row r="48" spans="1:9">
      <c r="A48" s="195" t="s">
        <v>148</v>
      </c>
      <c r="B48" s="164"/>
      <c r="C48" s="184">
        <v>2.63E-3</v>
      </c>
      <c r="D48" s="184"/>
      <c r="E48" s="184">
        <v>2.6199999999999999E-3</v>
      </c>
      <c r="F48" s="184">
        <v>9.7000000000000005E-4</v>
      </c>
      <c r="G48" s="184">
        <v>0</v>
      </c>
      <c r="H48" s="184">
        <v>-3.5E-4</v>
      </c>
      <c r="I48" s="184">
        <v>-5.1000000000000004E-4</v>
      </c>
    </row>
    <row r="49" spans="1:13">
      <c r="A49" s="195" t="s">
        <v>203</v>
      </c>
      <c r="B49" s="164"/>
      <c r="C49" s="184">
        <v>2.63E-3</v>
      </c>
      <c r="D49" s="184">
        <v>-3.1530000000000002E-2</v>
      </c>
      <c r="E49" s="184">
        <v>2.6199999999999999E-3</v>
      </c>
      <c r="F49" s="184">
        <v>9.7000000000000005E-4</v>
      </c>
      <c r="G49" s="184">
        <v>0</v>
      </c>
      <c r="H49" s="184">
        <v>-3.5E-4</v>
      </c>
      <c r="I49" s="184">
        <v>-5.1000000000000004E-4</v>
      </c>
    </row>
    <row r="50" spans="1:13">
      <c r="A50" s="195" t="s">
        <v>149</v>
      </c>
      <c r="B50" s="164"/>
      <c r="C50" s="184">
        <v>-1.4300000000000001E-3</v>
      </c>
      <c r="D50" s="184"/>
      <c r="E50" s="184">
        <v>3.62E-3</v>
      </c>
      <c r="F50" s="184">
        <v>1.41E-3</v>
      </c>
      <c r="G50" s="184">
        <v>0</v>
      </c>
      <c r="H50" s="184">
        <v>-3.6000000000000002E-4</v>
      </c>
      <c r="I50" s="184"/>
    </row>
    <row r="51" spans="1:13">
      <c r="A51" s="195" t="s">
        <v>150</v>
      </c>
      <c r="B51" s="164"/>
      <c r="C51" s="184">
        <v>-1.4300000000000001E-3</v>
      </c>
      <c r="D51" s="184"/>
      <c r="E51" s="184">
        <v>3.62E-3</v>
      </c>
      <c r="F51" s="184">
        <v>1.41E-3</v>
      </c>
      <c r="G51" s="184">
        <v>0</v>
      </c>
      <c r="H51" s="184">
        <v>-3.6000000000000002E-4</v>
      </c>
      <c r="I51" s="184">
        <v>-5.1000000000000004E-4</v>
      </c>
    </row>
    <row r="52" spans="1:13">
      <c r="A52" s="195" t="s">
        <v>151</v>
      </c>
      <c r="B52" s="164"/>
      <c r="C52" s="184">
        <v>-1.4300000000000001E-3</v>
      </c>
      <c r="D52" s="184"/>
      <c r="E52" s="184">
        <v>2.7299999999999998E-3</v>
      </c>
      <c r="F52" s="184">
        <v>1.0200000000000001E-3</v>
      </c>
      <c r="G52" s="184">
        <v>0</v>
      </c>
      <c r="H52" s="184">
        <v>-3.6000000000000002E-4</v>
      </c>
      <c r="I52" s="184"/>
    </row>
    <row r="53" spans="1:13">
      <c r="A53" s="195" t="s">
        <v>152</v>
      </c>
      <c r="B53" s="164"/>
      <c r="C53" s="184">
        <v>-1.4300000000000001E-3</v>
      </c>
      <c r="D53" s="184"/>
      <c r="E53" s="184">
        <v>2.7299999999999998E-3</v>
      </c>
      <c r="F53" s="184">
        <v>1.0200000000000001E-3</v>
      </c>
      <c r="G53" s="184">
        <v>0</v>
      </c>
      <c r="H53" s="184">
        <v>-3.6000000000000002E-4</v>
      </c>
      <c r="I53" s="184">
        <v>-5.1000000000000004E-4</v>
      </c>
    </row>
    <row r="54" spans="1:13">
      <c r="A54" s="195" t="s">
        <v>153</v>
      </c>
      <c r="B54" s="164"/>
      <c r="C54" s="184"/>
      <c r="D54" s="184"/>
      <c r="E54" s="184">
        <v>1.72E-3</v>
      </c>
      <c r="F54" s="184">
        <v>6.4000000000000005E-4</v>
      </c>
      <c r="G54" s="184">
        <v>0</v>
      </c>
      <c r="H54" s="184">
        <v>-3.4000000000000002E-4</v>
      </c>
      <c r="I54" s="184"/>
    </row>
    <row r="55" spans="1:13">
      <c r="A55" s="195" t="s">
        <v>204</v>
      </c>
      <c r="B55" s="164"/>
      <c r="C55" s="184"/>
      <c r="D55" s="184"/>
      <c r="E55" s="184">
        <v>1.72E-3</v>
      </c>
      <c r="F55" s="184">
        <v>0</v>
      </c>
      <c r="G55" s="184">
        <v>0</v>
      </c>
      <c r="H55" s="184">
        <v>-3.4000000000000002E-4</v>
      </c>
      <c r="I55" s="184"/>
    </row>
    <row r="56" spans="1:13">
      <c r="A56" s="195" t="s">
        <v>205</v>
      </c>
      <c r="B56" s="164"/>
      <c r="C56" s="184">
        <v>-1.4300000000000001E-3</v>
      </c>
      <c r="D56" s="184"/>
      <c r="E56" s="184">
        <v>2.6099999999999999E-3</v>
      </c>
      <c r="F56" s="184">
        <v>8.8999999999999995E-4</v>
      </c>
      <c r="G56" s="184">
        <v>0</v>
      </c>
      <c r="H56" s="184">
        <v>-4.2000000000000002E-4</v>
      </c>
      <c r="I56" s="184"/>
    </row>
    <row r="57" spans="1:13">
      <c r="A57" s="195" t="s">
        <v>154</v>
      </c>
      <c r="B57" s="164"/>
      <c r="C57" s="184">
        <v>-1.4300000000000001E-3</v>
      </c>
      <c r="D57" s="184"/>
      <c r="E57" s="184">
        <v>2.6099999999999999E-3</v>
      </c>
      <c r="F57" s="184">
        <v>8.8999999999999995E-4</v>
      </c>
      <c r="G57" s="184">
        <v>0</v>
      </c>
      <c r="H57" s="184">
        <v>-4.2000000000000002E-4</v>
      </c>
      <c r="I57" s="184"/>
    </row>
    <row r="58" spans="1:13">
      <c r="A58" s="195" t="s">
        <v>155</v>
      </c>
      <c r="B58" s="164"/>
      <c r="C58" s="184">
        <v>-1.4300000000000001E-3</v>
      </c>
      <c r="D58" s="184"/>
      <c r="E58" s="184">
        <v>2.6099999999999999E-3</v>
      </c>
      <c r="F58" s="184">
        <v>8.8999999999999995E-4</v>
      </c>
      <c r="G58" s="184">
        <v>0</v>
      </c>
      <c r="H58" s="184">
        <v>-4.2000000000000002E-4</v>
      </c>
      <c r="I58" s="184">
        <v>-5.1000000000000004E-4</v>
      </c>
    </row>
    <row r="59" spans="1:13" ht="14.4" customHeight="1">
      <c r="A59" s="195" t="s">
        <v>217</v>
      </c>
      <c r="B59" s="164"/>
      <c r="C59" s="184"/>
      <c r="D59" s="184"/>
      <c r="E59" s="202">
        <v>8.6199999999999992E-3</v>
      </c>
      <c r="F59" s="255" t="s">
        <v>235</v>
      </c>
      <c r="G59" s="184">
        <v>0</v>
      </c>
      <c r="H59" s="199">
        <v>-3.6999999999999999E-4</v>
      </c>
      <c r="I59" s="255"/>
    </row>
    <row r="60" spans="1:13">
      <c r="A60" s="195" t="s">
        <v>208</v>
      </c>
      <c r="B60" s="164"/>
      <c r="C60" s="184"/>
      <c r="D60" s="184"/>
      <c r="E60" s="202">
        <v>8.6199999999999992E-3</v>
      </c>
      <c r="F60" s="255"/>
      <c r="G60" s="184">
        <v>0</v>
      </c>
      <c r="H60" s="199">
        <v>-3.6999999999999999E-4</v>
      </c>
      <c r="I60" s="255"/>
    </row>
    <row r="61" spans="1:13">
      <c r="E61" s="164"/>
    </row>
    <row r="62" spans="1:13" ht="40.200000000000003">
      <c r="A62" s="193" t="s">
        <v>227</v>
      </c>
      <c r="B62" s="166"/>
      <c r="C62" s="186" t="s">
        <v>234</v>
      </c>
      <c r="D62" s="186" t="s">
        <v>239</v>
      </c>
      <c r="E62" s="186" t="s">
        <v>228</v>
      </c>
      <c r="F62" s="186" t="s">
        <v>229</v>
      </c>
      <c r="G62" s="186" t="s">
        <v>230</v>
      </c>
      <c r="H62" s="186" t="s">
        <v>231</v>
      </c>
      <c r="I62" s="186" t="s">
        <v>232</v>
      </c>
      <c r="J62" s="186" t="s">
        <v>233</v>
      </c>
      <c r="M62" s="206"/>
    </row>
    <row r="63" spans="1:13">
      <c r="A63" s="195" t="s">
        <v>148</v>
      </c>
      <c r="C63" s="180">
        <f>I48*H4</f>
        <v>-1106.6872500000002</v>
      </c>
      <c r="D63" s="180">
        <f t="shared" ref="D63:I68" si="11">$H4*C48</f>
        <v>5707.0342499999997</v>
      </c>
      <c r="E63" s="180">
        <f t="shared" si="11"/>
        <v>0</v>
      </c>
      <c r="F63" s="180">
        <f t="shared" si="11"/>
        <v>5685.3344999999999</v>
      </c>
      <c r="G63" s="180">
        <f t="shared" si="11"/>
        <v>2104.8757500000002</v>
      </c>
      <c r="H63" s="180">
        <f t="shared" si="11"/>
        <v>0</v>
      </c>
      <c r="I63" s="180">
        <f t="shared" si="11"/>
        <v>-759.49125000000004</v>
      </c>
      <c r="J63" s="180">
        <f>SUM(C63:I63)</f>
        <v>11631.065999999999</v>
      </c>
      <c r="M63" s="180"/>
    </row>
    <row r="64" spans="1:13">
      <c r="A64" s="195" t="s">
        <v>203</v>
      </c>
      <c r="C64" s="180">
        <f>(I49*H5)</f>
        <v>-23.718570000000003</v>
      </c>
      <c r="D64" s="180">
        <f t="shared" si="11"/>
        <v>122.31341</v>
      </c>
      <c r="E64" s="180">
        <f t="shared" si="11"/>
        <v>-1466.36571</v>
      </c>
      <c r="F64" s="180">
        <f t="shared" si="11"/>
        <v>121.84833999999999</v>
      </c>
      <c r="G64" s="180">
        <f t="shared" si="11"/>
        <v>45.111789999999999</v>
      </c>
      <c r="H64" s="180">
        <f t="shared" si="11"/>
        <v>0</v>
      </c>
      <c r="I64" s="180">
        <f t="shared" si="11"/>
        <v>-16.277449999999998</v>
      </c>
      <c r="J64" s="180">
        <f t="shared" ref="J64:J73" si="12">SUM(C64:I64)</f>
        <v>-1217.0881900000002</v>
      </c>
      <c r="M64" s="180"/>
    </row>
    <row r="65" spans="1:13">
      <c r="A65" s="195" t="s">
        <v>149</v>
      </c>
      <c r="C65" s="180">
        <f>I50*H6</f>
        <v>0</v>
      </c>
      <c r="D65" s="180">
        <f t="shared" si="11"/>
        <v>4511.2210000000005</v>
      </c>
      <c r="E65" s="180">
        <f t="shared" si="11"/>
        <v>0</v>
      </c>
      <c r="F65" s="180">
        <f t="shared" si="11"/>
        <v>-11420.013999999999</v>
      </c>
      <c r="G65" s="180">
        <f t="shared" si="11"/>
        <v>-4448.1270000000004</v>
      </c>
      <c r="H65" s="180">
        <f t="shared" si="11"/>
        <v>0</v>
      </c>
      <c r="I65" s="180">
        <f t="shared" si="11"/>
        <v>1135.692</v>
      </c>
      <c r="J65" s="180">
        <f t="shared" si="12"/>
        <v>-10221.227999999999</v>
      </c>
      <c r="M65" s="180"/>
    </row>
    <row r="66" spans="1:13">
      <c r="A66" s="195" t="s">
        <v>150</v>
      </c>
      <c r="C66" s="180">
        <f>(I51*H7)</f>
        <v>-86.80098000000001</v>
      </c>
      <c r="D66" s="180">
        <f t="shared" si="11"/>
        <v>-243.38314</v>
      </c>
      <c r="E66" s="180">
        <f t="shared" si="11"/>
        <v>0</v>
      </c>
      <c r="F66" s="180">
        <f t="shared" si="11"/>
        <v>616.11676</v>
      </c>
      <c r="G66" s="180">
        <f t="shared" si="11"/>
        <v>239.97918000000001</v>
      </c>
      <c r="H66" s="180">
        <f t="shared" si="11"/>
        <v>0</v>
      </c>
      <c r="I66" s="180">
        <f t="shared" si="11"/>
        <v>-61.271280000000004</v>
      </c>
      <c r="J66" s="180">
        <f t="shared" si="12"/>
        <v>464.64054000000004</v>
      </c>
      <c r="M66" s="180"/>
    </row>
    <row r="67" spans="1:13">
      <c r="A67" s="195" t="s">
        <v>151</v>
      </c>
      <c r="C67" s="180">
        <f>I52*H8</f>
        <v>0</v>
      </c>
      <c r="D67" s="180">
        <f t="shared" si="11"/>
        <v>23643.325420000001</v>
      </c>
      <c r="E67" s="180">
        <f t="shared" si="11"/>
        <v>0</v>
      </c>
      <c r="F67" s="180">
        <f t="shared" si="11"/>
        <v>-45137.257619999997</v>
      </c>
      <c r="G67" s="180">
        <f t="shared" si="11"/>
        <v>-16864.469880000001</v>
      </c>
      <c r="H67" s="180">
        <f t="shared" si="11"/>
        <v>0</v>
      </c>
      <c r="I67" s="180">
        <f t="shared" si="11"/>
        <v>5952.1658400000006</v>
      </c>
      <c r="J67" s="180">
        <f t="shared" si="12"/>
        <v>-32406.236239999998</v>
      </c>
      <c r="M67" s="180"/>
    </row>
    <row r="68" spans="1:13">
      <c r="A68" s="195" t="s">
        <v>152</v>
      </c>
      <c r="C68" s="180">
        <f>(I53*H9)</f>
        <v>-133.38948000000002</v>
      </c>
      <c r="D68" s="180">
        <f t="shared" si="11"/>
        <v>-374.01364000000001</v>
      </c>
      <c r="E68" s="180">
        <f t="shared" si="11"/>
        <v>0</v>
      </c>
      <c r="F68" s="180">
        <f t="shared" si="11"/>
        <v>714.02603999999997</v>
      </c>
      <c r="G68" s="180">
        <f t="shared" si="11"/>
        <v>266.77896000000004</v>
      </c>
      <c r="H68" s="180">
        <f t="shared" si="11"/>
        <v>0</v>
      </c>
      <c r="I68" s="180">
        <f t="shared" si="11"/>
        <v>-94.15728</v>
      </c>
      <c r="J68" s="180">
        <f t="shared" si="12"/>
        <v>379.24459999999993</v>
      </c>
      <c r="M68" s="180"/>
    </row>
    <row r="69" spans="1:13">
      <c r="A69" s="195" t="s">
        <v>153</v>
      </c>
      <c r="C69" s="180">
        <f>I54*H10</f>
        <v>0</v>
      </c>
      <c r="D69" s="180">
        <f>$H10*C54</f>
        <v>0</v>
      </c>
      <c r="E69" s="180">
        <f>$H10*D54+$H11*D55</f>
        <v>0</v>
      </c>
      <c r="F69" s="180">
        <f>$H10*E54+$H11*E55</f>
        <v>-7866.7657199999994</v>
      </c>
      <c r="G69" s="180">
        <f>$H10*F54+$H11*F55</f>
        <v>-2927.1686400000003</v>
      </c>
      <c r="H69" s="180">
        <f>$H10*G54+$H11*G55</f>
        <v>0</v>
      </c>
      <c r="I69" s="180">
        <f>$H10*H54+$H11*H55</f>
        <v>1555.05834</v>
      </c>
      <c r="J69" s="180">
        <f t="shared" si="12"/>
        <v>-9238.8760199999997</v>
      </c>
      <c r="M69" s="180"/>
    </row>
    <row r="70" spans="1:13">
      <c r="A70" s="195" t="s">
        <v>205</v>
      </c>
      <c r="C70" s="180">
        <f>(I55*H11)</f>
        <v>0</v>
      </c>
      <c r="D70" s="180">
        <f>$H11*C55</f>
        <v>0</v>
      </c>
      <c r="E70" s="180">
        <f t="shared" ref="E70:I72" si="13">$H12*D56</f>
        <v>0</v>
      </c>
      <c r="F70" s="180">
        <f t="shared" si="13"/>
        <v>0</v>
      </c>
      <c r="G70" s="180">
        <f t="shared" si="13"/>
        <v>0</v>
      </c>
      <c r="H70" s="180">
        <f t="shared" si="13"/>
        <v>0</v>
      </c>
      <c r="I70" s="180">
        <f t="shared" si="13"/>
        <v>0</v>
      </c>
      <c r="J70" s="180">
        <f t="shared" si="12"/>
        <v>0</v>
      </c>
      <c r="M70" s="180"/>
    </row>
    <row r="71" spans="1:13">
      <c r="A71" s="195" t="s">
        <v>154</v>
      </c>
      <c r="C71" s="180">
        <f>I56*H12</f>
        <v>0</v>
      </c>
      <c r="D71" s="180">
        <f>$H12*C56</f>
        <v>0</v>
      </c>
      <c r="E71" s="180">
        <f t="shared" si="13"/>
        <v>0</v>
      </c>
      <c r="F71" s="180">
        <f t="shared" si="13"/>
        <v>-1197.3479399999999</v>
      </c>
      <c r="G71" s="180">
        <f t="shared" si="13"/>
        <v>-408.29105999999996</v>
      </c>
      <c r="H71" s="180">
        <f t="shared" si="13"/>
        <v>0</v>
      </c>
      <c r="I71" s="180">
        <f t="shared" si="13"/>
        <v>192.67668</v>
      </c>
      <c r="J71" s="180">
        <f t="shared" si="12"/>
        <v>-1412.9623199999999</v>
      </c>
      <c r="M71" s="180"/>
    </row>
    <row r="72" spans="1:13">
      <c r="A72" s="195" t="s">
        <v>155</v>
      </c>
      <c r="C72" s="180">
        <f>(I57*H13)</f>
        <v>0</v>
      </c>
      <c r="D72" s="180">
        <f>$H13*C57</f>
        <v>656.01822000000004</v>
      </c>
      <c r="E72" s="180">
        <f t="shared" si="13"/>
        <v>0</v>
      </c>
      <c r="F72" s="180">
        <f t="shared" si="13"/>
        <v>-30.28905</v>
      </c>
      <c r="G72" s="180">
        <f t="shared" si="13"/>
        <v>-10.32845</v>
      </c>
      <c r="H72" s="180">
        <f t="shared" si="13"/>
        <v>0</v>
      </c>
      <c r="I72" s="180">
        <f t="shared" si="13"/>
        <v>4.8741000000000003</v>
      </c>
      <c r="J72" s="180">
        <f t="shared" si="12"/>
        <v>620.27482000000009</v>
      </c>
      <c r="M72" s="180"/>
    </row>
    <row r="73" spans="1:13">
      <c r="A73" s="195" t="s">
        <v>217</v>
      </c>
      <c r="C73" s="180">
        <f>I58*H14</f>
        <v>5.9185500000000006</v>
      </c>
      <c r="D73" s="180">
        <f>$H14*C58</f>
        <v>16.59515</v>
      </c>
      <c r="E73" s="180">
        <f>($H15+$H16+$H17)*D59</f>
        <v>0</v>
      </c>
      <c r="F73" s="180">
        <f>($H15+$H16+$H17)*E59</f>
        <v>0</v>
      </c>
      <c r="G73" s="180">
        <v>0</v>
      </c>
      <c r="H73" s="198">
        <v>0</v>
      </c>
      <c r="I73" s="198">
        <v>0</v>
      </c>
      <c r="J73" s="180">
        <f t="shared" si="12"/>
        <v>22.5137</v>
      </c>
      <c r="M73" s="180"/>
    </row>
    <row r="74" spans="1:13">
      <c r="A74" s="169"/>
      <c r="C74" s="194">
        <f>SUM(C63:C73)</f>
        <v>-1344.6777300000001</v>
      </c>
      <c r="D74" s="194">
        <f>SUM(D63:D73)</f>
        <v>34039.110670000002</v>
      </c>
      <c r="E74" s="194">
        <f t="shared" ref="E74:J74" si="14">SUM(E63:E73)</f>
        <v>-1466.36571</v>
      </c>
      <c r="F74" s="194">
        <f t="shared" si="14"/>
        <v>-58514.348689999999</v>
      </c>
      <c r="G74" s="194">
        <f t="shared" si="14"/>
        <v>-22001.639350000001</v>
      </c>
      <c r="H74" s="194">
        <f t="shared" si="14"/>
        <v>0</v>
      </c>
      <c r="I74" s="194">
        <f t="shared" si="14"/>
        <v>7909.2696999999989</v>
      </c>
      <c r="J74" s="194">
        <f t="shared" si="14"/>
        <v>-41378.651109999999</v>
      </c>
    </row>
    <row r="76" spans="1:13">
      <c r="A76" s="164" t="s">
        <v>19</v>
      </c>
      <c r="B76" s="164"/>
      <c r="C76" s="180">
        <f>C63+C64</f>
        <v>-1130.4058200000002</v>
      </c>
      <c r="D76" s="180">
        <f>D63+D64</f>
        <v>5829.3476599999995</v>
      </c>
      <c r="E76" s="180">
        <f t="shared" ref="E76:J76" si="15">E63+E64</f>
        <v>-1466.36571</v>
      </c>
      <c r="F76" s="180">
        <f t="shared" si="15"/>
        <v>5807.1828399999995</v>
      </c>
      <c r="G76" s="180">
        <f t="shared" si="15"/>
        <v>2149.9875400000001</v>
      </c>
      <c r="H76" s="180">
        <f t="shared" si="15"/>
        <v>0</v>
      </c>
      <c r="I76" s="180">
        <f t="shared" si="15"/>
        <v>-775.76870000000008</v>
      </c>
      <c r="J76" s="180">
        <f t="shared" si="15"/>
        <v>10413.977809999998</v>
      </c>
    </row>
    <row r="77" spans="1:13">
      <c r="A77" s="164"/>
      <c r="B77" s="164"/>
      <c r="C77" s="180"/>
      <c r="D77" s="180"/>
      <c r="E77" s="180"/>
      <c r="F77" s="180"/>
      <c r="G77" s="180"/>
      <c r="H77" s="180"/>
      <c r="I77" s="180"/>
      <c r="J77" s="180"/>
    </row>
    <row r="78" spans="1:13">
      <c r="A78" s="164" t="s">
        <v>209</v>
      </c>
      <c r="B78" s="164"/>
      <c r="C78" s="190">
        <f>SUM(C65:C68,C70:C72)</f>
        <v>-220.19046000000003</v>
      </c>
      <c r="D78" s="190">
        <f>SUM(D65:D68,D70:D72)</f>
        <v>28193.167860000001</v>
      </c>
      <c r="E78" s="190">
        <f t="shared" ref="E78:J78" si="16">SUM(E65:E68,E70:E72)</f>
        <v>0</v>
      </c>
      <c r="F78" s="190">
        <f t="shared" si="16"/>
        <v>-56454.765809999997</v>
      </c>
      <c r="G78" s="190">
        <f t="shared" si="16"/>
        <v>-21224.458250000003</v>
      </c>
      <c r="H78" s="190">
        <f t="shared" si="16"/>
        <v>0</v>
      </c>
      <c r="I78" s="190">
        <f t="shared" si="16"/>
        <v>7129.9800599999999</v>
      </c>
      <c r="J78" s="190">
        <f t="shared" si="16"/>
        <v>-42576.266599999995</v>
      </c>
    </row>
  </sheetData>
  <mergeCells count="3">
    <mergeCell ref="A1:I1"/>
    <mergeCell ref="F59:F60"/>
    <mergeCell ref="I59:I60"/>
  </mergeCells>
  <pageMargins left="0.7" right="0.7" top="0.66" bottom="0.64" header="0.3" footer="0.3"/>
  <pageSetup scale="71" fitToHeight="2" orientation="landscape" r:id="rId1"/>
  <headerFooter>
    <oddFooter>&amp;L&amp;F /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E18" sqref="E18"/>
    </sheetView>
  </sheetViews>
  <sheetFormatPr defaultRowHeight="14.4"/>
  <cols>
    <col min="2" max="2" width="3" customWidth="1"/>
    <col min="3" max="3" width="30.6640625" customWidth="1"/>
    <col min="4" max="4" width="3.33203125" customWidth="1"/>
  </cols>
  <sheetData>
    <row r="1" spans="1:5">
      <c r="A1" s="133" t="s">
        <v>178</v>
      </c>
      <c r="B1" s="134"/>
      <c r="C1" s="134"/>
      <c r="D1" s="134"/>
      <c r="E1" s="135"/>
    </row>
    <row r="2" spans="1:5">
      <c r="A2" s="242" t="s">
        <v>179</v>
      </c>
      <c r="B2" s="242"/>
      <c r="C2" s="242"/>
      <c r="D2" s="242"/>
      <c r="E2" s="242"/>
    </row>
    <row r="3" spans="1:5">
      <c r="A3" s="242" t="s">
        <v>180</v>
      </c>
      <c r="B3" s="242"/>
      <c r="C3" s="242"/>
      <c r="D3" s="242"/>
      <c r="E3" s="242"/>
    </row>
    <row r="4" spans="1:5" ht="15.6">
      <c r="A4" s="243" t="s">
        <v>181</v>
      </c>
      <c r="B4" s="244"/>
      <c r="C4" s="243"/>
      <c r="D4" s="243"/>
      <c r="E4" s="243"/>
    </row>
    <row r="5" spans="1:5">
      <c r="A5" s="136"/>
      <c r="B5" s="136"/>
      <c r="C5" s="136"/>
      <c r="D5" s="136"/>
      <c r="E5" s="137"/>
    </row>
    <row r="6" spans="1:5">
      <c r="A6" s="138" t="s">
        <v>182</v>
      </c>
      <c r="B6" s="138"/>
      <c r="C6" s="138"/>
      <c r="D6" s="138"/>
      <c r="E6" s="139"/>
    </row>
    <row r="7" spans="1:5">
      <c r="A7" s="140" t="s">
        <v>183</v>
      </c>
      <c r="B7" s="138"/>
      <c r="C7" s="140" t="s">
        <v>184</v>
      </c>
      <c r="D7" s="141"/>
      <c r="E7" s="142" t="s">
        <v>185</v>
      </c>
    </row>
    <row r="8" spans="1:5">
      <c r="A8" s="136"/>
      <c r="B8" s="136"/>
      <c r="C8" s="136"/>
      <c r="D8" s="136"/>
      <c r="E8" s="137"/>
    </row>
    <row r="9" spans="1:5">
      <c r="A9" s="143">
        <v>1</v>
      </c>
      <c r="B9" s="136"/>
      <c r="C9" s="144" t="s">
        <v>70</v>
      </c>
      <c r="D9" s="136"/>
      <c r="E9" s="145">
        <v>1</v>
      </c>
    </row>
    <row r="10" spans="1:5">
      <c r="A10" s="143"/>
      <c r="B10" s="136"/>
      <c r="C10" s="136"/>
      <c r="D10" s="136"/>
      <c r="E10" s="145"/>
    </row>
    <row r="11" spans="1:5">
      <c r="A11" s="143"/>
      <c r="B11" s="136"/>
      <c r="C11" s="146" t="s">
        <v>186</v>
      </c>
      <c r="D11" s="147"/>
      <c r="E11" s="145"/>
    </row>
    <row r="12" spans="1:5">
      <c r="A12" s="143">
        <v>2</v>
      </c>
      <c r="B12" s="136"/>
      <c r="C12" s="147" t="s">
        <v>187</v>
      </c>
      <c r="D12" s="147"/>
      <c r="E12" s="147">
        <v>5.3530000000000001E-3</v>
      </c>
    </row>
    <row r="13" spans="1:5">
      <c r="A13" s="143"/>
      <c r="B13" s="136"/>
      <c r="C13" s="147"/>
      <c r="D13" s="147"/>
      <c r="E13" s="147"/>
    </row>
    <row r="14" spans="1:5">
      <c r="A14" s="143">
        <v>3</v>
      </c>
      <c r="B14" s="136"/>
      <c r="C14" s="147" t="s">
        <v>188</v>
      </c>
      <c r="D14" s="147"/>
      <c r="E14" s="147">
        <v>2E-3</v>
      </c>
    </row>
    <row r="15" spans="1:5">
      <c r="A15" s="143"/>
      <c r="B15" s="136"/>
      <c r="C15" s="147"/>
      <c r="D15" s="147"/>
      <c r="E15" s="147"/>
    </row>
    <row r="16" spans="1:5">
      <c r="A16" s="143">
        <v>4</v>
      </c>
      <c r="B16" s="136"/>
      <c r="C16" s="147" t="s">
        <v>189</v>
      </c>
      <c r="D16" s="147"/>
      <c r="E16" s="147">
        <v>3.8526999999999999E-2</v>
      </c>
    </row>
    <row r="17" spans="1:5">
      <c r="A17" s="143"/>
      <c r="B17" s="136"/>
      <c r="C17" s="147"/>
      <c r="D17" s="147"/>
      <c r="E17" s="147"/>
    </row>
    <row r="18" spans="1:5">
      <c r="A18" s="143">
        <v>5</v>
      </c>
      <c r="B18" s="136"/>
      <c r="C18" s="147" t="s">
        <v>190</v>
      </c>
      <c r="D18" s="147"/>
      <c r="E18" s="148">
        <f>SUM(E12:E16)</f>
        <v>4.5879999999999997E-2</v>
      </c>
    </row>
    <row r="19" spans="1:5">
      <c r="A19" s="143"/>
      <c r="B19" s="136"/>
      <c r="C19" s="147"/>
      <c r="D19" s="147"/>
      <c r="E19" s="149"/>
    </row>
    <row r="20" spans="1:5">
      <c r="A20" s="143">
        <v>6</v>
      </c>
      <c r="B20" s="136"/>
      <c r="C20" s="147" t="s">
        <v>191</v>
      </c>
      <c r="D20" s="147"/>
      <c r="E20" s="149">
        <f>E9-E18</f>
        <v>0.95411999999999997</v>
      </c>
    </row>
    <row r="21" spans="1:5">
      <c r="A21" s="136"/>
      <c r="B21" s="136"/>
      <c r="C21" s="147"/>
      <c r="D21" s="147"/>
      <c r="E21" s="149"/>
    </row>
    <row r="22" spans="1:5">
      <c r="A22" s="143">
        <v>7</v>
      </c>
      <c r="B22" s="136"/>
      <c r="C22" s="147" t="s">
        <v>192</v>
      </c>
      <c r="D22" s="150"/>
      <c r="E22" s="151">
        <f>ROUND(E20*0.35,6)</f>
        <v>0.33394200000000002</v>
      </c>
    </row>
    <row r="23" spans="1:5">
      <c r="A23" s="136"/>
      <c r="B23" s="136"/>
      <c r="C23" s="147"/>
      <c r="D23" s="147"/>
      <c r="E23" s="149"/>
    </row>
    <row r="24" spans="1:5" ht="15" thickBot="1">
      <c r="A24" s="143">
        <v>8</v>
      </c>
      <c r="B24" s="136"/>
      <c r="C24" s="146" t="s">
        <v>193</v>
      </c>
      <c r="D24" s="147"/>
      <c r="E24" s="152">
        <f>ROUND(E20-E22,5)</f>
        <v>0.62017999999999995</v>
      </c>
    </row>
    <row r="25" spans="1:5" ht="15" thickTop="1"/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38"/>
  <sheetViews>
    <sheetView tabSelected="1" workbookViewId="0">
      <selection activeCell="E9" sqref="E9"/>
    </sheetView>
  </sheetViews>
  <sheetFormatPr defaultColWidth="9.109375" defaultRowHeight="15.6"/>
  <cols>
    <col min="1" max="1" width="5.33203125" style="3" customWidth="1"/>
    <col min="2" max="2" width="9.109375" style="2"/>
    <col min="3" max="3" width="22.5546875" style="2" customWidth="1"/>
    <col min="4" max="4" width="17.33203125" style="2" customWidth="1"/>
    <col min="5" max="5" width="17.6640625" style="2" customWidth="1"/>
    <col min="6" max="6" width="16.88671875" style="2" customWidth="1"/>
    <col min="7" max="7" width="17.6640625" style="2" customWidth="1"/>
    <col min="8" max="8" width="16.33203125" style="2" customWidth="1"/>
    <col min="9" max="10" width="17.33203125" style="2" customWidth="1"/>
    <col min="11" max="11" width="16.5546875" style="2" customWidth="1"/>
    <col min="12" max="16384" width="9.109375" style="2"/>
  </cols>
  <sheetData>
    <row r="1" spans="1:11">
      <c r="A1" s="245" t="s">
        <v>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>
      <c r="A2" s="245" t="s">
        <v>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>
      <c r="A3" s="246" t="s">
        <v>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111" t="s">
        <v>25</v>
      </c>
      <c r="K6" s="9" t="s">
        <v>27</v>
      </c>
    </row>
    <row r="7" spans="1:11">
      <c r="A7" s="7"/>
      <c r="B7" s="8"/>
      <c r="C7" s="8"/>
      <c r="D7" s="8"/>
      <c r="E7" s="112" t="s">
        <v>28</v>
      </c>
      <c r="F7" s="112" t="s">
        <v>29</v>
      </c>
      <c r="G7" s="112" t="s">
        <v>30</v>
      </c>
      <c r="H7" s="112" t="s">
        <v>31</v>
      </c>
      <c r="I7" s="112" t="s">
        <v>33</v>
      </c>
      <c r="J7" s="113" t="s">
        <v>32</v>
      </c>
      <c r="K7" s="112" t="s">
        <v>34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114"/>
      <c r="K8" s="115"/>
    </row>
    <row r="9" spans="1:11">
      <c r="A9" s="7">
        <v>1</v>
      </c>
      <c r="B9" s="8" t="s">
        <v>163</v>
      </c>
      <c r="C9" s="8"/>
      <c r="D9" s="8"/>
      <c r="E9" s="10">
        <f>SUM(F9:K9)</f>
        <v>499982000</v>
      </c>
      <c r="F9" s="55">
        <v>214841000</v>
      </c>
      <c r="G9" s="55">
        <v>71304000</v>
      </c>
      <c r="H9" s="55">
        <v>130152000</v>
      </c>
      <c r="I9" s="55">
        <v>11471000</v>
      </c>
      <c r="J9" s="116">
        <v>65194000</v>
      </c>
      <c r="K9" s="117">
        <v>7020000</v>
      </c>
    </row>
    <row r="10" spans="1:11">
      <c r="A10" s="7">
        <v>2</v>
      </c>
      <c r="B10" s="8" t="s">
        <v>164</v>
      </c>
      <c r="C10" s="8"/>
      <c r="D10" s="8"/>
      <c r="E10" s="10">
        <f>SUM(F10:K10)</f>
        <v>-8110000</v>
      </c>
      <c r="F10" s="55">
        <v>-3478000</v>
      </c>
      <c r="G10" s="55">
        <v>-1159000</v>
      </c>
      <c r="H10" s="55">
        <v>-2118000</v>
      </c>
      <c r="I10" s="55">
        <v>-187000</v>
      </c>
      <c r="J10" s="116">
        <v>-1056000</v>
      </c>
      <c r="K10" s="117">
        <v>-112000</v>
      </c>
    </row>
    <row r="11" spans="1:11">
      <c r="A11" s="7">
        <v>3</v>
      </c>
      <c r="B11" s="8" t="s">
        <v>165</v>
      </c>
      <c r="C11" s="8"/>
      <c r="D11" s="8"/>
      <c r="E11" s="10">
        <f>SUM(F11:K11)</f>
        <v>491872000</v>
      </c>
      <c r="F11" s="10">
        <f t="shared" ref="F11:K11" si="0">F9+F10</f>
        <v>211363000</v>
      </c>
      <c r="G11" s="10">
        <f t="shared" si="0"/>
        <v>70145000</v>
      </c>
      <c r="H11" s="10">
        <f t="shared" si="0"/>
        <v>128034000</v>
      </c>
      <c r="I11" s="10">
        <f t="shared" si="0"/>
        <v>11284000</v>
      </c>
      <c r="J11" s="118">
        <f>J9+J10</f>
        <v>64138000</v>
      </c>
      <c r="K11" s="119">
        <f t="shared" si="0"/>
        <v>6908000</v>
      </c>
    </row>
    <row r="12" spans="1:11">
      <c r="A12" s="7"/>
      <c r="B12" s="8"/>
      <c r="C12" s="8"/>
      <c r="D12" s="8"/>
      <c r="E12" s="10"/>
      <c r="F12" s="10"/>
      <c r="G12" s="10"/>
      <c r="H12" s="10"/>
      <c r="I12" s="10"/>
      <c r="J12" s="118"/>
      <c r="K12" s="119"/>
    </row>
    <row r="13" spans="1:11">
      <c r="A13" s="7">
        <v>4</v>
      </c>
      <c r="B13" s="8" t="s">
        <v>80</v>
      </c>
      <c r="C13" s="8"/>
      <c r="D13" s="8"/>
      <c r="E13" s="11">
        <f>SUM(F13:K13)</f>
        <v>5653834483</v>
      </c>
      <c r="F13" s="12">
        <v>2378478031</v>
      </c>
      <c r="G13" s="12">
        <v>588401236</v>
      </c>
      <c r="H13" s="12">
        <v>1419228271</v>
      </c>
      <c r="I13" s="12">
        <v>137227044</v>
      </c>
      <c r="J13" s="120">
        <v>1105372136</v>
      </c>
      <c r="K13" s="121">
        <v>25127765</v>
      </c>
    </row>
    <row r="14" spans="1:11">
      <c r="A14" s="7">
        <v>5</v>
      </c>
      <c r="B14" s="8" t="s">
        <v>166</v>
      </c>
      <c r="C14" s="8"/>
      <c r="D14" s="13"/>
      <c r="E14" s="13">
        <f t="shared" ref="E14:K14" si="1">$E$27</f>
        <v>1.6410000000000001E-2</v>
      </c>
      <c r="F14" s="13">
        <f t="shared" si="1"/>
        <v>1.6410000000000001E-2</v>
      </c>
      <c r="G14" s="13">
        <f t="shared" si="1"/>
        <v>1.6410000000000001E-2</v>
      </c>
      <c r="H14" s="13">
        <f t="shared" si="1"/>
        <v>1.6410000000000001E-2</v>
      </c>
      <c r="I14" s="13">
        <f t="shared" si="1"/>
        <v>1.6410000000000001E-2</v>
      </c>
      <c r="J14" s="122">
        <f t="shared" si="1"/>
        <v>1.6410000000000001E-2</v>
      </c>
      <c r="K14" s="123">
        <f t="shared" si="1"/>
        <v>1.6410000000000001E-2</v>
      </c>
    </row>
    <row r="15" spans="1:11">
      <c r="A15" s="7">
        <v>6</v>
      </c>
      <c r="B15" s="8" t="s">
        <v>59</v>
      </c>
      <c r="C15" s="8"/>
      <c r="D15" s="13"/>
      <c r="E15" s="10">
        <f>SUM(F15:K15)</f>
        <v>92779423.866030008</v>
      </c>
      <c r="F15" s="10">
        <f>F14*F13</f>
        <v>39030824.488710001</v>
      </c>
      <c r="G15" s="10">
        <f t="shared" ref="G15:K15" si="2">G14*G13</f>
        <v>9655664.2827599999</v>
      </c>
      <c r="H15" s="10">
        <f t="shared" si="2"/>
        <v>23289535.927110001</v>
      </c>
      <c r="I15" s="10">
        <f t="shared" si="2"/>
        <v>2251895.7920400002</v>
      </c>
      <c r="J15" s="118">
        <f>J14*J13</f>
        <v>18139156.751760002</v>
      </c>
      <c r="K15" s="119">
        <f t="shared" si="2"/>
        <v>412346.62365000002</v>
      </c>
    </row>
    <row r="16" spans="1:11">
      <c r="A16" s="7"/>
      <c r="B16" s="8"/>
      <c r="C16" s="8"/>
      <c r="D16" s="8"/>
      <c r="E16" s="10"/>
      <c r="F16" s="10"/>
      <c r="G16" s="10"/>
      <c r="H16" s="10"/>
      <c r="I16" s="10"/>
      <c r="J16" s="118"/>
      <c r="K16" s="119"/>
    </row>
    <row r="17" spans="1:11">
      <c r="A17" s="7">
        <v>7</v>
      </c>
      <c r="B17" s="8" t="s">
        <v>62</v>
      </c>
      <c r="C17" s="8"/>
      <c r="D17" s="8"/>
      <c r="E17" s="10">
        <f>SUM(F17:K17)</f>
        <v>346598079.50938004</v>
      </c>
      <c r="F17" s="14">
        <f t="shared" ref="F17:I17" si="3">F11-F15</f>
        <v>172332175.51129001</v>
      </c>
      <c r="G17" s="14">
        <f t="shared" si="3"/>
        <v>60489335.717239998</v>
      </c>
      <c r="H17" s="14">
        <f t="shared" si="3"/>
        <v>104744464.07289</v>
      </c>
      <c r="I17" s="14">
        <f t="shared" si="3"/>
        <v>9032104.2079600003</v>
      </c>
      <c r="J17" s="114"/>
      <c r="K17" s="115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114"/>
      <c r="K18" s="115"/>
    </row>
    <row r="19" spans="1:11">
      <c r="A19" s="7">
        <v>8</v>
      </c>
      <c r="B19" s="8" t="s">
        <v>81</v>
      </c>
      <c r="C19" s="8"/>
      <c r="D19" s="8"/>
      <c r="E19" s="11">
        <f>SUM(F19:K19)</f>
        <v>2879945</v>
      </c>
      <c r="F19" s="15">
        <v>2462067</v>
      </c>
      <c r="G19" s="15">
        <v>364552</v>
      </c>
      <c r="H19" s="15">
        <v>24110</v>
      </c>
      <c r="I19" s="15">
        <v>29216</v>
      </c>
      <c r="J19" s="114"/>
      <c r="K19" s="115"/>
    </row>
    <row r="20" spans="1:11">
      <c r="A20" s="7">
        <v>9</v>
      </c>
      <c r="B20" s="8" t="s">
        <v>167</v>
      </c>
      <c r="C20" s="8"/>
      <c r="D20" s="8"/>
      <c r="E20" s="10"/>
      <c r="F20" s="54">
        <v>8.5</v>
      </c>
      <c r="G20" s="54">
        <v>18</v>
      </c>
      <c r="H20" s="54">
        <v>500</v>
      </c>
      <c r="I20" s="54">
        <v>18</v>
      </c>
      <c r="J20" s="114"/>
      <c r="K20" s="115"/>
    </row>
    <row r="21" spans="1:11">
      <c r="A21" s="7">
        <v>10</v>
      </c>
      <c r="B21" s="8" t="s">
        <v>60</v>
      </c>
      <c r="C21" s="8"/>
      <c r="D21" s="8"/>
      <c r="E21" s="10">
        <f>SUM(F21:K21)</f>
        <v>40070393.5</v>
      </c>
      <c r="F21" s="16">
        <f>F20*F19</f>
        <v>20927569.5</v>
      </c>
      <c r="G21" s="16">
        <f>G20*G19</f>
        <v>6561936</v>
      </c>
      <c r="H21" s="16">
        <f>H20*H19</f>
        <v>12055000</v>
      </c>
      <c r="I21" s="16">
        <f>I20*I19</f>
        <v>525888</v>
      </c>
      <c r="J21" s="114"/>
      <c r="K21" s="115"/>
    </row>
    <row r="22" spans="1:11">
      <c r="A22" s="7"/>
      <c r="B22" s="8"/>
      <c r="C22" s="8"/>
      <c r="D22" s="8"/>
      <c r="E22" s="10"/>
      <c r="F22" s="16"/>
      <c r="G22" s="16"/>
      <c r="H22" s="16"/>
      <c r="I22" s="16"/>
      <c r="J22" s="247" t="s">
        <v>79</v>
      </c>
      <c r="K22" s="248"/>
    </row>
    <row r="23" spans="1:11">
      <c r="A23" s="7">
        <v>11</v>
      </c>
      <c r="B23" s="8" t="s">
        <v>61</v>
      </c>
      <c r="C23" s="8"/>
      <c r="D23" s="8"/>
      <c r="E23" s="10">
        <f>SUM(F23:K23)</f>
        <v>306527686.00938004</v>
      </c>
      <c r="F23" s="14">
        <f>F17-F21</f>
        <v>151404606.01129001</v>
      </c>
      <c r="G23" s="14">
        <f>G17-G21</f>
        <v>53927399.717239998</v>
      </c>
      <c r="H23" s="14">
        <f>H17-H21</f>
        <v>92689464.072889999</v>
      </c>
      <c r="I23" s="14">
        <f>I17-I21</f>
        <v>8506216.2079600003</v>
      </c>
      <c r="J23" s="247"/>
      <c r="K23" s="248"/>
    </row>
    <row r="24" spans="1:11">
      <c r="A24" s="7"/>
      <c r="B24" s="8"/>
      <c r="C24" s="8"/>
      <c r="D24" s="8"/>
      <c r="E24" s="8"/>
      <c r="F24" s="11"/>
      <c r="G24" s="8"/>
      <c r="H24" s="8"/>
      <c r="I24" s="8"/>
      <c r="J24" s="8"/>
      <c r="K24" s="8"/>
    </row>
    <row r="25" spans="1:11">
      <c r="A25" s="7">
        <v>12</v>
      </c>
      <c r="B25" s="8" t="s">
        <v>168</v>
      </c>
      <c r="C25" s="8"/>
      <c r="D25" s="8"/>
      <c r="E25" s="124">
        <v>1.566E-2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56</v>
      </c>
      <c r="C26" s="8"/>
      <c r="D26" s="8"/>
      <c r="E26" s="18">
        <f>1/'Conversion Factor'!E20</f>
        <v>1.0480861946086446</v>
      </c>
      <c r="F26" s="19"/>
      <c r="G26" s="8"/>
      <c r="H26" s="19"/>
      <c r="I26" s="8"/>
      <c r="J26" s="8"/>
      <c r="K26" s="8"/>
    </row>
    <row r="27" spans="1:11">
      <c r="A27" s="7">
        <v>14</v>
      </c>
      <c r="B27" s="8" t="s">
        <v>169</v>
      </c>
      <c r="C27" s="8"/>
      <c r="D27" s="8"/>
      <c r="E27" s="17">
        <f>ROUND(E25*E26,5)</f>
        <v>1.6410000000000001E-2</v>
      </c>
      <c r="F27" s="19"/>
      <c r="G27" s="8"/>
      <c r="H27" s="19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58</v>
      </c>
      <c r="H29" s="6"/>
    </row>
    <row r="30" spans="1:11">
      <c r="A30" s="3">
        <v>15</v>
      </c>
      <c r="B30" s="2" t="s">
        <v>66</v>
      </c>
      <c r="F30" s="47">
        <f>ROUND(F19/12,0)</f>
        <v>205172</v>
      </c>
      <c r="G30" s="47">
        <f>ROUND((G19+H19+I19)/12,0)</f>
        <v>34823</v>
      </c>
    </row>
    <row r="31" spans="1:11">
      <c r="A31" s="3">
        <v>16</v>
      </c>
      <c r="B31" s="2" t="s">
        <v>65</v>
      </c>
      <c r="F31" s="48">
        <f>F13</f>
        <v>2378478031</v>
      </c>
      <c r="G31" s="48">
        <f>G13+H13+I13</f>
        <v>2144856551</v>
      </c>
    </row>
    <row r="32" spans="1:11">
      <c r="A32" s="3">
        <v>17</v>
      </c>
      <c r="B32" s="2" t="s">
        <v>63</v>
      </c>
      <c r="F32" s="48">
        <f>F21</f>
        <v>20927569.5</v>
      </c>
      <c r="G32" s="48">
        <f>G21+H21+I21</f>
        <v>19142824</v>
      </c>
    </row>
    <row r="33" spans="1:9">
      <c r="A33" s="3">
        <v>18</v>
      </c>
      <c r="B33" s="2" t="s">
        <v>35</v>
      </c>
      <c r="F33" s="5">
        <f>F19</f>
        <v>2462067</v>
      </c>
      <c r="G33" s="5">
        <f>G19+H19+I19</f>
        <v>417878</v>
      </c>
    </row>
    <row r="34" spans="1:9">
      <c r="A34" s="3">
        <v>19</v>
      </c>
      <c r="B34" s="2" t="s">
        <v>64</v>
      </c>
      <c r="F34" s="49">
        <f>F32/F33</f>
        <v>8.5</v>
      </c>
      <c r="G34" s="49">
        <f>G32/G33</f>
        <v>45.809599931080363</v>
      </c>
    </row>
    <row r="35" spans="1:9">
      <c r="G35" s="46"/>
      <c r="H35" s="4"/>
    </row>
    <row r="36" spans="1:9">
      <c r="D36" s="2" t="s">
        <v>170</v>
      </c>
    </row>
    <row r="37" spans="1:9">
      <c r="D37" s="2" t="s">
        <v>171</v>
      </c>
      <c r="F37" s="125">
        <f>F23/F13</f>
        <v>6.3656087648467335E-2</v>
      </c>
      <c r="G37" s="125">
        <f t="shared" ref="G37:I37" si="4">G23/G13</f>
        <v>9.1650724739878009E-2</v>
      </c>
      <c r="H37" s="125">
        <f t="shared" si="4"/>
        <v>6.5309764445137655E-2</v>
      </c>
      <c r="I37" s="125">
        <f t="shared" si="4"/>
        <v>6.1986442030770555E-2</v>
      </c>
    </row>
    <row r="38" spans="1:9">
      <c r="D38" s="2" t="s">
        <v>172</v>
      </c>
      <c r="F38" s="126">
        <f>F37+F14</f>
        <v>8.0066087648467343E-2</v>
      </c>
      <c r="G38" s="126">
        <f t="shared" ref="G38:I38" si="5">G37+G14</f>
        <v>0.10806072473987802</v>
      </c>
      <c r="H38" s="126">
        <f t="shared" si="5"/>
        <v>8.1719764445137649E-2</v>
      </c>
      <c r="I38" s="126">
        <f t="shared" si="5"/>
        <v>7.8396442030770563E-2</v>
      </c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3" footer="0.61"/>
  <pageSetup scale="71" orientation="landscape" r:id="rId1"/>
  <headerFooter scaleWithDoc="0">
    <oddHeader>&amp;CUE-150204 Final Decoupling Base</oddHeader>
    <oddFooter>&amp;C&amp;12
&amp;R&amp;12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F22"/>
  <sheetViews>
    <sheetView workbookViewId="0"/>
  </sheetViews>
  <sheetFormatPr defaultColWidth="9.109375" defaultRowHeight="15.6"/>
  <cols>
    <col min="1" max="1" width="6" style="2" customWidth="1"/>
    <col min="2" max="2" width="38" style="2" customWidth="1"/>
    <col min="3" max="3" width="19.33203125" style="2" customWidth="1"/>
    <col min="4" max="4" width="16.88671875" style="2" bestFit="1" customWidth="1"/>
    <col min="5" max="5" width="16.33203125" style="2" customWidth="1"/>
    <col min="6" max="6" width="13.6640625" style="2" bestFit="1" customWidth="1"/>
    <col min="7" max="16384" width="9.109375" style="2"/>
  </cols>
  <sheetData>
    <row r="2" spans="1:6">
      <c r="A2" s="245" t="s">
        <v>20</v>
      </c>
      <c r="B2" s="245"/>
      <c r="C2" s="245"/>
      <c r="D2" s="245"/>
      <c r="E2" s="245"/>
    </row>
    <row r="3" spans="1:6">
      <c r="A3" s="245" t="s">
        <v>53</v>
      </c>
      <c r="B3" s="245"/>
      <c r="C3" s="245"/>
      <c r="D3" s="245"/>
      <c r="E3" s="245"/>
    </row>
    <row r="4" spans="1:6">
      <c r="A4" s="246" t="s">
        <v>74</v>
      </c>
      <c r="B4" s="246"/>
      <c r="C4" s="246"/>
      <c r="D4" s="246"/>
      <c r="E4" s="246"/>
    </row>
    <row r="5" spans="1:6">
      <c r="A5" s="24"/>
      <c r="B5" s="24"/>
      <c r="C5" s="24"/>
      <c r="D5" s="24"/>
      <c r="E5" s="24"/>
    </row>
    <row r="6" spans="1:6">
      <c r="A6" s="24"/>
      <c r="B6" s="24"/>
      <c r="C6" s="24"/>
      <c r="D6" s="24"/>
      <c r="E6" s="24"/>
    </row>
    <row r="7" spans="1:6" ht="46.8">
      <c r="A7" s="127" t="s">
        <v>17</v>
      </c>
      <c r="B7" s="128"/>
      <c r="C7" s="127" t="s">
        <v>16</v>
      </c>
      <c r="D7" s="127" t="s">
        <v>19</v>
      </c>
      <c r="E7" s="127" t="s">
        <v>18</v>
      </c>
    </row>
    <row r="8" spans="1:6">
      <c r="A8" s="24"/>
      <c r="B8" s="25" t="s">
        <v>14</v>
      </c>
      <c r="C8" s="25" t="s">
        <v>13</v>
      </c>
      <c r="D8" s="25" t="s">
        <v>12</v>
      </c>
      <c r="E8" s="25" t="s">
        <v>11</v>
      </c>
    </row>
    <row r="9" spans="1:6" ht="16.2">
      <c r="A9" s="25"/>
      <c r="B9" s="26"/>
      <c r="C9" s="25"/>
      <c r="D9" s="25"/>
      <c r="E9" s="25"/>
    </row>
    <row r="10" spans="1:6" ht="17.25" customHeight="1">
      <c r="A10" s="25">
        <v>1</v>
      </c>
      <c r="B10" s="24" t="s">
        <v>68</v>
      </c>
      <c r="C10" s="25" t="s">
        <v>173</v>
      </c>
      <c r="D10" s="27">
        <f>'Attachment 4, Page 1'!F23</f>
        <v>151404606.01129001</v>
      </c>
      <c r="E10" s="27">
        <f>SUM('Attachment 4, Page 1'!G23:I23)</f>
        <v>155123079.99809</v>
      </c>
      <c r="F10" s="4"/>
    </row>
    <row r="11" spans="1:6" ht="17.25" customHeight="1">
      <c r="A11" s="25"/>
      <c r="B11" s="24"/>
      <c r="C11" s="24"/>
      <c r="D11" s="24"/>
      <c r="E11" s="24"/>
    </row>
    <row r="12" spans="1:6" ht="17.25" customHeight="1">
      <c r="A12" s="25">
        <v>2</v>
      </c>
      <c r="B12" s="24" t="s">
        <v>82</v>
      </c>
      <c r="C12" s="25" t="s">
        <v>57</v>
      </c>
      <c r="D12" s="28">
        <f>'Attachment 4, Page 1'!F19/12</f>
        <v>205172.25</v>
      </c>
      <c r="E12" s="28">
        <f>SUM('Attachment 4, Page 1'!G19:I19)/12</f>
        <v>34823.166666666664</v>
      </c>
    </row>
    <row r="13" spans="1:6" ht="17.25" customHeight="1">
      <c r="A13" s="25"/>
      <c r="B13" s="24"/>
      <c r="C13" s="24"/>
      <c r="D13" s="28"/>
      <c r="E13" s="28"/>
    </row>
    <row r="14" spans="1:6" ht="17.25" customHeight="1">
      <c r="A14" s="25">
        <v>3</v>
      </c>
      <c r="B14" s="24" t="s">
        <v>69</v>
      </c>
      <c r="C14" s="25" t="str">
        <f>"("&amp;A10&amp;") / ("&amp;A12&amp;")"</f>
        <v>(1) / (2)</v>
      </c>
      <c r="D14" s="29">
        <f>ROUND(D10/D12,2)</f>
        <v>737.94</v>
      </c>
      <c r="E14" s="29">
        <f>ROUND(E10/E12,2)</f>
        <v>4454.59</v>
      </c>
    </row>
    <row r="15" spans="1:6" ht="17.25" customHeight="1">
      <c r="A15" s="25"/>
      <c r="B15" s="24"/>
      <c r="C15" s="24"/>
      <c r="D15" s="30"/>
      <c r="E15" s="30"/>
    </row>
    <row r="16" spans="1:6" ht="17.25" customHeight="1">
      <c r="A16" s="25"/>
      <c r="B16" s="31" t="s">
        <v>52</v>
      </c>
      <c r="C16" s="24"/>
      <c r="D16" s="24"/>
      <c r="E16" s="24"/>
    </row>
    <row r="18" spans="2:5">
      <c r="B18" s="52" t="s">
        <v>70</v>
      </c>
    </row>
    <row r="19" spans="2:5">
      <c r="B19" s="52" t="s">
        <v>71</v>
      </c>
      <c r="D19" s="27">
        <f>D12*D14</f>
        <v>151404810.16500002</v>
      </c>
      <c r="E19" s="27">
        <f>E12*E14</f>
        <v>155122930.00166667</v>
      </c>
    </row>
    <row r="20" spans="2:5">
      <c r="B20" s="52" t="s">
        <v>73</v>
      </c>
      <c r="D20" s="27">
        <f>'Attachment 4, Page 1'!F32</f>
        <v>20927569.5</v>
      </c>
      <c r="E20" s="27">
        <f>'Attachment 4, Page 1'!G32</f>
        <v>19142824</v>
      </c>
    </row>
    <row r="21" spans="2:5">
      <c r="B21" s="52" t="s">
        <v>72</v>
      </c>
      <c r="D21" s="27">
        <f>'Attachment 4, Page 1'!F15</f>
        <v>39030824.488710001</v>
      </c>
      <c r="E21" s="27">
        <f>'Attachment 4, Page 1'!H15+'Attachment 4, Page 1'!I15</f>
        <v>25541431.719150003</v>
      </c>
    </row>
    <row r="22" spans="2:5">
      <c r="B22" s="52" t="s">
        <v>15</v>
      </c>
      <c r="D22" s="53">
        <f>SUM(D19:D21)</f>
        <v>211363204.15371001</v>
      </c>
      <c r="E22" s="53">
        <f>SUM(E19:E21)</f>
        <v>199807185.72081667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3" footer="0.6"/>
  <pageSetup orientation="landscape" r:id="rId1"/>
  <headerFooter scaleWithDoc="0">
    <oddHeader>&amp;CUE-150204 Final Decoupling Base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5"/>
  <sheetViews>
    <sheetView workbookViewId="0">
      <selection activeCell="I27" sqref="I27"/>
    </sheetView>
  </sheetViews>
  <sheetFormatPr defaultColWidth="9.109375" defaultRowHeight="13.8"/>
  <cols>
    <col min="1" max="1" width="5.6640625" style="1" customWidth="1"/>
    <col min="2" max="2" width="26.33203125" style="1" customWidth="1"/>
    <col min="3" max="3" width="16.88671875" style="1" customWidth="1"/>
    <col min="4" max="4" width="12.5546875" style="1" customWidth="1"/>
    <col min="5" max="5" width="12.6640625" style="1" customWidth="1"/>
    <col min="6" max="6" width="12.5546875" style="1" customWidth="1"/>
    <col min="7" max="7" width="12.33203125" style="1" customWidth="1"/>
    <col min="8" max="9" width="12.5546875" style="1" customWidth="1"/>
    <col min="10" max="10" width="12.33203125" style="1" customWidth="1"/>
    <col min="11" max="11" width="12.6640625" style="1" customWidth="1"/>
    <col min="12" max="12" width="12.5546875" style="1" customWidth="1"/>
    <col min="13" max="13" width="12.33203125" style="1" customWidth="1"/>
    <col min="14" max="14" width="12.109375" style="1" customWidth="1"/>
    <col min="15" max="15" width="12.33203125" style="1" customWidth="1"/>
    <col min="16" max="16" width="13.88671875" style="1" customWidth="1"/>
    <col min="17" max="16384" width="9.109375" style="1"/>
  </cols>
  <sheetData>
    <row r="1" spans="1:16" ht="17.399999999999999">
      <c r="A1" s="249" t="s">
        <v>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7.399999999999999">
      <c r="A2" s="249" t="str">
        <f>'Attachment 4, Page 2'!A3:E3</f>
        <v xml:space="preserve"> Electric Decoupling Mechanism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7.399999999999999">
      <c r="A3" s="250" t="s">
        <v>76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5.6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30.6" customHeight="1">
      <c r="A5" s="129" t="s">
        <v>17</v>
      </c>
      <c r="B5" s="130"/>
      <c r="C5" s="131" t="s">
        <v>16</v>
      </c>
      <c r="D5" s="132" t="s">
        <v>36</v>
      </c>
      <c r="E5" s="132" t="s">
        <v>37</v>
      </c>
      <c r="F5" s="132" t="s">
        <v>38</v>
      </c>
      <c r="G5" s="132" t="s">
        <v>39</v>
      </c>
      <c r="H5" s="132" t="s">
        <v>40</v>
      </c>
      <c r="I5" s="132" t="s">
        <v>41</v>
      </c>
      <c r="J5" s="132" t="s">
        <v>42</v>
      </c>
      <c r="K5" s="132" t="s">
        <v>43</v>
      </c>
      <c r="L5" s="132" t="s">
        <v>44</v>
      </c>
      <c r="M5" s="132" t="s">
        <v>45</v>
      </c>
      <c r="N5" s="132" t="s">
        <v>46</v>
      </c>
      <c r="O5" s="132" t="s">
        <v>47</v>
      </c>
      <c r="P5" s="129" t="s">
        <v>28</v>
      </c>
    </row>
    <row r="6" spans="1:16">
      <c r="A6" s="20"/>
      <c r="B6" s="21" t="s">
        <v>14</v>
      </c>
      <c r="C6" s="21" t="s">
        <v>13</v>
      </c>
      <c r="D6" s="21" t="s">
        <v>12</v>
      </c>
      <c r="E6" s="21" t="s">
        <v>11</v>
      </c>
      <c r="F6" s="21" t="s">
        <v>10</v>
      </c>
      <c r="G6" s="21" t="s">
        <v>9</v>
      </c>
      <c r="H6" s="21" t="s">
        <v>8</v>
      </c>
      <c r="I6" s="21" t="s">
        <v>7</v>
      </c>
      <c r="J6" s="21" t="s">
        <v>6</v>
      </c>
      <c r="K6" s="21" t="s">
        <v>5</v>
      </c>
      <c r="L6" s="21" t="s">
        <v>4</v>
      </c>
      <c r="M6" s="21" t="s">
        <v>3</v>
      </c>
      <c r="N6" s="21" t="s">
        <v>2</v>
      </c>
      <c r="O6" s="21" t="s">
        <v>1</v>
      </c>
      <c r="P6" s="21" t="s">
        <v>0</v>
      </c>
    </row>
    <row r="7" spans="1:16">
      <c r="A7" s="21">
        <v>1</v>
      </c>
      <c r="B7" s="32" t="s">
        <v>48</v>
      </c>
      <c r="C7" s="21"/>
      <c r="D7" s="20"/>
      <c r="E7" s="20"/>
      <c r="F7" s="20"/>
      <c r="G7" s="20"/>
      <c r="H7" s="22"/>
      <c r="I7" s="22"/>
      <c r="J7" s="20"/>
      <c r="K7" s="20"/>
      <c r="L7" s="20"/>
      <c r="M7" s="20"/>
      <c r="N7" s="20"/>
      <c r="O7" s="20"/>
      <c r="P7" s="33"/>
    </row>
    <row r="8" spans="1:16">
      <c r="A8" s="21">
        <f t="shared" ref="A8:A27" si="0">A7+1</f>
        <v>2</v>
      </c>
      <c r="B8" s="34" t="s">
        <v>19</v>
      </c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3"/>
    </row>
    <row r="9" spans="1:16">
      <c r="A9" s="21">
        <f t="shared" si="0"/>
        <v>3</v>
      </c>
      <c r="B9" s="23" t="s">
        <v>49</v>
      </c>
      <c r="C9" s="21" t="s">
        <v>78</v>
      </c>
      <c r="D9" s="45">
        <f>'TY Normalized Usage by Month'!D50</f>
        <v>284675925</v>
      </c>
      <c r="E9" s="45">
        <f>'TY Normalized Usage by Month'!E50</f>
        <v>232597855</v>
      </c>
      <c r="F9" s="45">
        <f>'TY Normalized Usage by Month'!F50</f>
        <v>228752581</v>
      </c>
      <c r="G9" s="45">
        <f>'TY Normalized Usage by Month'!G50</f>
        <v>172322869</v>
      </c>
      <c r="H9" s="45">
        <f>'TY Normalized Usage by Month'!H50</f>
        <v>166632549</v>
      </c>
      <c r="I9" s="45">
        <f>'TY Normalized Usage by Month'!I50</f>
        <v>148170954</v>
      </c>
      <c r="J9" s="45">
        <f>'TY Normalized Usage by Month'!J50</f>
        <v>153360033</v>
      </c>
      <c r="K9" s="45">
        <f>'TY Normalized Usage by Month'!K50</f>
        <v>181322317</v>
      </c>
      <c r="L9" s="45">
        <f>'TY Normalized Usage by Month'!L50</f>
        <v>146560541</v>
      </c>
      <c r="M9" s="45">
        <f>'TY Normalized Usage by Month'!M50</f>
        <v>174054557</v>
      </c>
      <c r="N9" s="45">
        <f>'TY Normalized Usage by Month'!N50</f>
        <v>212665464</v>
      </c>
      <c r="O9" s="45">
        <f>'TY Normalized Usage by Month'!O50</f>
        <v>277362386</v>
      </c>
      <c r="P9" s="35">
        <f>SUM(D9:O9)</f>
        <v>2378478031</v>
      </c>
    </row>
    <row r="10" spans="1:16">
      <c r="A10" s="21">
        <f t="shared" si="0"/>
        <v>4</v>
      </c>
      <c r="B10" s="20" t="s">
        <v>50</v>
      </c>
      <c r="C10" s="36" t="s">
        <v>54</v>
      </c>
      <c r="D10" s="37">
        <f t="shared" ref="D10:O10" si="1">D9/$P9</f>
        <v>0.11968827178122463</v>
      </c>
      <c r="E10" s="37">
        <f t="shared" si="1"/>
        <v>9.7792727941324431E-2</v>
      </c>
      <c r="F10" s="37">
        <f t="shared" si="1"/>
        <v>9.6176032748061149E-2</v>
      </c>
      <c r="G10" s="37">
        <f t="shared" si="1"/>
        <v>7.2450897907831047E-2</v>
      </c>
      <c r="H10" s="37">
        <f t="shared" si="1"/>
        <v>7.0058477239725234E-2</v>
      </c>
      <c r="I10" s="37">
        <f t="shared" si="1"/>
        <v>6.2296540926091069E-2</v>
      </c>
      <c r="J10" s="37">
        <f t="shared" si="1"/>
        <v>6.4478221367267274E-2</v>
      </c>
      <c r="K10" s="37">
        <f t="shared" si="1"/>
        <v>7.6234598191249808E-2</v>
      </c>
      <c r="L10" s="37">
        <f t="shared" si="1"/>
        <v>6.1619463829304548E-2</v>
      </c>
      <c r="M10" s="37">
        <f t="shared" si="1"/>
        <v>7.3178963493230595E-2</v>
      </c>
      <c r="N10" s="37">
        <f t="shared" si="1"/>
        <v>8.9412414673675833E-2</v>
      </c>
      <c r="O10" s="37">
        <f t="shared" si="1"/>
        <v>0.1166133899010144</v>
      </c>
      <c r="P10" s="37">
        <f>SUM(D10:O10)</f>
        <v>1</v>
      </c>
    </row>
    <row r="11" spans="1:16">
      <c r="A11" s="21"/>
      <c r="B11" s="20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>
      <c r="A12" s="21">
        <v>5</v>
      </c>
      <c r="B12" s="34" t="s"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>
      <c r="A13" s="21">
        <v>6</v>
      </c>
      <c r="B13" s="23" t="s">
        <v>49</v>
      </c>
      <c r="C13" s="21" t="s">
        <v>78</v>
      </c>
      <c r="D13" s="45">
        <f>'TY Normalized Usage by Month'!D53</f>
        <v>174546983</v>
      </c>
      <c r="E13" s="45">
        <f>'TY Normalized Usage by Month'!E53</f>
        <v>177500854</v>
      </c>
      <c r="F13" s="45">
        <f>'TY Normalized Usage by Month'!F53</f>
        <v>166289029</v>
      </c>
      <c r="G13" s="45">
        <f>'TY Normalized Usage by Month'!G53</f>
        <v>165417455</v>
      </c>
      <c r="H13" s="45">
        <f>'TY Normalized Usage by Month'!H53</f>
        <v>178108889</v>
      </c>
      <c r="I13" s="45">
        <f>'TY Normalized Usage by Month'!I53</f>
        <v>185503197</v>
      </c>
      <c r="J13" s="45">
        <f>'TY Normalized Usage by Month'!J53</f>
        <v>200737081</v>
      </c>
      <c r="K13" s="45">
        <f>'TY Normalized Usage by Month'!K53</f>
        <v>187588012</v>
      </c>
      <c r="L13" s="45">
        <f>'TY Normalized Usage by Month'!L53</f>
        <v>179420897</v>
      </c>
      <c r="M13" s="45">
        <f>'TY Normalized Usage by Month'!M53</f>
        <v>183203251</v>
      </c>
      <c r="N13" s="45">
        <f>'TY Normalized Usage by Month'!N53</f>
        <v>168530619</v>
      </c>
      <c r="O13" s="45">
        <f>'TY Normalized Usage by Month'!O53</f>
        <v>178010284</v>
      </c>
      <c r="P13" s="35">
        <f>SUM(D13:O13)</f>
        <v>2144856551</v>
      </c>
    </row>
    <row r="14" spans="1:16">
      <c r="A14" s="21">
        <v>7</v>
      </c>
      <c r="B14" s="20" t="s">
        <v>50</v>
      </c>
      <c r="C14" s="36" t="s">
        <v>54</v>
      </c>
      <c r="D14" s="40">
        <f t="shared" ref="D14:O14" si="2">D13/$P13</f>
        <v>8.1379327171609991E-2</v>
      </c>
      <c r="E14" s="40">
        <f t="shared" si="2"/>
        <v>8.2756515309727122E-2</v>
      </c>
      <c r="F14" s="40">
        <f t="shared" si="2"/>
        <v>7.7529207686393195E-2</v>
      </c>
      <c r="G14" s="40">
        <f t="shared" si="2"/>
        <v>7.7122852305846354E-2</v>
      </c>
      <c r="H14" s="40">
        <f t="shared" si="2"/>
        <v>8.3040000468544151E-2</v>
      </c>
      <c r="I14" s="40">
        <f t="shared" si="2"/>
        <v>8.6487460857702828E-2</v>
      </c>
      <c r="J14" s="40">
        <f t="shared" si="2"/>
        <v>9.3589979668528431E-2</v>
      </c>
      <c r="K14" s="40">
        <f t="shared" si="2"/>
        <v>8.7459467586557496E-2</v>
      </c>
      <c r="L14" s="40">
        <f t="shared" si="2"/>
        <v>8.3651700117822941E-2</v>
      </c>
      <c r="M14" s="40">
        <f t="shared" si="2"/>
        <v>8.5415153248633274E-2</v>
      </c>
      <c r="N14" s="40">
        <f t="shared" si="2"/>
        <v>7.8574307881534411E-2</v>
      </c>
      <c r="O14" s="40">
        <f t="shared" si="2"/>
        <v>8.299402769709982E-2</v>
      </c>
      <c r="P14" s="40">
        <f>SUM(D14:O14)</f>
        <v>1</v>
      </c>
    </row>
    <row r="15" spans="1:16">
      <c r="A15" s="21"/>
      <c r="B15" s="2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>
      <c r="A16" s="21"/>
      <c r="B16" s="34"/>
      <c r="C16" s="2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3"/>
    </row>
    <row r="17" spans="1:16">
      <c r="A17" s="21"/>
      <c r="B17" s="23"/>
      <c r="C17" s="2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5"/>
    </row>
    <row r="18" spans="1:16">
      <c r="A18" s="21"/>
      <c r="B18" s="20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21"/>
      <c r="B19" s="20"/>
      <c r="C19" s="21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>
      <c r="A20" s="21">
        <v>8</v>
      </c>
      <c r="B20" s="32" t="s">
        <v>75</v>
      </c>
      <c r="C20" s="21"/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1">
        <f t="shared" si="0"/>
        <v>9</v>
      </c>
      <c r="B21" s="34" t="s">
        <v>19</v>
      </c>
      <c r="C21" s="21"/>
      <c r="D21" s="4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>
      <c r="A22" s="21">
        <f t="shared" si="0"/>
        <v>10</v>
      </c>
      <c r="B22" s="20" t="s">
        <v>174</v>
      </c>
      <c r="C22" s="21" t="s">
        <v>175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2">
        <f>'Attachment 4, Page 2'!D14</f>
        <v>737.94</v>
      </c>
    </row>
    <row r="23" spans="1:16">
      <c r="A23" s="21">
        <f t="shared" si="0"/>
        <v>11</v>
      </c>
      <c r="B23" s="20" t="s">
        <v>176</v>
      </c>
      <c r="C23" s="21" t="str">
        <f>"("&amp;A$10&amp;") x ("&amp;A22&amp;")"</f>
        <v>(4) x (10)</v>
      </c>
      <c r="D23" s="43">
        <f t="shared" ref="D23:O23" si="3">$P22*D$10</f>
        <v>88.322763278236906</v>
      </c>
      <c r="E23" s="43">
        <f t="shared" si="3"/>
        <v>72.16516565702095</v>
      </c>
      <c r="F23" s="43">
        <f t="shared" si="3"/>
        <v>70.972141606104245</v>
      </c>
      <c r="G23" s="43">
        <f t="shared" si="3"/>
        <v>53.464415602104843</v>
      </c>
      <c r="H23" s="43">
        <f t="shared" si="3"/>
        <v>51.698952694282845</v>
      </c>
      <c r="I23" s="43">
        <f t="shared" si="3"/>
        <v>45.971109410999645</v>
      </c>
      <c r="J23" s="43">
        <f t="shared" si="3"/>
        <v>47.581058675761213</v>
      </c>
      <c r="K23" s="43">
        <f t="shared" si="3"/>
        <v>56.256559389250889</v>
      </c>
      <c r="L23" s="43">
        <f t="shared" si="3"/>
        <v>45.471467138196999</v>
      </c>
      <c r="M23" s="43">
        <f t="shared" si="3"/>
        <v>54.001684320194592</v>
      </c>
      <c r="N23" s="43">
        <f t="shared" si="3"/>
        <v>65.980997284292343</v>
      </c>
      <c r="O23" s="43">
        <f t="shared" si="3"/>
        <v>86.053684943554572</v>
      </c>
      <c r="P23" s="42">
        <f>SUM(D23:O23)</f>
        <v>737.94</v>
      </c>
    </row>
    <row r="24" spans="1:16">
      <c r="A24" s="21"/>
      <c r="B24" s="20"/>
      <c r="C24" s="2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2"/>
    </row>
    <row r="25" spans="1:16">
      <c r="A25" s="21">
        <f>A23+1</f>
        <v>12</v>
      </c>
      <c r="B25" s="34" t="s">
        <v>51</v>
      </c>
      <c r="C25" s="4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2"/>
    </row>
    <row r="26" spans="1:16">
      <c r="A26" s="21">
        <f t="shared" si="0"/>
        <v>13</v>
      </c>
      <c r="B26" s="20" t="s">
        <v>174</v>
      </c>
      <c r="C26" s="21" t="s">
        <v>175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2">
        <f>'Attachment 4, Page 2'!E14</f>
        <v>4454.59</v>
      </c>
    </row>
    <row r="27" spans="1:16">
      <c r="A27" s="21">
        <f t="shared" si="0"/>
        <v>14</v>
      </c>
      <c r="B27" s="20" t="s">
        <v>176</v>
      </c>
      <c r="C27" s="21" t="str">
        <f>"("&amp;A$14&amp;") x ("&amp;A26&amp;")"</f>
        <v>(7) x (13)</v>
      </c>
      <c r="D27" s="43">
        <f t="shared" ref="D27:O27" si="4">$P26*D$14</f>
        <v>362.51153702538215</v>
      </c>
      <c r="E27" s="43">
        <f t="shared" si="4"/>
        <v>368.64634553355734</v>
      </c>
      <c r="F27" s="43">
        <f t="shared" si="4"/>
        <v>345.3608332677303</v>
      </c>
      <c r="G27" s="43">
        <f t="shared" si="4"/>
        <v>343.55068665310012</v>
      </c>
      <c r="H27" s="43">
        <f t="shared" si="4"/>
        <v>369.90915568717207</v>
      </c>
      <c r="I27" s="43">
        <f t="shared" si="4"/>
        <v>385.26617826211447</v>
      </c>
      <c r="J27" s="43">
        <f t="shared" si="4"/>
        <v>416.90498753163007</v>
      </c>
      <c r="K27" s="43">
        <f t="shared" si="4"/>
        <v>389.59606971640318</v>
      </c>
      <c r="L27" s="43">
        <f t="shared" si="4"/>
        <v>372.63402682785289</v>
      </c>
      <c r="M27" s="43">
        <f t="shared" si="4"/>
        <v>380.4894875098293</v>
      </c>
      <c r="N27" s="43">
        <f t="shared" si="4"/>
        <v>350.01632614600436</v>
      </c>
      <c r="O27" s="43">
        <f t="shared" si="4"/>
        <v>369.7043658392239</v>
      </c>
      <c r="P27" s="42">
        <f>SUM(D27:O27)</f>
        <v>4454.59</v>
      </c>
    </row>
    <row r="28" spans="1:16">
      <c r="A28" s="21"/>
      <c r="B28" s="20"/>
      <c r="C28" s="21"/>
      <c r="D28" s="43"/>
      <c r="E28" s="43"/>
      <c r="F28" s="43"/>
      <c r="G28" s="43"/>
      <c r="I28" s="43"/>
      <c r="J28" s="43"/>
      <c r="K28" s="43"/>
      <c r="L28" s="43"/>
      <c r="M28" s="43"/>
      <c r="N28" s="43"/>
      <c r="O28" s="43"/>
      <c r="P28" s="42"/>
    </row>
    <row r="29" spans="1:16">
      <c r="A29" s="21"/>
      <c r="B29" s="34"/>
      <c r="C29" s="44"/>
      <c r="D29" s="20"/>
      <c r="E29" s="20"/>
      <c r="F29" s="20"/>
      <c r="G29" s="20"/>
      <c r="H29" s="20"/>
      <c r="I29" s="43"/>
      <c r="J29" s="20"/>
      <c r="K29" s="43"/>
      <c r="L29" s="20"/>
      <c r="M29" s="20"/>
      <c r="N29" s="20"/>
      <c r="O29" s="20"/>
      <c r="P29" s="42"/>
    </row>
    <row r="30" spans="1:16">
      <c r="A30" s="21"/>
      <c r="B30" s="20"/>
      <c r="C30" s="21"/>
      <c r="D30" s="20"/>
      <c r="E30" s="20"/>
      <c r="F30" s="20"/>
      <c r="G30" s="20"/>
      <c r="H30" s="20"/>
      <c r="I30" s="43"/>
      <c r="J30" s="20"/>
      <c r="K30" s="43"/>
      <c r="L30" s="20"/>
      <c r="M30" s="20"/>
      <c r="N30" s="20"/>
      <c r="O30" s="20"/>
      <c r="P30" s="42"/>
    </row>
    <row r="31" spans="1:16">
      <c r="A31" s="21"/>
      <c r="B31" s="20"/>
      <c r="C31" s="2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</row>
    <row r="32" spans="1:16">
      <c r="A32" s="21"/>
      <c r="B32" s="20"/>
      <c r="C32" s="44"/>
      <c r="D32" s="21"/>
      <c r="E32" s="21"/>
      <c r="F32" s="21"/>
      <c r="G32" s="21"/>
      <c r="H32" s="20"/>
      <c r="I32" s="43"/>
      <c r="J32" s="20"/>
      <c r="K32" s="43"/>
      <c r="L32" s="20"/>
      <c r="M32" s="20"/>
      <c r="N32" s="20"/>
      <c r="O32" s="20"/>
      <c r="P32" s="42"/>
    </row>
    <row r="33" spans="1:16">
      <c r="A33" s="21"/>
      <c r="B33" s="23" t="s">
        <v>55</v>
      </c>
      <c r="C33" s="21"/>
      <c r="D33" s="21"/>
      <c r="E33" s="21"/>
      <c r="F33" s="21"/>
      <c r="G33" s="21"/>
      <c r="H33" s="20"/>
      <c r="I33" s="43"/>
      <c r="J33" s="20"/>
      <c r="K33" s="43"/>
      <c r="L33" s="20"/>
      <c r="M33" s="20"/>
      <c r="N33" s="20"/>
      <c r="O33" s="20"/>
      <c r="P33" s="20"/>
    </row>
    <row r="34" spans="1:16">
      <c r="I34" s="43"/>
    </row>
    <row r="35" spans="1:16">
      <c r="H35" s="43"/>
    </row>
  </sheetData>
  <mergeCells count="4">
    <mergeCell ref="A1:P1"/>
    <mergeCell ref="A2:P2"/>
    <mergeCell ref="A3:P3"/>
    <mergeCell ref="A4:P4"/>
  </mergeCells>
  <pageMargins left="0.6" right="0.6" top="1.07" bottom="0.84099999999999997" header="0.3" footer="0.6"/>
  <pageSetup scale="58" orientation="landscape" r:id="rId1"/>
  <headerFooter scaleWithDoc="0">
    <oddHeader>&amp;CUE-150204 Final Decoupling Base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09375" defaultRowHeight="14.4"/>
  <cols>
    <col min="1" max="16384" width="9.109375" style="203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71"/>
  <sheetViews>
    <sheetView topLeftCell="A41" workbookViewId="0">
      <selection activeCell="M55" sqref="M55"/>
    </sheetView>
  </sheetViews>
  <sheetFormatPr defaultRowHeight="14.4"/>
  <cols>
    <col min="2" max="2" width="30.6640625" customWidth="1"/>
    <col min="3" max="3" width="13.5546875" customWidth="1"/>
    <col min="4" max="14" width="15" customWidth="1"/>
    <col min="15" max="15" width="14.5546875" customWidth="1"/>
    <col min="16" max="16" width="13.5546875" customWidth="1"/>
    <col min="17" max="17" width="13.44140625" hidden="1" customWidth="1"/>
    <col min="18" max="18" width="11.33203125" hidden="1" customWidth="1"/>
  </cols>
  <sheetData>
    <row r="1" spans="1:18" ht="15.6">
      <c r="A1" s="251" t="s">
        <v>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0"/>
      <c r="Q1" s="58"/>
      <c r="R1" s="58"/>
    </row>
    <row r="2" spans="1:18" ht="15.6">
      <c r="A2" s="251" t="s">
        <v>194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0"/>
      <c r="Q2" s="58"/>
      <c r="R2" s="58"/>
    </row>
    <row r="3" spans="1:18" ht="15.6">
      <c r="A3" s="252" t="s">
        <v>240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0"/>
      <c r="Q3" s="58"/>
      <c r="R3" s="58"/>
    </row>
    <row r="4" spans="1:18" ht="15.6" hidden="1">
      <c r="A4" s="59"/>
      <c r="B4" s="60"/>
      <c r="C4" s="60"/>
      <c r="D4" s="61" t="str">
        <f>TEXT(D7,"YYYYMM")</f>
        <v>201701</v>
      </c>
      <c r="E4" s="61">
        <f>D4+1</f>
        <v>201702</v>
      </c>
      <c r="F4" s="61">
        <f t="shared" ref="F4:O4" si="0">E4+1</f>
        <v>201703</v>
      </c>
      <c r="G4" s="61">
        <f t="shared" si="0"/>
        <v>201704</v>
      </c>
      <c r="H4" s="61">
        <f t="shared" si="0"/>
        <v>201705</v>
      </c>
      <c r="I4" s="61">
        <f t="shared" si="0"/>
        <v>201706</v>
      </c>
      <c r="J4" s="61">
        <f t="shared" si="0"/>
        <v>201707</v>
      </c>
      <c r="K4" s="61">
        <f t="shared" si="0"/>
        <v>201708</v>
      </c>
      <c r="L4" s="61">
        <f t="shared" si="0"/>
        <v>201709</v>
      </c>
      <c r="M4" s="61">
        <f t="shared" si="0"/>
        <v>201710</v>
      </c>
      <c r="N4" s="61">
        <f t="shared" si="0"/>
        <v>201711</v>
      </c>
      <c r="O4" s="61">
        <f t="shared" si="0"/>
        <v>201712</v>
      </c>
      <c r="P4" s="20"/>
      <c r="Q4" s="58"/>
      <c r="R4" s="58"/>
    </row>
    <row r="5" spans="1:18">
      <c r="A5" s="2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0"/>
      <c r="Q5" s="58"/>
      <c r="R5" s="58"/>
    </row>
    <row r="6" spans="1:18">
      <c r="A6" s="20"/>
      <c r="B6" s="20"/>
      <c r="C6" s="20"/>
      <c r="D6" s="10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8"/>
      <c r="R6" s="58"/>
    </row>
    <row r="7" spans="1:18">
      <c r="A7" s="64" t="s">
        <v>17</v>
      </c>
      <c r="B7" s="65"/>
      <c r="C7" s="66" t="s">
        <v>16</v>
      </c>
      <c r="D7" s="110">
        <v>42736</v>
      </c>
      <c r="E7" s="67">
        <f>EDATE(D7,1)</f>
        <v>42767</v>
      </c>
      <c r="F7" s="67">
        <f t="shared" ref="F7:O7" si="1">EDATE(E7,1)</f>
        <v>42795</v>
      </c>
      <c r="G7" s="67">
        <f t="shared" si="1"/>
        <v>42826</v>
      </c>
      <c r="H7" s="67">
        <f t="shared" si="1"/>
        <v>42856</v>
      </c>
      <c r="I7" s="67">
        <f t="shared" si="1"/>
        <v>42887</v>
      </c>
      <c r="J7" s="67">
        <f t="shared" si="1"/>
        <v>42917</v>
      </c>
      <c r="K7" s="67">
        <f t="shared" si="1"/>
        <v>42948</v>
      </c>
      <c r="L7" s="67">
        <f t="shared" si="1"/>
        <v>42979</v>
      </c>
      <c r="M7" s="67">
        <f t="shared" si="1"/>
        <v>43009</v>
      </c>
      <c r="N7" s="67">
        <f t="shared" si="1"/>
        <v>43040</v>
      </c>
      <c r="O7" s="67">
        <f t="shared" si="1"/>
        <v>43070</v>
      </c>
      <c r="P7" s="67" t="s">
        <v>15</v>
      </c>
      <c r="Q7" s="58"/>
      <c r="R7" s="58"/>
    </row>
    <row r="8" spans="1:18">
      <c r="A8" s="21"/>
      <c r="B8" s="21" t="s">
        <v>14</v>
      </c>
      <c r="C8" s="21" t="s">
        <v>13</v>
      </c>
      <c r="D8" s="21" t="s">
        <v>12</v>
      </c>
      <c r="E8" s="21" t="s">
        <v>11</v>
      </c>
      <c r="F8" s="21" t="s">
        <v>10</v>
      </c>
      <c r="G8" s="21" t="s">
        <v>9</v>
      </c>
      <c r="H8" s="21" t="s">
        <v>8</v>
      </c>
      <c r="I8" s="21" t="s">
        <v>7</v>
      </c>
      <c r="J8" s="21" t="s">
        <v>6</v>
      </c>
      <c r="K8" s="21" t="s">
        <v>5</v>
      </c>
      <c r="L8" s="21" t="s">
        <v>4</v>
      </c>
      <c r="M8" s="21" t="s">
        <v>3</v>
      </c>
      <c r="N8" s="21" t="s">
        <v>2</v>
      </c>
      <c r="O8" s="21" t="s">
        <v>1</v>
      </c>
      <c r="P8" s="21" t="s">
        <v>0</v>
      </c>
      <c r="Q8" s="58"/>
      <c r="R8" s="58"/>
    </row>
    <row r="9" spans="1:18" hidden="1">
      <c r="A9" s="68" t="s">
        <v>120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58"/>
      <c r="R9" s="58"/>
    </row>
    <row r="10" spans="1:18" hidden="1">
      <c r="A10" s="58"/>
      <c r="B10" s="69" t="s">
        <v>121</v>
      </c>
      <c r="C10" s="58" t="s">
        <v>122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58"/>
      <c r="R10" s="58"/>
    </row>
    <row r="11" spans="1:18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8"/>
      <c r="R11" s="58"/>
    </row>
    <row r="12" spans="1:18">
      <c r="A12" s="21"/>
      <c r="B12" s="72" t="s">
        <v>123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58"/>
      <c r="R12" s="58"/>
    </row>
    <row r="13" spans="1:18">
      <c r="A13" s="21">
        <v>1</v>
      </c>
      <c r="B13" s="20" t="s">
        <v>124</v>
      </c>
      <c r="C13" s="21" t="s">
        <v>125</v>
      </c>
      <c r="D13" s="157">
        <f>'Jan Base Rate Revenue'!$C$20</f>
        <v>212134</v>
      </c>
      <c r="E13" s="157">
        <f>'Feb Base Rate Revenue'!$C$20</f>
        <v>212059</v>
      </c>
      <c r="F13" s="157">
        <f>'Mar Base Rate Revenue'!C20</f>
        <v>212618</v>
      </c>
      <c r="G13" s="157">
        <f>'Apr Base Rate Revenue'!C20</f>
        <v>212018</v>
      </c>
      <c r="H13" s="157">
        <f>'May Base Rate Revenue'!C19</f>
        <v>211258</v>
      </c>
      <c r="I13" s="157">
        <f>'June Base Rate Revenue'!C19</f>
        <v>211830</v>
      </c>
      <c r="J13" s="157">
        <f>'July Base Rate Revenue'!C19</f>
        <v>211439</v>
      </c>
      <c r="K13" s="157">
        <f>'August Base Rate Revenue'!$C19</f>
        <v>212411</v>
      </c>
      <c r="L13" s="157">
        <f>'September Base Rate Revenue'!$C19</f>
        <v>212339</v>
      </c>
      <c r="M13" s="157">
        <f>'October Base Rate Revenue'!$C19</f>
        <v>213798</v>
      </c>
      <c r="N13" s="157">
        <f>'November Base Rate Revenue'!$C19</f>
        <v>213856</v>
      </c>
      <c r="O13" s="157">
        <f>'December Base Rate Revenue'!$C19</f>
        <v>214177</v>
      </c>
      <c r="P13" s="105">
        <f>SUM(D13:O13)</f>
        <v>2549937</v>
      </c>
      <c r="Q13" s="73">
        <f>AVERAGE(D13:O13)</f>
        <v>212494.75</v>
      </c>
      <c r="R13" s="253" t="s">
        <v>126</v>
      </c>
    </row>
    <row r="14" spans="1:18" ht="26.4">
      <c r="A14" s="74">
        <f t="shared" ref="A14:A44" si="2">A13+1</f>
        <v>2</v>
      </c>
      <c r="B14" s="153" t="s">
        <v>127</v>
      </c>
      <c r="C14" s="153" t="s">
        <v>196</v>
      </c>
      <c r="D14" s="154">
        <f>'Attachment 4, Page 3'!D23</f>
        <v>88.322763278236906</v>
      </c>
      <c r="E14" s="154">
        <f>'Attachment 4, Page 3'!E23</f>
        <v>72.16516565702095</v>
      </c>
      <c r="F14" s="154">
        <f>'Attachment 4, Page 3'!F23</f>
        <v>70.972141606104245</v>
      </c>
      <c r="G14" s="154">
        <f>'Attachment 4, Page 3'!G23</f>
        <v>53.464415602104843</v>
      </c>
      <c r="H14" s="154">
        <f>'Attachment 4, Page 3'!H23</f>
        <v>51.698952694282845</v>
      </c>
      <c r="I14" s="154">
        <f>'Attachment 4, Page 3'!I23</f>
        <v>45.971109410999645</v>
      </c>
      <c r="J14" s="154">
        <f>'Attachment 4, Page 3'!J23</f>
        <v>47.581058675761213</v>
      </c>
      <c r="K14" s="154">
        <f>'Attachment 4, Page 3'!K23</f>
        <v>56.256559389250889</v>
      </c>
      <c r="L14" s="154">
        <f>'Attachment 4, Page 3'!L23</f>
        <v>45.471467138196999</v>
      </c>
      <c r="M14" s="154">
        <f>'Attachment 4, Page 3'!M23</f>
        <v>54.001684320194592</v>
      </c>
      <c r="N14" s="154">
        <f>'Attachment 4, Page 3'!N23</f>
        <v>65.980997284292343</v>
      </c>
      <c r="O14" s="154">
        <f>'Attachment 4, Page 3'!O23</f>
        <v>86.053684943554572</v>
      </c>
      <c r="P14" s="75">
        <f>SUM(D14:O14)</f>
        <v>737.94</v>
      </c>
      <c r="Q14" s="76">
        <f>SUM(D14:O14)</f>
        <v>737.94</v>
      </c>
      <c r="R14" s="253"/>
    </row>
    <row r="15" spans="1:18">
      <c r="A15" s="21">
        <f t="shared" si="2"/>
        <v>3</v>
      </c>
      <c r="B15" s="20" t="s">
        <v>61</v>
      </c>
      <c r="C15" s="21" t="str">
        <f>"("&amp;A13&amp;") x ("&amp;A14&amp;")"</f>
        <v>(1) x (2)</v>
      </c>
      <c r="D15" s="77">
        <f>D13*D14</f>
        <v>18736261.065265507</v>
      </c>
      <c r="E15" s="77">
        <f t="shared" ref="E15:O15" si="3">E13*E14</f>
        <v>15303272.864062205</v>
      </c>
      <c r="F15" s="77">
        <f>F13*F14</f>
        <v>15089954.804006672</v>
      </c>
      <c r="G15" s="77">
        <f t="shared" si="3"/>
        <v>11335418.467127064</v>
      </c>
      <c r="H15" s="77">
        <f t="shared" si="3"/>
        <v>10921817.348288804</v>
      </c>
      <c r="I15" s="77">
        <f t="shared" si="3"/>
        <v>9738060.106532054</v>
      </c>
      <c r="J15" s="77">
        <f t="shared" si="3"/>
        <v>10060491.465344274</v>
      </c>
      <c r="K15" s="77">
        <f t="shared" si="3"/>
        <v>11949512.036430171</v>
      </c>
      <c r="L15" s="77">
        <f t="shared" si="3"/>
        <v>9655365.8606576119</v>
      </c>
      <c r="M15" s="77">
        <f t="shared" si="3"/>
        <v>11545452.104288964</v>
      </c>
      <c r="N15" s="77">
        <f t="shared" si="3"/>
        <v>14110432.155229622</v>
      </c>
      <c r="O15" s="77">
        <f t="shared" si="3"/>
        <v>18430720.080155689</v>
      </c>
      <c r="P15" s="78">
        <f>SUM(D15:O15)</f>
        <v>156876758.35738865</v>
      </c>
      <c r="Q15" s="77">
        <f>Q13*Q14</f>
        <v>156808375.815</v>
      </c>
      <c r="R15" s="79">
        <f>Q15-P15</f>
        <v>-68382.542388647795</v>
      </c>
    </row>
    <row r="16" spans="1:18">
      <c r="A16" s="21"/>
      <c r="B16" s="20"/>
      <c r="C16" s="2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0"/>
      <c r="Q16" s="58"/>
      <c r="R16" s="58"/>
    </row>
    <row r="17" spans="1:18">
      <c r="A17" s="21">
        <v>4</v>
      </c>
      <c r="B17" s="20" t="s">
        <v>128</v>
      </c>
      <c r="C17" s="21" t="s">
        <v>125</v>
      </c>
      <c r="D17" s="158">
        <f>'Jan Base Rate Revenue'!$I$41</f>
        <v>29977439.682189997</v>
      </c>
      <c r="E17" s="158">
        <f>'Feb Base Rate Revenue'!$I$41</f>
        <v>21701036.221870001</v>
      </c>
      <c r="F17" s="158">
        <f>'Mar Base Rate Revenue'!I41</f>
        <v>19217979.42436</v>
      </c>
      <c r="G17" s="158">
        <f>'Apr Base Rate Revenue'!I41</f>
        <v>15485302.735649999</v>
      </c>
      <c r="H17" s="158">
        <f>'May Base Rate Revenue'!I39</f>
        <v>14335482.055080002</v>
      </c>
      <c r="I17" s="158">
        <f>'June Base Rate Revenue'!I39</f>
        <v>13375307.533610001</v>
      </c>
      <c r="J17" s="158">
        <f>'July Base Rate Revenue'!I39</f>
        <v>17431399.198870003</v>
      </c>
      <c r="K17" s="158">
        <f>'August Base Rate Revenue'!$I39</f>
        <v>18289235.196620002</v>
      </c>
      <c r="L17" s="158">
        <f>'September Base Rate Revenue'!$I39</f>
        <v>14321080.195970001</v>
      </c>
      <c r="M17" s="158">
        <f>'October Base Rate Revenue'!$I39</f>
        <v>14347883.21611</v>
      </c>
      <c r="N17" s="158">
        <f>'November Base Rate Revenue'!$I39</f>
        <v>18951062.395669997</v>
      </c>
      <c r="O17" s="158">
        <f>'December Base Rate Revenue'!$I39</f>
        <v>24646419.874430001</v>
      </c>
      <c r="P17" s="106">
        <f>SUM(D17:O17)</f>
        <v>222079627.73043001</v>
      </c>
      <c r="Q17" s="79"/>
      <c r="R17" s="58"/>
    </row>
    <row r="18" spans="1:18">
      <c r="A18" s="21">
        <v>5</v>
      </c>
      <c r="B18" s="20" t="s">
        <v>129</v>
      </c>
      <c r="C18" s="21" t="s">
        <v>125</v>
      </c>
      <c r="D18" s="158">
        <f>'Jan Base Rate Revenue'!$C$41</f>
        <v>1836153</v>
      </c>
      <c r="E18" s="158">
        <f>'Feb Base Rate Revenue'!$C$41</f>
        <v>1834376.5</v>
      </c>
      <c r="F18" s="158">
        <f>'Mar Base Rate Revenue'!C41</f>
        <v>1843862.5</v>
      </c>
      <c r="G18" s="158">
        <f>'Apr Base Rate Revenue'!C41</f>
        <v>1840658</v>
      </c>
      <c r="H18" s="158">
        <f>'May Base Rate Revenue'!C39</f>
        <v>1850433</v>
      </c>
      <c r="I18" s="158">
        <f>'June Base Rate Revenue'!C39</f>
        <v>1866107</v>
      </c>
      <c r="J18" s="158">
        <f>'July Base Rate Revenue'!C39</f>
        <v>1855733.5</v>
      </c>
      <c r="K18" s="158">
        <f>'August Base Rate Revenue'!$C39</f>
        <v>1869014</v>
      </c>
      <c r="L18" s="158">
        <f>'September Base Rate Revenue'!$C39</f>
        <v>1855881.5</v>
      </c>
      <c r="M18" s="158">
        <f>'October Base Rate Revenue'!$C39</f>
        <v>1860480</v>
      </c>
      <c r="N18" s="158">
        <f>'November Base Rate Revenue'!$C39</f>
        <v>1856153.5</v>
      </c>
      <c r="O18" s="158">
        <f>'December Base Rate Revenue'!$C39</f>
        <v>1857488</v>
      </c>
      <c r="P18" s="106">
        <f>SUM(D18:O18)</f>
        <v>22226340.5</v>
      </c>
      <c r="Q18" s="79"/>
      <c r="R18" s="58"/>
    </row>
    <row r="19" spans="1:18">
      <c r="A19" s="21">
        <v>6</v>
      </c>
      <c r="B19" s="80" t="s">
        <v>238</v>
      </c>
      <c r="C19" s="21" t="s">
        <v>125</v>
      </c>
      <c r="D19" s="159">
        <f>'Jan Base Rate Revenue'!$I$20</f>
        <v>330420975</v>
      </c>
      <c r="E19" s="159">
        <f>'Feb Base Rate Revenue'!$I$20</f>
        <v>242845820</v>
      </c>
      <c r="F19" s="159">
        <f>'Mar Base Rate Revenue'!I20</f>
        <v>216778430</v>
      </c>
      <c r="G19" s="159">
        <f>'Apr Base Rate Revenue'!I20</f>
        <v>174126973.66999999</v>
      </c>
      <c r="H19" s="159">
        <f>'May Base Rate Revenue'!I19</f>
        <v>161673824.11000001</v>
      </c>
      <c r="I19" s="159">
        <f>'June Base Rate Revenue'!I19</f>
        <v>149145252.86000001</v>
      </c>
      <c r="J19" s="159">
        <f>'July Base Rate Revenue'!I19</f>
        <v>195746292</v>
      </c>
      <c r="K19" s="159">
        <f>'August Base Rate Revenue'!$I19</f>
        <v>206172696.38</v>
      </c>
      <c r="L19" s="159">
        <f>'September Base Rate Revenue'!$I19</f>
        <v>161177614.43000001</v>
      </c>
      <c r="M19" s="159">
        <f>'October Base Rate Revenue'!$I19</f>
        <v>163829516</v>
      </c>
      <c r="N19" s="159">
        <f>'November Base Rate Revenue'!$I19</f>
        <v>214624108.54899999</v>
      </c>
      <c r="O19" s="159">
        <f>'December Base Rate Revenue'!$I19</f>
        <v>275751736.64499998</v>
      </c>
      <c r="P19" s="107">
        <f>SUM(D19:O19)</f>
        <v>2492293239.6440001</v>
      </c>
      <c r="Q19" s="81"/>
      <c r="R19" s="82"/>
    </row>
    <row r="20" spans="1:18" ht="27">
      <c r="A20" s="21">
        <v>7</v>
      </c>
      <c r="B20" s="91" t="s">
        <v>130</v>
      </c>
      <c r="C20" s="155" t="s">
        <v>173</v>
      </c>
      <c r="D20" s="156">
        <f>'Attachment 4, Page 1'!$E$27</f>
        <v>1.6410000000000001E-2</v>
      </c>
      <c r="E20" s="156">
        <f>'Attachment 4, Page 1'!$E$27</f>
        <v>1.6410000000000001E-2</v>
      </c>
      <c r="F20" s="156">
        <f>'Attachment 4, Page 1'!$E$27</f>
        <v>1.6410000000000001E-2</v>
      </c>
      <c r="G20" s="156">
        <f>'Attachment 4, Page 1'!$E$27</f>
        <v>1.6410000000000001E-2</v>
      </c>
      <c r="H20" s="156">
        <f>'Attachment 4, Page 1'!$E$27</f>
        <v>1.6410000000000001E-2</v>
      </c>
      <c r="I20" s="156">
        <f>'Attachment 4, Page 1'!$E$27</f>
        <v>1.6410000000000001E-2</v>
      </c>
      <c r="J20" s="156">
        <f>'Attachment 4, Page 1'!$E$27</f>
        <v>1.6410000000000001E-2</v>
      </c>
      <c r="K20" s="156">
        <f>'Attachment 4, Page 1'!$E$27</f>
        <v>1.6410000000000001E-2</v>
      </c>
      <c r="L20" s="156">
        <f>'Attachment 4, Page 1'!$E$27</f>
        <v>1.6410000000000001E-2</v>
      </c>
      <c r="M20" s="156">
        <f>'Attachment 4, Page 1'!$E$27</f>
        <v>1.6410000000000001E-2</v>
      </c>
      <c r="N20" s="156">
        <f>'Attachment 4, Page 1'!$E$27</f>
        <v>1.6410000000000001E-2</v>
      </c>
      <c r="O20" s="156">
        <f>'Attachment 4, Page 1'!$E$27</f>
        <v>1.6410000000000001E-2</v>
      </c>
      <c r="P20" s="83"/>
      <c r="Q20" s="58"/>
      <c r="R20" s="58"/>
    </row>
    <row r="21" spans="1:18">
      <c r="A21" s="21">
        <v>8</v>
      </c>
      <c r="B21" s="20" t="s">
        <v>131</v>
      </c>
      <c r="C21" s="21" t="str">
        <f>"("&amp;A19&amp;") x ("&amp;A20&amp;")"</f>
        <v>(6) x (7)</v>
      </c>
      <c r="D21" s="77">
        <f>D19*D20</f>
        <v>5422208.1997500006</v>
      </c>
      <c r="E21" s="77">
        <f>E19*E20</f>
        <v>3985099.9062000001</v>
      </c>
      <c r="F21" s="77">
        <f t="shared" ref="F21:O21" si="4">F19*F20</f>
        <v>3557334.0363000003</v>
      </c>
      <c r="G21" s="77">
        <f t="shared" si="4"/>
        <v>2857423.6379247</v>
      </c>
      <c r="H21" s="77">
        <f t="shared" si="4"/>
        <v>2653067.4536451004</v>
      </c>
      <c r="I21" s="77">
        <f t="shared" si="4"/>
        <v>2447473.5994326002</v>
      </c>
      <c r="J21" s="77">
        <f t="shared" si="4"/>
        <v>3212196.65172</v>
      </c>
      <c r="K21" s="77">
        <f t="shared" si="4"/>
        <v>3383293.9475958003</v>
      </c>
      <c r="L21" s="77">
        <f t="shared" si="4"/>
        <v>2644924.6527963001</v>
      </c>
      <c r="M21" s="77">
        <f>M19*M20</f>
        <v>2688442.3575600004</v>
      </c>
      <c r="N21" s="77">
        <f t="shared" si="4"/>
        <v>3521981.6212890903</v>
      </c>
      <c r="O21" s="77">
        <f t="shared" si="4"/>
        <v>4525085.9983444503</v>
      </c>
      <c r="P21" s="78">
        <f>SUM(D21:O21)</f>
        <v>40898532.06255804</v>
      </c>
      <c r="Q21" s="79">
        <f>SUM(D21:O21)</f>
        <v>40898532.06255804</v>
      </c>
      <c r="R21" s="58"/>
    </row>
    <row r="22" spans="1:18">
      <c r="A22" s="21">
        <v>9</v>
      </c>
      <c r="B22" s="20" t="s">
        <v>132</v>
      </c>
      <c r="C22" s="21" t="str">
        <f>"("&amp;A17&amp;") - ("&amp;A18&amp;") -("&amp;A21&amp;")"</f>
        <v>(4) - (5) -(8)</v>
      </c>
      <c r="D22" s="77">
        <f t="shared" ref="D22" si="5">D17-D18-D21</f>
        <v>22719078.482439995</v>
      </c>
      <c r="E22" s="77">
        <f t="shared" ref="E22:O22" si="6">E17-E18-E21</f>
        <v>15881559.815670002</v>
      </c>
      <c r="F22" s="77">
        <f t="shared" si="6"/>
        <v>13816782.88806</v>
      </c>
      <c r="G22" s="77">
        <f t="shared" si="6"/>
        <v>10787221.097725298</v>
      </c>
      <c r="H22" s="77">
        <f t="shared" si="6"/>
        <v>9831981.6014349014</v>
      </c>
      <c r="I22" s="77">
        <f t="shared" si="6"/>
        <v>9061726.9341774005</v>
      </c>
      <c r="J22" s="77">
        <f t="shared" si="6"/>
        <v>12363469.047150003</v>
      </c>
      <c r="K22" s="77">
        <f t="shared" si="6"/>
        <v>13036927.249024201</v>
      </c>
      <c r="L22" s="77">
        <f t="shared" si="6"/>
        <v>9820274.0431737006</v>
      </c>
      <c r="M22" s="77">
        <f t="shared" si="6"/>
        <v>9798960.8585500009</v>
      </c>
      <c r="N22" s="77">
        <f t="shared" si="6"/>
        <v>13572927.274380907</v>
      </c>
      <c r="O22" s="77">
        <f t="shared" si="6"/>
        <v>18263845.87608555</v>
      </c>
      <c r="P22" s="78">
        <f>SUM(D22:O22)</f>
        <v>158954755.16787195</v>
      </c>
      <c r="Q22" s="84">
        <f>P22/Q13</f>
        <v>748.04085827001347</v>
      </c>
      <c r="R22" s="58"/>
    </row>
    <row r="23" spans="1:18">
      <c r="A23" s="21"/>
      <c r="B23" s="85" t="s">
        <v>133</v>
      </c>
      <c r="C23" s="21"/>
      <c r="D23" s="75">
        <f t="shared" ref="D23" si="7">D22/D13</f>
        <v>107.09777066589983</v>
      </c>
      <c r="E23" s="75">
        <f t="shared" ref="E23:O23" si="8">E22/E13</f>
        <v>74.892175364733404</v>
      </c>
      <c r="F23" s="75">
        <f t="shared" si="8"/>
        <v>64.984069495809379</v>
      </c>
      <c r="G23" s="75">
        <f t="shared" si="8"/>
        <v>50.878798487511901</v>
      </c>
      <c r="H23" s="75">
        <f t="shared" si="8"/>
        <v>46.54016227283654</v>
      </c>
      <c r="I23" s="75">
        <f t="shared" si="8"/>
        <v>42.778298324965306</v>
      </c>
      <c r="J23" s="75">
        <f t="shared" si="8"/>
        <v>58.472982974522218</v>
      </c>
      <c r="K23" s="75">
        <f t="shared" si="8"/>
        <v>61.375951570418678</v>
      </c>
      <c r="L23" s="75">
        <f t="shared" si="8"/>
        <v>46.248094053253055</v>
      </c>
      <c r="M23" s="75">
        <f t="shared" si="8"/>
        <v>45.83279945813338</v>
      </c>
      <c r="N23" s="75">
        <f t="shared" si="8"/>
        <v>63.467600976268642</v>
      </c>
      <c r="O23" s="75">
        <f t="shared" si="8"/>
        <v>85.274543373404001</v>
      </c>
      <c r="P23" s="75"/>
      <c r="Q23" s="86"/>
      <c r="R23" s="58"/>
    </row>
    <row r="24" spans="1:18">
      <c r="A24" s="21">
        <v>10</v>
      </c>
      <c r="B24" s="20" t="s">
        <v>134</v>
      </c>
      <c r="C24" s="21" t="str">
        <f>"("&amp;A$15&amp;") - ("&amp;A22&amp;")"</f>
        <v>(3) - (9)</v>
      </c>
      <c r="D24" s="87">
        <f t="shared" ref="D24" si="9">IF(D10="",D15-D22,-D10)</f>
        <v>-3982817.4171744883</v>
      </c>
      <c r="E24" s="87">
        <f t="shared" ref="E24:O24" si="10">IF(E10="",E15-E22,-E10)</f>
        <v>-578286.95160779729</v>
      </c>
      <c r="F24" s="87">
        <f t="shared" si="10"/>
        <v>1273171.9159466717</v>
      </c>
      <c r="G24" s="87">
        <f t="shared" si="10"/>
        <v>548197.36940176599</v>
      </c>
      <c r="H24" s="87">
        <f t="shared" si="10"/>
        <v>1089835.7468539029</v>
      </c>
      <c r="I24" s="87">
        <f t="shared" si="10"/>
        <v>676333.17235465348</v>
      </c>
      <c r="J24" s="87">
        <f t="shared" si="10"/>
        <v>-2302977.5818057284</v>
      </c>
      <c r="K24" s="87">
        <f t="shared" si="10"/>
        <v>-1087415.2125940304</v>
      </c>
      <c r="L24" s="87">
        <f t="shared" si="10"/>
        <v>-164908.18251608871</v>
      </c>
      <c r="M24" s="87">
        <f t="shared" si="10"/>
        <v>1746491.2457389627</v>
      </c>
      <c r="N24" s="87">
        <f t="shared" si="10"/>
        <v>537504.88084871508</v>
      </c>
      <c r="O24" s="87">
        <f t="shared" si="10"/>
        <v>166874.20407013968</v>
      </c>
      <c r="P24" s="78">
        <f>SUM(D24:O24)</f>
        <v>-2077996.8104833215</v>
      </c>
      <c r="Q24" s="86"/>
      <c r="R24" s="58"/>
    </row>
    <row r="25" spans="1:18">
      <c r="A25" s="21">
        <v>11</v>
      </c>
      <c r="B25" s="20" t="s">
        <v>135</v>
      </c>
      <c r="C25" s="88" t="s">
        <v>136</v>
      </c>
      <c r="D25" s="87">
        <f t="shared" ref="D25" si="11">IF(D10="",D24*-0.04588,0)</f>
        <v>182731.66309996552</v>
      </c>
      <c r="E25" s="87">
        <f t="shared" ref="E25:O25" si="12">IF(E10="",E24*-0.04588,0)</f>
        <v>26531.805339765739</v>
      </c>
      <c r="F25" s="87">
        <f t="shared" si="12"/>
        <v>-58413.127503633295</v>
      </c>
      <c r="G25" s="87">
        <f t="shared" si="12"/>
        <v>-25151.295308153021</v>
      </c>
      <c r="H25" s="87">
        <f t="shared" si="12"/>
        <v>-50001.664065657067</v>
      </c>
      <c r="I25" s="87">
        <f t="shared" si="12"/>
        <v>-31030.1659476315</v>
      </c>
      <c r="J25" s="87">
        <f t="shared" si="12"/>
        <v>105660.61145324681</v>
      </c>
      <c r="K25" s="87">
        <f t="shared" si="12"/>
        <v>49890.609953814113</v>
      </c>
      <c r="L25" s="87">
        <f t="shared" si="12"/>
        <v>7565.9874138381492</v>
      </c>
      <c r="M25" s="87">
        <f t="shared" si="12"/>
        <v>-80129.018354503598</v>
      </c>
      <c r="N25" s="87">
        <f t="shared" si="12"/>
        <v>-24660.723933339046</v>
      </c>
      <c r="O25" s="87">
        <f t="shared" si="12"/>
        <v>-7656.1884827380081</v>
      </c>
      <c r="P25" s="78">
        <f>SUM(D25:O25)</f>
        <v>95338.493664974812</v>
      </c>
      <c r="Q25" s="86"/>
      <c r="R25" s="58"/>
    </row>
    <row r="26" spans="1:18">
      <c r="A26" s="21"/>
      <c r="B26" s="20"/>
      <c r="C26" s="21" t="s">
        <v>137</v>
      </c>
      <c r="D26" s="89">
        <v>3.5000000000000003E-2</v>
      </c>
      <c r="E26" s="89">
        <v>3.5000000000000003E-2</v>
      </c>
      <c r="F26" s="89">
        <v>3.5000000000000003E-2</v>
      </c>
      <c r="G26" s="89">
        <v>3.7100000000000001E-2</v>
      </c>
      <c r="H26" s="89">
        <f>G26</f>
        <v>3.7100000000000001E-2</v>
      </c>
      <c r="I26" s="89">
        <f>H26</f>
        <v>3.7100000000000001E-2</v>
      </c>
      <c r="J26" s="89">
        <v>3.9600000000000003E-2</v>
      </c>
      <c r="K26" s="89">
        <v>3.9600000000000003E-2</v>
      </c>
      <c r="L26" s="89">
        <v>3.9600000000000003E-2</v>
      </c>
      <c r="M26" s="89">
        <v>4.2099999999999999E-2</v>
      </c>
      <c r="N26" s="89">
        <v>4.2099999999999999E-2</v>
      </c>
      <c r="O26" s="89">
        <v>4.2099999999999999E-2</v>
      </c>
      <c r="P26" s="78"/>
      <c r="Q26" s="86"/>
      <c r="R26" s="58"/>
    </row>
    <row r="27" spans="1:18">
      <c r="A27" s="21">
        <v>12</v>
      </c>
      <c r="B27" s="20" t="s">
        <v>138</v>
      </c>
      <c r="C27" s="21" t="s">
        <v>139</v>
      </c>
      <c r="D27" s="90">
        <f>(D24+D25)/2*D26/12</f>
        <v>-5541.7917246920124</v>
      </c>
      <c r="E27" s="90">
        <f>(D29+(E24+E25)/2)*E26/12</f>
        <v>-11904.389930221923</v>
      </c>
      <c r="F27" s="90">
        <f t="shared" ref="F27:O27" si="13">(E29+(F24+F25)/2)*F26/12</f>
        <v>-10972.230756013187</v>
      </c>
      <c r="G27" s="90">
        <f t="shared" si="13"/>
        <v>-8978.1303981234105</v>
      </c>
      <c r="H27" s="90">
        <f t="shared" si="13"/>
        <v>-6589.9355420910688</v>
      </c>
      <c r="I27" s="90">
        <f t="shared" si="13"/>
        <v>-4005.3683424276824</v>
      </c>
      <c r="J27" s="90">
        <f t="shared" si="13"/>
        <v>-6849.3126255854704</v>
      </c>
      <c r="K27" s="90">
        <f t="shared" si="13"/>
        <v>-12209.403952687855</v>
      </c>
      <c r="L27" s="90">
        <f t="shared" si="13"/>
        <v>-14221.225202006797</v>
      </c>
      <c r="M27" s="90">
        <f t="shared" si="13"/>
        <v>-12521.849981800942</v>
      </c>
      <c r="N27" s="90">
        <f t="shared" si="13"/>
        <v>-8743.0896063611344</v>
      </c>
      <c r="O27" s="90">
        <f t="shared" si="13"/>
        <v>-7594.8542181314942</v>
      </c>
      <c r="P27" s="78">
        <f>SUM(D27:O27)</f>
        <v>-110131.58228014297</v>
      </c>
      <c r="Q27" s="86"/>
      <c r="R27" s="91"/>
    </row>
    <row r="28" spans="1:18" ht="15" thickBot="1">
      <c r="A28" s="21"/>
      <c r="B28" s="92" t="s">
        <v>140</v>
      </c>
      <c r="C28" s="21"/>
      <c r="D28" s="93">
        <f>D24+D25+D27</f>
        <v>-3805627.5457992149</v>
      </c>
      <c r="E28" s="93">
        <f t="shared" ref="E28:O28" si="14">E24+E25+E27</f>
        <v>-563659.53619825351</v>
      </c>
      <c r="F28" s="93">
        <f t="shared" si="14"/>
        <v>1203786.5576870253</v>
      </c>
      <c r="G28" s="93">
        <f t="shared" si="14"/>
        <v>514067.94369548955</v>
      </c>
      <c r="H28" s="93">
        <f t="shared" si="14"/>
        <v>1033244.1472461548</v>
      </c>
      <c r="I28" s="93">
        <f t="shared" si="14"/>
        <v>641297.63806459436</v>
      </c>
      <c r="J28" s="93">
        <f t="shared" si="14"/>
        <v>-2204166.2829780672</v>
      </c>
      <c r="K28" s="93">
        <f t="shared" si="14"/>
        <v>-1049734.0065929042</v>
      </c>
      <c r="L28" s="93">
        <f t="shared" si="14"/>
        <v>-171563.42030425736</v>
      </c>
      <c r="M28" s="93">
        <f t="shared" si="14"/>
        <v>1653840.3774026581</v>
      </c>
      <c r="N28" s="93">
        <f t="shared" si="14"/>
        <v>504101.06730901491</v>
      </c>
      <c r="O28" s="93">
        <f t="shared" si="14"/>
        <v>151623.16136927018</v>
      </c>
      <c r="P28" s="94">
        <f>SUM(D28:O28)</f>
        <v>-2092789.8990984899</v>
      </c>
      <c r="Q28" s="95"/>
      <c r="R28" s="58"/>
    </row>
    <row r="29" spans="1:18" ht="27.6" thickBot="1">
      <c r="A29" s="21">
        <v>13</v>
      </c>
      <c r="B29" s="102" t="s">
        <v>146</v>
      </c>
      <c r="C29" s="21" t="str">
        <f>"Σ(("&amp;A$24&amp;") ~ ("&amp;A27&amp;"))"</f>
        <v>Σ((10) ~ (12))</v>
      </c>
      <c r="D29" s="77">
        <f>D24+D25+D27</f>
        <v>-3805627.5457992149</v>
      </c>
      <c r="E29" s="77">
        <f>D29+E24+E25+E27</f>
        <v>-4369287.0819974681</v>
      </c>
      <c r="F29" s="77">
        <f t="shared" ref="F29:N29" si="15">E29+F24+F25+F27</f>
        <v>-3165500.5243104431</v>
      </c>
      <c r="G29" s="77">
        <f t="shared" si="15"/>
        <v>-2651432.5806149538</v>
      </c>
      <c r="H29" s="77">
        <f t="shared" si="15"/>
        <v>-1618188.433368799</v>
      </c>
      <c r="I29" s="77">
        <f t="shared" si="15"/>
        <v>-976890.79530420469</v>
      </c>
      <c r="J29" s="77">
        <f t="shared" si="15"/>
        <v>-3181057.078282272</v>
      </c>
      <c r="K29" s="77">
        <f t="shared" si="15"/>
        <v>-4230791.0848751767</v>
      </c>
      <c r="L29" s="77">
        <f t="shared" si="15"/>
        <v>-4402354.5051794341</v>
      </c>
      <c r="M29" s="77">
        <f t="shared" si="15"/>
        <v>-2748514.127776776</v>
      </c>
      <c r="N29" s="77">
        <f t="shared" si="15"/>
        <v>-2244413.060467761</v>
      </c>
      <c r="O29" s="96">
        <f>N29+O24+O25+O27</f>
        <v>-2092789.8990984908</v>
      </c>
      <c r="P29" s="78"/>
      <c r="Q29" s="97"/>
      <c r="R29" s="58"/>
    </row>
    <row r="30" spans="1:18">
      <c r="A30" s="21"/>
      <c r="B30" s="92"/>
      <c r="C30" s="2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Q30" s="58"/>
      <c r="R30" s="58"/>
    </row>
    <row r="31" spans="1:18" hidden="1">
      <c r="A31" s="68" t="s">
        <v>141</v>
      </c>
      <c r="B31" s="20"/>
      <c r="C31" s="2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98"/>
      <c r="Q31" s="58"/>
      <c r="R31" s="58"/>
    </row>
    <row r="32" spans="1:18" ht="9" hidden="1" customHeight="1">
      <c r="A32" s="58"/>
      <c r="B32" s="69" t="s">
        <v>142</v>
      </c>
      <c r="C32" s="58" t="s">
        <v>143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58"/>
      <c r="Q32" s="58"/>
      <c r="R32" s="58"/>
    </row>
    <row r="33" spans="1:18" hidden="1">
      <c r="A33" s="21"/>
      <c r="B33" s="20"/>
      <c r="C33" s="21"/>
      <c r="D33" s="77"/>
      <c r="E33" s="77"/>
      <c r="F33" s="77"/>
      <c r="G33" s="77"/>
      <c r="H33" s="58"/>
      <c r="I33" s="77"/>
      <c r="J33" s="77"/>
      <c r="K33" s="77"/>
      <c r="L33" s="77"/>
      <c r="M33" s="77"/>
      <c r="N33" s="77"/>
      <c r="O33" s="77"/>
      <c r="P33" s="78"/>
      <c r="Q33" s="58"/>
      <c r="R33" s="58"/>
    </row>
    <row r="34" spans="1:18">
      <c r="A34" s="21"/>
      <c r="B34" s="72" t="s">
        <v>58</v>
      </c>
      <c r="C34" s="21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58"/>
      <c r="R34" s="58"/>
    </row>
    <row r="35" spans="1:18">
      <c r="A35" s="21">
        <v>14</v>
      </c>
      <c r="B35" s="20" t="s">
        <v>124</v>
      </c>
      <c r="C35" s="21" t="s">
        <v>125</v>
      </c>
      <c r="D35" s="157">
        <f>'Jan Base Rate Revenue'!$C$22</f>
        <v>35883</v>
      </c>
      <c r="E35" s="157">
        <f>'Feb Base Rate Revenue'!$C$22</f>
        <v>35789</v>
      </c>
      <c r="F35" s="157">
        <f>'Mar Base Rate Revenue'!C22</f>
        <v>36027</v>
      </c>
      <c r="G35" s="157">
        <f>'Apr Base Rate Revenue'!C22</f>
        <v>35857</v>
      </c>
      <c r="H35" s="157">
        <f>'May Base Rate Revenue'!C21</f>
        <v>35704</v>
      </c>
      <c r="I35" s="157">
        <f>'June Base Rate Revenue'!C21</f>
        <v>36104</v>
      </c>
      <c r="J35" s="157">
        <f>'July Base Rate Revenue'!C21</f>
        <v>35886</v>
      </c>
      <c r="K35" s="157">
        <f>'August Base Rate Revenue'!$C21</f>
        <v>36188</v>
      </c>
      <c r="L35" s="157">
        <f>'September Base Rate Revenue'!$C21</f>
        <v>36104</v>
      </c>
      <c r="M35" s="157">
        <f>'October Base Rate Revenue'!$C21</f>
        <v>36212</v>
      </c>
      <c r="N35" s="157">
        <f>'November Base Rate Revenue'!$C21+'November Base Rate Revenue'!B87</f>
        <v>35948</v>
      </c>
      <c r="O35" s="157">
        <f>'December Base Rate Revenue'!$C21+'December Base Rate Revenue'!B87</f>
        <v>36223</v>
      </c>
      <c r="P35" s="105">
        <f>SUM(D35:O35)</f>
        <v>431925</v>
      </c>
      <c r="Q35" s="73">
        <f>AVERAGE(D35:O35)</f>
        <v>35993.75</v>
      </c>
      <c r="R35" s="253" t="s">
        <v>126</v>
      </c>
    </row>
    <row r="36" spans="1:18" ht="26.4">
      <c r="A36" s="74">
        <f t="shared" si="2"/>
        <v>15</v>
      </c>
      <c r="B36" s="153" t="s">
        <v>127</v>
      </c>
      <c r="C36" s="153" t="s">
        <v>195</v>
      </c>
      <c r="D36" s="154">
        <f>'Attachment 4, Page 3'!D27</f>
        <v>362.51153702538215</v>
      </c>
      <c r="E36" s="154">
        <f>'Attachment 4, Page 3'!E27</f>
        <v>368.64634553355734</v>
      </c>
      <c r="F36" s="154">
        <f>'Attachment 4, Page 3'!F27</f>
        <v>345.3608332677303</v>
      </c>
      <c r="G36" s="154">
        <f>'Attachment 4, Page 3'!G27</f>
        <v>343.55068665310012</v>
      </c>
      <c r="H36" s="154">
        <f>'Attachment 4, Page 3'!H27</f>
        <v>369.90915568717207</v>
      </c>
      <c r="I36" s="154">
        <f>'Attachment 4, Page 3'!I27</f>
        <v>385.26617826211447</v>
      </c>
      <c r="J36" s="154">
        <f>'Attachment 4, Page 3'!J27</f>
        <v>416.90498753163007</v>
      </c>
      <c r="K36" s="154">
        <f>'Attachment 4, Page 3'!K27</f>
        <v>389.59606971640318</v>
      </c>
      <c r="L36" s="154">
        <f>'Attachment 4, Page 3'!L27</f>
        <v>372.63402682785289</v>
      </c>
      <c r="M36" s="154">
        <f>'Attachment 4, Page 3'!M27</f>
        <v>380.4894875098293</v>
      </c>
      <c r="N36" s="154">
        <f>'Attachment 4, Page 3'!N27</f>
        <v>350.01632614600436</v>
      </c>
      <c r="O36" s="154">
        <f>'Attachment 4, Page 3'!O27</f>
        <v>369.7043658392239</v>
      </c>
      <c r="P36" s="75">
        <f>SUM(D36:O36)</f>
        <v>4454.59</v>
      </c>
      <c r="Q36" s="76">
        <f>SUM(D36:O36)</f>
        <v>4454.59</v>
      </c>
      <c r="R36" s="253"/>
    </row>
    <row r="37" spans="1:18">
      <c r="A37" s="21">
        <f t="shared" si="2"/>
        <v>16</v>
      </c>
      <c r="B37" s="20" t="s">
        <v>61</v>
      </c>
      <c r="C37" s="21" t="str">
        <f>"("&amp;A35&amp;") x ("&amp;A36&amp;")"</f>
        <v>(14) x (15)</v>
      </c>
      <c r="D37" s="77">
        <f t="shared" ref="D37" si="16">D35*D36</f>
        <v>13008001.483081788</v>
      </c>
      <c r="E37" s="77">
        <f t="shared" ref="E37:O37" si="17">E35*E36</f>
        <v>13193484.060300484</v>
      </c>
      <c r="F37" s="77">
        <f t="shared" si="17"/>
        <v>12442314.740136519</v>
      </c>
      <c r="G37" s="77">
        <f t="shared" si="17"/>
        <v>12318696.97132021</v>
      </c>
      <c r="H37" s="77">
        <f t="shared" si="17"/>
        <v>13207236.494654791</v>
      </c>
      <c r="I37" s="77">
        <f t="shared" si="17"/>
        <v>13909650.099975381</v>
      </c>
      <c r="J37" s="77">
        <f t="shared" si="17"/>
        <v>14961052.382560076</v>
      </c>
      <c r="K37" s="77">
        <f t="shared" si="17"/>
        <v>14098702.570897197</v>
      </c>
      <c r="L37" s="77">
        <f t="shared" si="17"/>
        <v>13453578.904592801</v>
      </c>
      <c r="M37" s="77">
        <f t="shared" si="17"/>
        <v>13778285.321705939</v>
      </c>
      <c r="N37" s="77">
        <f t="shared" si="17"/>
        <v>12582386.892296564</v>
      </c>
      <c r="O37" s="77">
        <f t="shared" si="17"/>
        <v>13391801.243794207</v>
      </c>
      <c r="P37" s="78">
        <f>SUM(D37:O37)</f>
        <v>160345191.16531593</v>
      </c>
      <c r="Q37" s="77">
        <f>Q35*Q36</f>
        <v>160337398.8125</v>
      </c>
      <c r="R37" s="79">
        <f>Q37-P37</f>
        <v>-7792.352815926075</v>
      </c>
    </row>
    <row r="38" spans="1:18">
      <c r="A38" s="21"/>
      <c r="B38" s="20"/>
      <c r="C38" s="21"/>
      <c r="D38" s="39"/>
      <c r="E38" s="39"/>
      <c r="F38" s="39"/>
      <c r="G38" s="39"/>
      <c r="H38" s="39"/>
      <c r="I38" s="77"/>
      <c r="J38" s="39"/>
      <c r="K38" s="39"/>
      <c r="L38" s="39"/>
      <c r="M38" s="39"/>
      <c r="N38" s="39"/>
      <c r="O38" s="39"/>
      <c r="P38" s="20"/>
      <c r="Q38" s="58"/>
      <c r="R38" s="58"/>
    </row>
    <row r="39" spans="1:18">
      <c r="A39" s="21">
        <v>17</v>
      </c>
      <c r="B39" s="20" t="s">
        <v>128</v>
      </c>
      <c r="C39" s="21" t="s">
        <v>125</v>
      </c>
      <c r="D39" s="158">
        <f>'Jan Base Rate Revenue'!$I$43</f>
        <v>18192579.826600004</v>
      </c>
      <c r="E39" s="158">
        <f>'Feb Base Rate Revenue'!$I$43</f>
        <v>17500278.877909999</v>
      </c>
      <c r="F39" s="158">
        <f>'Mar Base Rate Revenue'!I43</f>
        <v>17252312.574169997</v>
      </c>
      <c r="G39" s="158">
        <f>'Apr Base Rate Revenue'!I43</f>
        <v>16052468.77276</v>
      </c>
      <c r="H39" s="158">
        <f>'May Base Rate Revenue'!I41</f>
        <v>16625113.777000001</v>
      </c>
      <c r="I39" s="158">
        <f>'June Base Rate Revenue'!I41</f>
        <v>17868330.344359998</v>
      </c>
      <c r="J39" s="158">
        <f>'July Base Rate Revenue'!I41</f>
        <v>19688932.34502</v>
      </c>
      <c r="K39" s="158">
        <f>'August Base Rate Revenue'!$I41</f>
        <v>20070392.998210002</v>
      </c>
      <c r="L39" s="158">
        <f>'September Base Rate Revenue'!$I41</f>
        <v>17360373.2753</v>
      </c>
      <c r="M39" s="158">
        <f>'October Base Rate Revenue'!$I41</f>
        <v>17081517.821510002</v>
      </c>
      <c r="N39" s="158">
        <f>'November Base Rate Revenue'!$I41+'November Base Rate Revenue'!D87</f>
        <v>17352968.094989996</v>
      </c>
      <c r="O39" s="158">
        <f>'December Base Rate Revenue'!$I41+'December Base Rate Revenue'!D87</f>
        <v>18278019.018708002</v>
      </c>
      <c r="P39" s="106">
        <f>SUM(D39:O39)</f>
        <v>213323287.72653797</v>
      </c>
      <c r="Q39" s="79"/>
      <c r="R39" s="58"/>
    </row>
    <row r="40" spans="1:18">
      <c r="A40" s="21">
        <f t="shared" si="2"/>
        <v>18</v>
      </c>
      <c r="B40" s="20" t="s">
        <v>129</v>
      </c>
      <c r="C40" s="21" t="s">
        <v>125</v>
      </c>
      <c r="D40" s="158">
        <f>'Jan Base Rate Revenue'!$C$43</f>
        <v>1566350.9500000002</v>
      </c>
      <c r="E40" s="158">
        <f>'Feb Base Rate Revenue'!$C$43</f>
        <v>1568279.24</v>
      </c>
      <c r="F40" s="158">
        <f>'Mar Base Rate Revenue'!C43</f>
        <v>1574252.02</v>
      </c>
      <c r="G40" s="158">
        <f>'Apr Base Rate Revenue'!C43</f>
        <v>1569821.2</v>
      </c>
      <c r="H40" s="158">
        <f>'May Base Rate Revenue'!C41</f>
        <v>1564851.26</v>
      </c>
      <c r="I40" s="158">
        <f>'June Base Rate Revenue'!C41</f>
        <v>1581611.88</v>
      </c>
      <c r="J40" s="158">
        <f>'July Base Rate Revenue'!C41</f>
        <v>1566310.11</v>
      </c>
      <c r="K40" s="158">
        <f>'August Base Rate Revenue'!$C41</f>
        <v>1584152.79</v>
      </c>
      <c r="L40" s="158">
        <f>'September Base Rate Revenue'!$C41</f>
        <v>1577422.25</v>
      </c>
      <c r="M40" s="158">
        <f>'October Base Rate Revenue'!$C41</f>
        <v>1573388.55</v>
      </c>
      <c r="N40" s="158">
        <f>'November Base Rate Revenue'!$C41+'November Base Rate Revenue'!E87</f>
        <v>1578530.86</v>
      </c>
      <c r="O40" s="158">
        <f>'December Base Rate Revenue'!$C41+'December Base Rate Revenue'!E87</f>
        <v>1581325.4500000002</v>
      </c>
      <c r="P40" s="106">
        <f>SUM(D40:O40)</f>
        <v>18886296.559999999</v>
      </c>
      <c r="Q40" s="79"/>
      <c r="R40" s="58"/>
    </row>
    <row r="41" spans="1:18">
      <c r="A41" s="21">
        <f t="shared" si="2"/>
        <v>19</v>
      </c>
      <c r="B41" s="80" t="s">
        <v>238</v>
      </c>
      <c r="C41" s="21" t="s">
        <v>125</v>
      </c>
      <c r="D41" s="159">
        <f>'Jan Base Rate Revenue'!$I$22</f>
        <v>185988820</v>
      </c>
      <c r="E41" s="159">
        <f>'Feb Base Rate Revenue'!$I$22</f>
        <v>176601249</v>
      </c>
      <c r="F41" s="159">
        <f>'Mar Base Rate Revenue'!I22</f>
        <v>174880403</v>
      </c>
      <c r="G41" s="159">
        <f>'Apr Base Rate Revenue'!I22</f>
        <v>161375406.32999998</v>
      </c>
      <c r="H41" s="159">
        <f>'May Base Rate Revenue'!I21</f>
        <v>169307987.5</v>
      </c>
      <c r="I41" s="159">
        <f>'June Base Rate Revenue'!I21</f>
        <v>184519264.53</v>
      </c>
      <c r="J41" s="159">
        <f>'July Base Rate Revenue'!I21</f>
        <v>206968295</v>
      </c>
      <c r="K41" s="159">
        <f>'August Base Rate Revenue'!$I21</f>
        <v>209585575.12</v>
      </c>
      <c r="L41" s="159">
        <f>'September Base Rate Revenue'!$I21</f>
        <v>179036917.56999999</v>
      </c>
      <c r="M41" s="159">
        <f>'October Base Rate Revenue'!$I21</f>
        <v>172986219</v>
      </c>
      <c r="N41" s="159">
        <f>'November Base Rate Revenue'!$I21+'November Base Rate Revenue'!C87</f>
        <v>173841002.75233001</v>
      </c>
      <c r="O41" s="159">
        <f>'December Base Rate Revenue'!$I21+'December Base Rate Revenue'!C87</f>
        <v>191504968.36499998</v>
      </c>
      <c r="P41" s="107">
        <f>SUM(D41:O41)</f>
        <v>2186596108.1673298</v>
      </c>
      <c r="Q41" s="81"/>
      <c r="R41" s="91"/>
    </row>
    <row r="42" spans="1:18" ht="27">
      <c r="A42" s="21">
        <f t="shared" si="2"/>
        <v>20</v>
      </c>
      <c r="B42" s="91" t="s">
        <v>130</v>
      </c>
      <c r="C42" s="155" t="s">
        <v>173</v>
      </c>
      <c r="D42" s="156">
        <f>'Attachment 4, Page 1'!$E$27</f>
        <v>1.6410000000000001E-2</v>
      </c>
      <c r="E42" s="156">
        <f>'Attachment 4, Page 1'!$E$27</f>
        <v>1.6410000000000001E-2</v>
      </c>
      <c r="F42" s="156">
        <f>'Attachment 4, Page 1'!$E$27</f>
        <v>1.6410000000000001E-2</v>
      </c>
      <c r="G42" s="156">
        <f>'Attachment 4, Page 1'!$E$27</f>
        <v>1.6410000000000001E-2</v>
      </c>
      <c r="H42" s="156">
        <f>'Attachment 4, Page 1'!$E$27</f>
        <v>1.6410000000000001E-2</v>
      </c>
      <c r="I42" s="156">
        <f>'Attachment 4, Page 1'!$E$27</f>
        <v>1.6410000000000001E-2</v>
      </c>
      <c r="J42" s="156">
        <f>'Attachment 4, Page 1'!$E$27</f>
        <v>1.6410000000000001E-2</v>
      </c>
      <c r="K42" s="156">
        <f>'Attachment 4, Page 1'!$E$27</f>
        <v>1.6410000000000001E-2</v>
      </c>
      <c r="L42" s="156">
        <f>'Attachment 4, Page 1'!$E$27</f>
        <v>1.6410000000000001E-2</v>
      </c>
      <c r="M42" s="156">
        <f>'Attachment 4, Page 1'!$E$27</f>
        <v>1.6410000000000001E-2</v>
      </c>
      <c r="N42" s="156">
        <f>'Attachment 4, Page 1'!$E$27</f>
        <v>1.6410000000000001E-2</v>
      </c>
      <c r="O42" s="156">
        <f>'Attachment 4, Page 1'!$E$27</f>
        <v>1.6410000000000001E-2</v>
      </c>
      <c r="P42" s="83"/>
      <c r="Q42" s="58"/>
      <c r="R42" s="58"/>
    </row>
    <row r="43" spans="1:18">
      <c r="A43" s="21">
        <f t="shared" si="2"/>
        <v>21</v>
      </c>
      <c r="B43" s="20" t="s">
        <v>131</v>
      </c>
      <c r="C43" s="21" t="str">
        <f>"("&amp;A41&amp;") x ("&amp;A42&amp;")"</f>
        <v>(19) x (20)</v>
      </c>
      <c r="D43" s="77">
        <f t="shared" ref="D43" si="18">D41*D42</f>
        <v>3052076.5362</v>
      </c>
      <c r="E43" s="77">
        <f t="shared" ref="E43:O43" si="19">E41*E42</f>
        <v>2898026.49609</v>
      </c>
      <c r="F43" s="77">
        <f t="shared" si="19"/>
        <v>2869787.4132300001</v>
      </c>
      <c r="G43" s="77">
        <f t="shared" si="19"/>
        <v>2648170.4178752997</v>
      </c>
      <c r="H43" s="77">
        <f t="shared" si="19"/>
        <v>2778344.0748749999</v>
      </c>
      <c r="I43" s="77">
        <f t="shared" si="19"/>
        <v>3027961.1309373002</v>
      </c>
      <c r="J43" s="77">
        <f t="shared" si="19"/>
        <v>3396349.72095</v>
      </c>
      <c r="K43" s="77">
        <f t="shared" si="19"/>
        <v>3439299.2877192004</v>
      </c>
      <c r="L43" s="77">
        <f t="shared" si="19"/>
        <v>2937995.8173237001</v>
      </c>
      <c r="M43" s="77">
        <f t="shared" si="19"/>
        <v>2838703.8537900001</v>
      </c>
      <c r="N43" s="77">
        <f t="shared" si="19"/>
        <v>2852730.8551657354</v>
      </c>
      <c r="O43" s="77">
        <f t="shared" si="19"/>
        <v>3142596.5308696497</v>
      </c>
      <c r="P43" s="78">
        <f>SUM(D43:O43)</f>
        <v>35882042.135025889</v>
      </c>
      <c r="Q43" s="79">
        <f>SUM(D43:O43)</f>
        <v>35882042.135025889</v>
      </c>
      <c r="R43" s="58"/>
    </row>
    <row r="44" spans="1:18">
      <c r="A44" s="21">
        <f t="shared" si="2"/>
        <v>22</v>
      </c>
      <c r="B44" s="20" t="s">
        <v>132</v>
      </c>
      <c r="C44" s="21" t="str">
        <f>"("&amp;A39&amp;") - ("&amp;A40&amp;") -("&amp;A43&amp;")"</f>
        <v>(17) - (18) -(21)</v>
      </c>
      <c r="D44" s="77">
        <f t="shared" ref="D44" si="20">D39-D40-D43</f>
        <v>13574152.340400005</v>
      </c>
      <c r="E44" s="77">
        <f t="shared" ref="E44:O44" si="21">E39-E40-E43</f>
        <v>13033973.141819999</v>
      </c>
      <c r="F44" s="77">
        <f t="shared" si="21"/>
        <v>12808273.140939998</v>
      </c>
      <c r="G44" s="77">
        <f t="shared" si="21"/>
        <v>11834477.154884702</v>
      </c>
      <c r="H44" s="77">
        <f t="shared" si="21"/>
        <v>12281918.442125</v>
      </c>
      <c r="I44" s="77">
        <f t="shared" si="21"/>
        <v>13258757.333422698</v>
      </c>
      <c r="J44" s="77">
        <f t="shared" si="21"/>
        <v>14726272.51407</v>
      </c>
      <c r="K44" s="77">
        <f t="shared" si="21"/>
        <v>15046940.920490801</v>
      </c>
      <c r="L44" s="77">
        <f t="shared" si="21"/>
        <v>12844955.2079763</v>
      </c>
      <c r="M44" s="77">
        <f t="shared" si="21"/>
        <v>12669425.417720001</v>
      </c>
      <c r="N44" s="77">
        <f t="shared" si="21"/>
        <v>12921706.379824262</v>
      </c>
      <c r="O44" s="77">
        <f t="shared" si="21"/>
        <v>13554097.037838353</v>
      </c>
      <c r="P44" s="78">
        <f>SUM(D44:O44)</f>
        <v>158554949.03151211</v>
      </c>
      <c r="Q44" s="84">
        <f>P44/Q35</f>
        <v>4405.0689086719813</v>
      </c>
      <c r="R44" s="58"/>
    </row>
    <row r="45" spans="1:18">
      <c r="A45" s="21"/>
      <c r="B45" s="21" t="s">
        <v>144</v>
      </c>
      <c r="C45" s="21"/>
      <c r="D45" s="75">
        <f t="shared" ref="D45" si="22">D44/D35</f>
        <v>378.28922722180431</v>
      </c>
      <c r="E45" s="75">
        <f t="shared" ref="E45:O45" si="23">E44/E35</f>
        <v>364.18936382184467</v>
      </c>
      <c r="F45" s="75">
        <f t="shared" si="23"/>
        <v>355.51872598162481</v>
      </c>
      <c r="G45" s="75">
        <f t="shared" si="23"/>
        <v>330.04649454457154</v>
      </c>
      <c r="H45" s="75">
        <f t="shared" si="23"/>
        <v>343.99278630195494</v>
      </c>
      <c r="I45" s="75">
        <f t="shared" si="23"/>
        <v>367.23790531305946</v>
      </c>
      <c r="J45" s="75">
        <f t="shared" si="23"/>
        <v>410.36260697960211</v>
      </c>
      <c r="K45" s="75">
        <f t="shared" si="23"/>
        <v>415.79918537887698</v>
      </c>
      <c r="L45" s="75">
        <f t="shared" si="23"/>
        <v>355.77651251873198</v>
      </c>
      <c r="M45" s="75">
        <f t="shared" si="23"/>
        <v>349.86814916933616</v>
      </c>
      <c r="N45" s="75">
        <f t="shared" si="23"/>
        <v>359.45550183109663</v>
      </c>
      <c r="O45" s="75">
        <f t="shared" si="23"/>
        <v>374.18482836425346</v>
      </c>
      <c r="P45" s="75"/>
      <c r="Q45" s="58"/>
      <c r="R45" s="58"/>
    </row>
    <row r="46" spans="1:18">
      <c r="A46" s="21">
        <v>23</v>
      </c>
      <c r="B46" s="20" t="s">
        <v>134</v>
      </c>
      <c r="C46" s="21" t="str">
        <f>"("&amp;A$37&amp;") - ("&amp;A44&amp;")"</f>
        <v>(16) - (22)</v>
      </c>
      <c r="D46" s="87">
        <f t="shared" ref="D46" si="24">IF(D32="",D37-D44,-D32)</f>
        <v>-566150.85731821693</v>
      </c>
      <c r="E46" s="87">
        <f t="shared" ref="E46:O46" si="25">IF(E32="",E37-E44,-E32)</f>
        <v>159510.91848048568</v>
      </c>
      <c r="F46" s="87">
        <f t="shared" si="25"/>
        <v>-365958.40080347843</v>
      </c>
      <c r="G46" s="87">
        <f t="shared" si="25"/>
        <v>484219.81643550843</v>
      </c>
      <c r="H46" s="87">
        <f t="shared" si="25"/>
        <v>925318.05252979137</v>
      </c>
      <c r="I46" s="87">
        <f t="shared" si="25"/>
        <v>650892.76655268297</v>
      </c>
      <c r="J46" s="87">
        <f t="shared" si="25"/>
        <v>234779.86849007569</v>
      </c>
      <c r="K46" s="87">
        <f t="shared" si="25"/>
        <v>-948238.34959360398</v>
      </c>
      <c r="L46" s="87">
        <f t="shared" si="25"/>
        <v>608623.69661650062</v>
      </c>
      <c r="M46" s="87">
        <f t="shared" si="25"/>
        <v>1108859.9039859381</v>
      </c>
      <c r="N46" s="87">
        <f t="shared" si="25"/>
        <v>-339319.48752769828</v>
      </c>
      <c r="O46" s="87">
        <f t="shared" si="25"/>
        <v>-162295.79404414631</v>
      </c>
      <c r="P46" s="78">
        <f>SUM(D46:O46)</f>
        <v>1790242.1338038389</v>
      </c>
      <c r="Q46" s="58"/>
      <c r="R46" s="58"/>
    </row>
    <row r="47" spans="1:18">
      <c r="A47" s="21">
        <v>24</v>
      </c>
      <c r="B47" s="20" t="s">
        <v>135</v>
      </c>
      <c r="C47" s="88" t="s">
        <v>136</v>
      </c>
      <c r="D47" s="87">
        <f t="shared" ref="D47" si="26">IF(D32="",D46*-0.04588,0)</f>
        <v>25975.001333759792</v>
      </c>
      <c r="E47" s="87">
        <f t="shared" ref="E47:O47" si="27">IF(E32="",E46*-0.04588,0)</f>
        <v>-7318.360939884682</v>
      </c>
      <c r="F47" s="87">
        <f t="shared" si="27"/>
        <v>16790.171428863589</v>
      </c>
      <c r="G47" s="87">
        <f t="shared" si="27"/>
        <v>-22216.005178061125</v>
      </c>
      <c r="H47" s="87">
        <f t="shared" si="27"/>
        <v>-42453.592250066824</v>
      </c>
      <c r="I47" s="87">
        <f t="shared" si="27"/>
        <v>-29862.960129437091</v>
      </c>
      <c r="J47" s="87">
        <f t="shared" si="27"/>
        <v>-10771.700366324672</v>
      </c>
      <c r="K47" s="87">
        <f t="shared" si="27"/>
        <v>43505.175479354548</v>
      </c>
      <c r="L47" s="87">
        <f t="shared" si="27"/>
        <v>-27923.655200765046</v>
      </c>
      <c r="M47" s="87">
        <f t="shared" si="27"/>
        <v>-50874.492394874833</v>
      </c>
      <c r="N47" s="87">
        <f t="shared" si="27"/>
        <v>15567.978087770796</v>
      </c>
      <c r="O47" s="87">
        <f t="shared" si="27"/>
        <v>7446.1310307454323</v>
      </c>
      <c r="P47" s="78">
        <f>SUM(D47:O47)</f>
        <v>-82136.30909892013</v>
      </c>
      <c r="Q47" s="58"/>
      <c r="R47" s="58"/>
    </row>
    <row r="48" spans="1:18">
      <c r="A48" s="21"/>
      <c r="B48" s="20"/>
      <c r="C48" s="21" t="s">
        <v>137</v>
      </c>
      <c r="D48" s="89">
        <f>D26</f>
        <v>3.5000000000000003E-2</v>
      </c>
      <c r="E48" s="89">
        <f t="shared" ref="E48:I48" si="28">E26</f>
        <v>3.5000000000000003E-2</v>
      </c>
      <c r="F48" s="89">
        <f t="shared" si="28"/>
        <v>3.5000000000000003E-2</v>
      </c>
      <c r="G48" s="89">
        <f t="shared" si="28"/>
        <v>3.7100000000000001E-2</v>
      </c>
      <c r="H48" s="89">
        <f t="shared" si="28"/>
        <v>3.7100000000000001E-2</v>
      </c>
      <c r="I48" s="89">
        <f t="shared" si="28"/>
        <v>3.7100000000000001E-2</v>
      </c>
      <c r="J48" s="89">
        <v>3.9600000000000003E-2</v>
      </c>
      <c r="K48" s="89">
        <v>3.9600000000000003E-2</v>
      </c>
      <c r="L48" s="89">
        <v>3.9600000000000003E-2</v>
      </c>
      <c r="M48" s="89">
        <v>4.2099999999999999E-2</v>
      </c>
      <c r="N48" s="89">
        <v>4.2099999999999999E-2</v>
      </c>
      <c r="O48" s="89">
        <v>4.2099999999999999E-2</v>
      </c>
      <c r="P48" s="78"/>
      <c r="Q48" s="58"/>
      <c r="R48" s="58"/>
    </row>
    <row r="49" spans="1:18">
      <c r="A49" s="21">
        <v>25</v>
      </c>
      <c r="B49" s="20" t="s">
        <v>138</v>
      </c>
      <c r="C49" s="21" t="s">
        <v>139</v>
      </c>
      <c r="D49" s="90">
        <f>(D46+D47)/2*D48/12</f>
        <v>-787.75645664400008</v>
      </c>
      <c r="E49" s="90">
        <f>(D51+(E46+E47)/2)*E48/12</f>
        <v>-1355.8630565398355</v>
      </c>
      <c r="F49" s="90">
        <f t="shared" ref="F49:O49" si="29">(E51+(F46+F47)/2)*F48/12</f>
        <v>-1647.0738452126805</v>
      </c>
      <c r="G49" s="90">
        <f t="shared" si="29"/>
        <v>-1576.5654755696785</v>
      </c>
      <c r="H49" s="90">
        <f t="shared" si="29"/>
        <v>497.50251258623013</v>
      </c>
      <c r="I49" s="90">
        <f t="shared" si="29"/>
        <v>2823.8105117993177</v>
      </c>
      <c r="J49" s="90">
        <f t="shared" si="29"/>
        <v>4417.7254717009964</v>
      </c>
      <c r="K49" s="90">
        <f t="shared" si="29"/>
        <v>3309.1077058732876</v>
      </c>
      <c r="L49" s="90">
        <f t="shared" si="29"/>
        <v>2785.3730923501212</v>
      </c>
      <c r="M49" s="90">
        <f t="shared" si="29"/>
        <v>5845.5167693125659</v>
      </c>
      <c r="N49" s="90">
        <f t="shared" si="29"/>
        <v>7153.9934273350218</v>
      </c>
      <c r="O49" s="90">
        <f t="shared" si="29"/>
        <v>6339.5457975973759</v>
      </c>
      <c r="P49" s="78">
        <f>SUM(D49:O49)</f>
        <v>27805.316454588723</v>
      </c>
      <c r="Q49" s="58"/>
      <c r="R49" s="58"/>
    </row>
    <row r="50" spans="1:18" ht="15" thickBot="1">
      <c r="A50" s="21"/>
      <c r="B50" s="92" t="s">
        <v>145</v>
      </c>
      <c r="C50" s="21"/>
      <c r="D50" s="93">
        <f>D46+D47+D49</f>
        <v>-540963.61244110123</v>
      </c>
      <c r="E50" s="93">
        <f t="shared" ref="E50:P50" si="30">E46+E47+E49</f>
        <v>150836.69448406115</v>
      </c>
      <c r="F50" s="93">
        <f t="shared" si="30"/>
        <v>-350815.30321982753</v>
      </c>
      <c r="G50" s="93">
        <f t="shared" si="30"/>
        <v>460427.2457818776</v>
      </c>
      <c r="H50" s="93">
        <f t="shared" si="30"/>
        <v>883361.96279231075</v>
      </c>
      <c r="I50" s="93">
        <f t="shared" si="30"/>
        <v>623853.61693504523</v>
      </c>
      <c r="J50" s="93">
        <f t="shared" si="30"/>
        <v>228425.89359545201</v>
      </c>
      <c r="K50" s="93">
        <f t="shared" si="30"/>
        <v>-901424.06640837609</v>
      </c>
      <c r="L50" s="93">
        <f t="shared" si="30"/>
        <v>583485.4145080857</v>
      </c>
      <c r="M50" s="93">
        <f t="shared" si="30"/>
        <v>1063830.9283603758</v>
      </c>
      <c r="N50" s="93">
        <f t="shared" si="30"/>
        <v>-316597.51601259247</v>
      </c>
      <c r="O50" s="93">
        <f t="shared" si="30"/>
        <v>-148510.1172158035</v>
      </c>
      <c r="P50" s="93">
        <f t="shared" si="30"/>
        <v>1735911.1411595074</v>
      </c>
      <c r="Q50" s="58"/>
      <c r="R50" s="58"/>
    </row>
    <row r="51" spans="1:18" ht="27.6" thickBot="1">
      <c r="A51" s="21">
        <v>26</v>
      </c>
      <c r="B51" s="102" t="s">
        <v>146</v>
      </c>
      <c r="C51" s="21" t="str">
        <f>"Σ(("&amp;A$46&amp;") ~ ("&amp;A49&amp;"))"</f>
        <v>Σ((23) ~ (25))</v>
      </c>
      <c r="D51" s="77">
        <f>D46+D47+D49</f>
        <v>-540963.61244110123</v>
      </c>
      <c r="E51" s="77">
        <f>D51+E46+E47+E49</f>
        <v>-390126.91795704007</v>
      </c>
      <c r="F51" s="77">
        <f t="shared" ref="F51:N51" si="31">E51+F46+F47+F49</f>
        <v>-740942.22117686761</v>
      </c>
      <c r="G51" s="77">
        <f t="shared" si="31"/>
        <v>-280514.97539499</v>
      </c>
      <c r="H51" s="77">
        <f t="shared" si="31"/>
        <v>602846.98739732068</v>
      </c>
      <c r="I51" s="77">
        <f t="shared" si="31"/>
        <v>1226700.6043323658</v>
      </c>
      <c r="J51" s="77">
        <f t="shared" si="31"/>
        <v>1455126.4979278177</v>
      </c>
      <c r="K51" s="77">
        <f t="shared" si="31"/>
        <v>553702.43151944166</v>
      </c>
      <c r="L51" s="77">
        <f t="shared" si="31"/>
        <v>1137187.8460275275</v>
      </c>
      <c r="M51" s="77">
        <f t="shared" si="31"/>
        <v>2201018.7743879035</v>
      </c>
      <c r="N51" s="77">
        <f t="shared" si="31"/>
        <v>1884421.258375311</v>
      </c>
      <c r="O51" s="96">
        <f>N51+O46+O47+O49</f>
        <v>1735911.1411595074</v>
      </c>
      <c r="P51" s="78"/>
      <c r="Q51" s="58"/>
      <c r="R51" s="58"/>
    </row>
    <row r="52" spans="1:18" ht="15" thickBot="1">
      <c r="A52" s="21"/>
      <c r="B52" s="20"/>
      <c r="C52" s="2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99"/>
      <c r="Q52" s="58"/>
      <c r="R52" s="58"/>
    </row>
    <row r="53" spans="1:18" ht="28.95" customHeight="1" thickBot="1">
      <c r="A53" s="72">
        <v>25</v>
      </c>
      <c r="B53" s="103" t="s">
        <v>147</v>
      </c>
      <c r="C53" s="72" t="str">
        <f>"("&amp;A$29&amp;") + ("&amp;A51&amp;")"</f>
        <v>(13) + (26)</v>
      </c>
      <c r="D53" s="78">
        <f t="shared" ref="D53:O53" si="32">D29+D51</f>
        <v>-4346591.1582403164</v>
      </c>
      <c r="E53" s="78">
        <f t="shared" si="32"/>
        <v>-4759413.9999545086</v>
      </c>
      <c r="F53" s="78">
        <f t="shared" si="32"/>
        <v>-3906442.7454873109</v>
      </c>
      <c r="G53" s="78">
        <f t="shared" si="32"/>
        <v>-2931947.5560099436</v>
      </c>
      <c r="H53" s="78">
        <f t="shared" si="32"/>
        <v>-1015341.4459714784</v>
      </c>
      <c r="I53" s="78">
        <f t="shared" si="32"/>
        <v>249809.80902816111</v>
      </c>
      <c r="J53" s="78">
        <f t="shared" si="32"/>
        <v>-1725930.5803544542</v>
      </c>
      <c r="K53" s="78">
        <f t="shared" si="32"/>
        <v>-3677088.6533557349</v>
      </c>
      <c r="L53" s="78">
        <f t="shared" si="32"/>
        <v>-3265166.6591519066</v>
      </c>
      <c r="M53" s="78">
        <f t="shared" si="32"/>
        <v>-547495.35338887246</v>
      </c>
      <c r="N53" s="78">
        <f t="shared" si="32"/>
        <v>-359991.80209244997</v>
      </c>
      <c r="O53" s="100">
        <f t="shared" si="32"/>
        <v>-356878.75793898338</v>
      </c>
      <c r="P53" s="92"/>
      <c r="Q53" s="101"/>
      <c r="R53" s="101"/>
    </row>
    <row r="54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58"/>
      <c r="R54" s="58"/>
    </row>
    <row r="55" spans="1:18">
      <c r="B55" s="108" t="s">
        <v>156</v>
      </c>
      <c r="C55" s="104" t="s">
        <v>157</v>
      </c>
      <c r="E55" s="104"/>
      <c r="I55" s="104"/>
      <c r="J55" s="104"/>
      <c r="K55" s="104"/>
      <c r="L55" s="104"/>
      <c r="M55" s="104"/>
    </row>
    <row r="56" spans="1:18">
      <c r="B56" s="91"/>
    </row>
    <row r="57" spans="1:18">
      <c r="A57" s="91" t="s">
        <v>162</v>
      </c>
      <c r="B57" s="91" t="s">
        <v>236</v>
      </c>
      <c r="D57" s="160">
        <f t="shared" ref="D57:O57" si="33">-D24-D25</f>
        <v>3800085.7540745228</v>
      </c>
      <c r="E57" s="160">
        <f t="shared" si="33"/>
        <v>551755.14626803156</v>
      </c>
      <c r="F57" s="160">
        <f t="shared" si="33"/>
        <v>-1214758.7884430385</v>
      </c>
      <c r="G57" s="160">
        <f t="shared" si="33"/>
        <v>-523046.07409361296</v>
      </c>
      <c r="H57" s="160">
        <f t="shared" si="33"/>
        <v>-1039834.0827882459</v>
      </c>
      <c r="I57" s="160">
        <f t="shared" si="33"/>
        <v>-645303.00640702201</v>
      </c>
      <c r="J57" s="160">
        <f t="shared" si="33"/>
        <v>2197316.9703524816</v>
      </c>
      <c r="K57" s="160">
        <f t="shared" si="33"/>
        <v>1037524.6026402164</v>
      </c>
      <c r="L57" s="160">
        <f t="shared" si="33"/>
        <v>157342.19510225055</v>
      </c>
      <c r="M57" s="160">
        <f t="shared" si="33"/>
        <v>-1666362.227384459</v>
      </c>
      <c r="N57" s="160">
        <f t="shared" si="33"/>
        <v>-512844.15691537602</v>
      </c>
      <c r="O57" s="160">
        <f t="shared" si="33"/>
        <v>-159218.01558740166</v>
      </c>
      <c r="P57" s="160"/>
    </row>
    <row r="58" spans="1:18">
      <c r="A58" s="91"/>
      <c r="B58" s="91" t="s">
        <v>158</v>
      </c>
      <c r="D58" s="160">
        <f t="shared" ref="D58:O58" si="34">IF(D27&lt;0,-D27,0)</f>
        <v>5541.7917246920124</v>
      </c>
      <c r="E58" s="160">
        <f t="shared" si="34"/>
        <v>11904.389930221923</v>
      </c>
      <c r="F58" s="160">
        <f t="shared" si="34"/>
        <v>10972.230756013187</v>
      </c>
      <c r="G58" s="160">
        <f t="shared" si="34"/>
        <v>8978.1303981234105</v>
      </c>
      <c r="H58" s="160">
        <f t="shared" si="34"/>
        <v>6589.9355420910688</v>
      </c>
      <c r="I58" s="160">
        <f t="shared" si="34"/>
        <v>4005.3683424276824</v>
      </c>
      <c r="J58" s="160">
        <f t="shared" si="34"/>
        <v>6849.3126255854704</v>
      </c>
      <c r="K58" s="160">
        <f t="shared" si="34"/>
        <v>12209.403952687855</v>
      </c>
      <c r="L58" s="160">
        <f t="shared" si="34"/>
        <v>14221.225202006797</v>
      </c>
      <c r="M58" s="160">
        <f t="shared" si="34"/>
        <v>12521.849981800942</v>
      </c>
      <c r="N58" s="160">
        <f t="shared" si="34"/>
        <v>8743.0896063611344</v>
      </c>
      <c r="O58" s="160">
        <f t="shared" si="34"/>
        <v>7594.8542181314942</v>
      </c>
      <c r="P58" s="160"/>
    </row>
    <row r="59" spans="1:18">
      <c r="A59" s="91"/>
      <c r="B59" s="91" t="s">
        <v>159</v>
      </c>
      <c r="D59" s="160">
        <f t="shared" ref="D59:O59" si="35">IF(D27&gt;0,-D27,0)</f>
        <v>0</v>
      </c>
      <c r="E59" s="160">
        <f t="shared" si="35"/>
        <v>0</v>
      </c>
      <c r="F59" s="160">
        <f t="shared" si="35"/>
        <v>0</v>
      </c>
      <c r="G59" s="160">
        <f t="shared" si="35"/>
        <v>0</v>
      </c>
      <c r="H59" s="160">
        <f t="shared" si="35"/>
        <v>0</v>
      </c>
      <c r="I59" s="160">
        <f t="shared" si="35"/>
        <v>0</v>
      </c>
      <c r="J59" s="160">
        <f t="shared" si="35"/>
        <v>0</v>
      </c>
      <c r="K59" s="160">
        <f t="shared" si="35"/>
        <v>0</v>
      </c>
      <c r="L59" s="160">
        <f t="shared" si="35"/>
        <v>0</v>
      </c>
      <c r="M59" s="160">
        <f t="shared" si="35"/>
        <v>0</v>
      </c>
      <c r="N59" s="160">
        <f t="shared" si="35"/>
        <v>0</v>
      </c>
      <c r="O59" s="160">
        <f t="shared" si="35"/>
        <v>0</v>
      </c>
      <c r="P59" s="160"/>
    </row>
    <row r="60" spans="1:18">
      <c r="A60" s="91" t="s">
        <v>162</v>
      </c>
      <c r="B60" s="91" t="s">
        <v>160</v>
      </c>
      <c r="D60" s="160">
        <f t="shared" ref="D60:O60" si="36">D28</f>
        <v>-3805627.5457992149</v>
      </c>
      <c r="E60" s="160">
        <f t="shared" si="36"/>
        <v>-563659.53619825351</v>
      </c>
      <c r="F60" s="160">
        <f t="shared" si="36"/>
        <v>1203786.5576870253</v>
      </c>
      <c r="G60" s="160">
        <f t="shared" si="36"/>
        <v>514067.94369548955</v>
      </c>
      <c r="H60" s="160">
        <f t="shared" si="36"/>
        <v>1033244.1472461548</v>
      </c>
      <c r="I60" s="160">
        <f t="shared" si="36"/>
        <v>641297.63806459436</v>
      </c>
      <c r="J60" s="160">
        <f t="shared" si="36"/>
        <v>-2204166.2829780672</v>
      </c>
      <c r="K60" s="160">
        <f t="shared" si="36"/>
        <v>-1049734.0065929042</v>
      </c>
      <c r="L60" s="160">
        <f t="shared" si="36"/>
        <v>-171563.42030425736</v>
      </c>
      <c r="M60" s="160">
        <f t="shared" si="36"/>
        <v>1653840.3774026581</v>
      </c>
      <c r="N60" s="160">
        <f t="shared" si="36"/>
        <v>504101.06730901491</v>
      </c>
      <c r="O60" s="160">
        <f t="shared" si="36"/>
        <v>151623.16136927018</v>
      </c>
      <c r="P60" s="160"/>
    </row>
    <row r="61" spans="1:18">
      <c r="A61" s="91"/>
      <c r="B61" s="91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</row>
    <row r="62" spans="1:18">
      <c r="A62" s="91" t="s">
        <v>162</v>
      </c>
      <c r="B62" s="91" t="s">
        <v>237</v>
      </c>
      <c r="D62" s="160">
        <f t="shared" ref="D62:O62" si="37">-D46-D47</f>
        <v>540175.85598445719</v>
      </c>
      <c r="E62" s="160">
        <f t="shared" si="37"/>
        <v>-152192.557540601</v>
      </c>
      <c r="F62" s="160">
        <f t="shared" si="37"/>
        <v>349168.22937461484</v>
      </c>
      <c r="G62" s="160">
        <f t="shared" si="37"/>
        <v>-462003.81125744729</v>
      </c>
      <c r="H62" s="160">
        <f t="shared" si="37"/>
        <v>-882864.46027972456</v>
      </c>
      <c r="I62" s="160">
        <f t="shared" si="37"/>
        <v>-621029.80642324593</v>
      </c>
      <c r="J62" s="160">
        <f t="shared" si="37"/>
        <v>-224008.16812375101</v>
      </c>
      <c r="K62" s="160">
        <f t="shared" si="37"/>
        <v>904733.17411424941</v>
      </c>
      <c r="L62" s="160">
        <f t="shared" si="37"/>
        <v>-580700.04141573561</v>
      </c>
      <c r="M62" s="160">
        <f t="shared" si="37"/>
        <v>-1057985.4115910633</v>
      </c>
      <c r="N62" s="160">
        <f t="shared" si="37"/>
        <v>323751.50943992747</v>
      </c>
      <c r="O62" s="160">
        <f t="shared" si="37"/>
        <v>154849.66301340089</v>
      </c>
      <c r="P62" s="160"/>
    </row>
    <row r="63" spans="1:18">
      <c r="A63" s="91"/>
      <c r="B63" s="91" t="s">
        <v>158</v>
      </c>
      <c r="D63" s="160">
        <f t="shared" ref="D63:O63" si="38">IF(D49&lt;0,-D49,0)</f>
        <v>787.75645664400008</v>
      </c>
      <c r="E63" s="160">
        <f t="shared" si="38"/>
        <v>1355.8630565398355</v>
      </c>
      <c r="F63" s="160">
        <f t="shared" si="38"/>
        <v>1647.0738452126805</v>
      </c>
      <c r="G63" s="160">
        <f t="shared" si="38"/>
        <v>1576.5654755696785</v>
      </c>
      <c r="H63" s="160">
        <f t="shared" si="38"/>
        <v>0</v>
      </c>
      <c r="I63" s="160">
        <f t="shared" si="38"/>
        <v>0</v>
      </c>
      <c r="J63" s="160">
        <f t="shared" si="38"/>
        <v>0</v>
      </c>
      <c r="K63" s="160">
        <f t="shared" si="38"/>
        <v>0</v>
      </c>
      <c r="L63" s="160">
        <f t="shared" si="38"/>
        <v>0</v>
      </c>
      <c r="M63" s="160">
        <f t="shared" si="38"/>
        <v>0</v>
      </c>
      <c r="N63" s="160">
        <f t="shared" si="38"/>
        <v>0</v>
      </c>
      <c r="O63" s="160">
        <f t="shared" si="38"/>
        <v>0</v>
      </c>
      <c r="P63" s="160"/>
    </row>
    <row r="64" spans="1:18">
      <c r="A64" s="91"/>
      <c r="B64" s="91" t="s">
        <v>159</v>
      </c>
      <c r="D64" s="160">
        <f t="shared" ref="D64:O64" si="39">IF(D49&gt;0,-D49,0)</f>
        <v>0</v>
      </c>
      <c r="E64" s="160">
        <f t="shared" si="39"/>
        <v>0</v>
      </c>
      <c r="F64" s="160">
        <f t="shared" si="39"/>
        <v>0</v>
      </c>
      <c r="G64" s="160">
        <f t="shared" si="39"/>
        <v>0</v>
      </c>
      <c r="H64" s="160">
        <f t="shared" si="39"/>
        <v>-497.50251258623013</v>
      </c>
      <c r="I64" s="160">
        <f t="shared" si="39"/>
        <v>-2823.8105117993177</v>
      </c>
      <c r="J64" s="160">
        <f t="shared" si="39"/>
        <v>-4417.7254717009964</v>
      </c>
      <c r="K64" s="160">
        <f t="shared" si="39"/>
        <v>-3309.1077058732876</v>
      </c>
      <c r="L64" s="160">
        <f t="shared" si="39"/>
        <v>-2785.3730923501212</v>
      </c>
      <c r="M64" s="160">
        <f t="shared" si="39"/>
        <v>-5845.5167693125659</v>
      </c>
      <c r="N64" s="160">
        <f t="shared" si="39"/>
        <v>-7153.9934273350218</v>
      </c>
      <c r="O64" s="160">
        <f t="shared" si="39"/>
        <v>-6339.5457975973759</v>
      </c>
      <c r="P64" s="160"/>
    </row>
    <row r="65" spans="1:16">
      <c r="A65" s="91" t="s">
        <v>162</v>
      </c>
      <c r="B65" s="91" t="s">
        <v>161</v>
      </c>
      <c r="D65" s="160">
        <f t="shared" ref="D65:O65" si="40">D50</f>
        <v>-540963.61244110123</v>
      </c>
      <c r="E65" s="160">
        <f t="shared" si="40"/>
        <v>150836.69448406115</v>
      </c>
      <c r="F65" s="160">
        <f t="shared" si="40"/>
        <v>-350815.30321982753</v>
      </c>
      <c r="G65" s="160">
        <f t="shared" si="40"/>
        <v>460427.2457818776</v>
      </c>
      <c r="H65" s="160">
        <f t="shared" si="40"/>
        <v>883361.96279231075</v>
      </c>
      <c r="I65" s="160">
        <f t="shared" si="40"/>
        <v>623853.61693504523</v>
      </c>
      <c r="J65" s="160">
        <f t="shared" si="40"/>
        <v>228425.89359545201</v>
      </c>
      <c r="K65" s="160">
        <f t="shared" si="40"/>
        <v>-901424.06640837609</v>
      </c>
      <c r="L65" s="160">
        <f t="shared" si="40"/>
        <v>583485.4145080857</v>
      </c>
      <c r="M65" s="160">
        <f t="shared" si="40"/>
        <v>1063830.9283603758</v>
      </c>
      <c r="N65" s="160">
        <f t="shared" si="40"/>
        <v>-316597.51601259247</v>
      </c>
      <c r="O65" s="160">
        <f t="shared" si="40"/>
        <v>-148510.1172158035</v>
      </c>
      <c r="P65" s="160"/>
    </row>
    <row r="66" spans="1:16">
      <c r="D66" s="160"/>
    </row>
    <row r="67" spans="1:16">
      <c r="A67" s="183"/>
      <c r="B67" s="91"/>
      <c r="C67" s="183"/>
      <c r="D67" s="200"/>
      <c r="E67" s="183"/>
    </row>
    <row r="68" spans="1:16">
      <c r="A68" s="183"/>
      <c r="B68" s="183"/>
      <c r="C68" s="183"/>
      <c r="D68" s="201"/>
      <c r="E68" s="183"/>
    </row>
    <row r="69" spans="1:16">
      <c r="A69" s="183"/>
      <c r="B69" s="91"/>
      <c r="C69" s="183"/>
      <c r="D69" s="200"/>
      <c r="E69" s="183"/>
    </row>
    <row r="70" spans="1:16">
      <c r="A70" s="183"/>
      <c r="B70" s="183"/>
      <c r="C70" s="183"/>
      <c r="D70" s="201"/>
      <c r="E70" s="183"/>
    </row>
    <row r="71" spans="1:16">
      <c r="A71" s="183"/>
      <c r="B71" s="183"/>
      <c r="C71" s="183"/>
      <c r="D71" s="183"/>
      <c r="E71" s="183"/>
    </row>
  </sheetData>
  <mergeCells count="5">
    <mergeCell ref="A1:O1"/>
    <mergeCell ref="A2:O2"/>
    <mergeCell ref="A3:O3"/>
    <mergeCell ref="R13:R14"/>
    <mergeCell ref="R35:R36"/>
  </mergeCells>
  <printOptions horizontalCentered="1"/>
  <pageMargins left="0.17" right="0.16" top="0.42" bottom="0.46" header="0.3" footer="0.3"/>
  <pageSetup scale="77" orientation="portrait" r:id="rId1"/>
  <headerFooter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M89"/>
  <sheetViews>
    <sheetView topLeftCell="A65" zoomScaleNormal="100" workbookViewId="0">
      <selection activeCell="A90" sqref="A90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21875" style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2.66406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213762</v>
      </c>
      <c r="D3" s="224"/>
      <c r="E3" s="197">
        <v>245803793.097</v>
      </c>
      <c r="F3" s="197">
        <v>-119213068</v>
      </c>
      <c r="G3" s="197">
        <v>148528721</v>
      </c>
      <c r="H3" s="218">
        <f>SUM(F3:G3)</f>
        <v>29315653</v>
      </c>
      <c r="I3" s="171">
        <f>E3+H3</f>
        <v>275119446.097</v>
      </c>
    </row>
    <row r="4" spans="1:9">
      <c r="A4" s="195" t="s">
        <v>203</v>
      </c>
      <c r="B4" s="164"/>
      <c r="C4" s="170">
        <v>415</v>
      </c>
      <c r="D4" s="224"/>
      <c r="E4" s="197">
        <v>582927.54799999995</v>
      </c>
      <c r="F4" s="197">
        <v>-302230</v>
      </c>
      <c r="G4" s="197">
        <v>351593</v>
      </c>
      <c r="H4" s="218">
        <f t="shared" ref="H4:H16" si="0">SUM(F4:G4)</f>
        <v>49363</v>
      </c>
      <c r="I4" s="171">
        <f t="shared" ref="I4:I16" si="1">E4+H4</f>
        <v>632290.54799999995</v>
      </c>
    </row>
    <row r="5" spans="1:9">
      <c r="A5" s="195" t="s">
        <v>149</v>
      </c>
      <c r="B5" s="164"/>
      <c r="C5" s="170">
        <v>22556</v>
      </c>
      <c r="D5" s="224"/>
      <c r="E5" s="197">
        <v>51006609.853</v>
      </c>
      <c r="F5" s="197">
        <v>-27771607</v>
      </c>
      <c r="G5" s="197">
        <v>30705832</v>
      </c>
      <c r="H5" s="218">
        <f t="shared" si="0"/>
        <v>2934225</v>
      </c>
      <c r="I5" s="171">
        <f t="shared" si="1"/>
        <v>53940834.853</v>
      </c>
    </row>
    <row r="6" spans="1:9">
      <c r="A6" s="195" t="s">
        <v>150</v>
      </c>
      <c r="B6" s="164"/>
      <c r="C6" s="170">
        <v>9391</v>
      </c>
      <c r="D6" s="224"/>
      <c r="E6" s="197">
        <v>6171166.5140000004</v>
      </c>
      <c r="F6" s="197">
        <v>-2955141</v>
      </c>
      <c r="G6" s="197">
        <v>3711265</v>
      </c>
      <c r="H6" s="218">
        <f t="shared" si="0"/>
        <v>756124</v>
      </c>
      <c r="I6" s="171">
        <f t="shared" si="1"/>
        <v>6927290.5140000004</v>
      </c>
    </row>
    <row r="7" spans="1:9">
      <c r="A7" s="195" t="s">
        <v>151</v>
      </c>
      <c r="B7" s="164"/>
      <c r="C7" s="170">
        <v>1854</v>
      </c>
      <c r="D7" s="224"/>
      <c r="E7" s="197">
        <v>120134883.52599999</v>
      </c>
      <c r="F7" s="197">
        <v>-69042836</v>
      </c>
      <c r="G7" s="197">
        <v>72193864</v>
      </c>
      <c r="H7" s="218">
        <f t="shared" si="0"/>
        <v>3151028</v>
      </c>
      <c r="I7" s="171">
        <f t="shared" si="1"/>
        <v>123285911.52599999</v>
      </c>
    </row>
    <row r="8" spans="1:9">
      <c r="A8" s="195" t="s">
        <v>152</v>
      </c>
      <c r="B8" s="164"/>
      <c r="C8" s="170">
        <v>47</v>
      </c>
      <c r="D8" s="224"/>
      <c r="E8" s="197">
        <v>3274150.32</v>
      </c>
      <c r="F8" s="197">
        <v>-1578314</v>
      </c>
      <c r="G8" s="197">
        <v>1992363</v>
      </c>
      <c r="H8" s="218">
        <f t="shared" si="0"/>
        <v>414049</v>
      </c>
      <c r="I8" s="171">
        <f t="shared" si="1"/>
        <v>3688199.32</v>
      </c>
    </row>
    <row r="9" spans="1:9">
      <c r="A9" s="195" t="s">
        <v>153</v>
      </c>
      <c r="B9" s="164"/>
      <c r="C9" s="170">
        <v>23</v>
      </c>
      <c r="D9" s="224"/>
      <c r="E9" s="197">
        <f>95864271-E10</f>
        <v>61292069.399999999</v>
      </c>
      <c r="F9" s="197">
        <v>-5153310</v>
      </c>
      <c r="G9" s="197">
        <v>2136242</v>
      </c>
      <c r="H9" s="218">
        <f t="shared" si="0"/>
        <v>-3017068</v>
      </c>
      <c r="I9" s="171">
        <f t="shared" si="1"/>
        <v>58275001.399999999</v>
      </c>
    </row>
    <row r="10" spans="1:9">
      <c r="A10" s="195" t="s">
        <v>204</v>
      </c>
      <c r="B10" s="164"/>
      <c r="C10" s="170"/>
      <c r="D10" s="224"/>
      <c r="E10" s="197">
        <v>34572201.600000001</v>
      </c>
      <c r="F10" s="197">
        <v>0</v>
      </c>
      <c r="G10" s="197">
        <v>0</v>
      </c>
      <c r="H10" s="218">
        <f t="shared" si="0"/>
        <v>0</v>
      </c>
      <c r="I10" s="171">
        <f t="shared" si="1"/>
        <v>34572201.600000001</v>
      </c>
    </row>
    <row r="11" spans="1:9">
      <c r="A11" s="195" t="s">
        <v>205</v>
      </c>
      <c r="B11" s="164"/>
      <c r="C11" s="170">
        <v>49</v>
      </c>
      <c r="D11" s="224"/>
      <c r="E11" s="197">
        <v>13480</v>
      </c>
      <c r="F11" s="197">
        <v>0</v>
      </c>
      <c r="G11" s="197">
        <v>0</v>
      </c>
      <c r="H11" s="218">
        <f t="shared" si="0"/>
        <v>0</v>
      </c>
      <c r="I11" s="171">
        <f t="shared" si="1"/>
        <v>13480</v>
      </c>
    </row>
    <row r="12" spans="1:9">
      <c r="A12" s="195" t="s">
        <v>154</v>
      </c>
      <c r="B12" s="164"/>
      <c r="C12" s="170">
        <v>1144</v>
      </c>
      <c r="D12" s="224"/>
      <c r="E12" s="197">
        <v>3103166.1630000002</v>
      </c>
      <c r="F12" s="197">
        <v>-2317099</v>
      </c>
      <c r="G12" s="197">
        <v>1679835</v>
      </c>
      <c r="H12" s="218">
        <f t="shared" si="0"/>
        <v>-637264</v>
      </c>
      <c r="I12" s="171">
        <f t="shared" si="1"/>
        <v>2465902.1630000002</v>
      </c>
    </row>
    <row r="13" spans="1:9">
      <c r="A13" s="195" t="s">
        <v>155</v>
      </c>
      <c r="B13" s="164"/>
      <c r="C13" s="170">
        <v>1181</v>
      </c>
      <c r="D13" s="224"/>
      <c r="E13" s="197">
        <v>249977.389</v>
      </c>
      <c r="F13" s="197">
        <v>-134325</v>
      </c>
      <c r="G13" s="197">
        <v>156264</v>
      </c>
      <c r="H13" s="218">
        <f t="shared" si="0"/>
        <v>21939</v>
      </c>
      <c r="I13" s="171">
        <f t="shared" si="1"/>
        <v>271916.38899999997</v>
      </c>
    </row>
    <row r="14" spans="1:9">
      <c r="A14" s="195" t="s">
        <v>206</v>
      </c>
      <c r="B14" s="164"/>
      <c r="C14" s="170">
        <v>426</v>
      </c>
      <c r="D14" s="224"/>
      <c r="E14" s="197">
        <v>987328.78</v>
      </c>
      <c r="F14" s="197"/>
      <c r="G14" s="197"/>
      <c r="H14" s="218"/>
      <c r="I14" s="171">
        <f t="shared" si="1"/>
        <v>987328.78</v>
      </c>
    </row>
    <row r="15" spans="1:9">
      <c r="A15" s="195" t="s">
        <v>207</v>
      </c>
      <c r="B15" s="164"/>
      <c r="C15" s="170"/>
      <c r="D15" s="224"/>
      <c r="E15" s="197">
        <v>443211.76828999998</v>
      </c>
      <c r="F15" s="197"/>
      <c r="G15" s="197"/>
      <c r="H15" s="218">
        <f t="shared" si="0"/>
        <v>0</v>
      </c>
      <c r="I15" s="171">
        <f t="shared" si="1"/>
        <v>443211.76828999998</v>
      </c>
    </row>
    <row r="16" spans="1:9">
      <c r="A16" s="195" t="s">
        <v>208</v>
      </c>
      <c r="B16" s="164"/>
      <c r="C16" s="170"/>
      <c r="D16" s="225"/>
      <c r="E16" s="197">
        <v>235206.23134</v>
      </c>
      <c r="F16" s="197"/>
      <c r="G16" s="197"/>
      <c r="H16" s="218">
        <f t="shared" si="0"/>
        <v>0</v>
      </c>
      <c r="I16" s="171">
        <f t="shared" si="1"/>
        <v>235206.23134</v>
      </c>
    </row>
    <row r="17" spans="1:9">
      <c r="A17" s="164"/>
      <c r="B17" s="164"/>
      <c r="C17" s="172">
        <f>SUM(C3:C16)</f>
        <v>250848</v>
      </c>
      <c r="E17" s="172">
        <f t="shared" ref="E17:I17" si="2">SUM(E3:E16)</f>
        <v>527870172.18962991</v>
      </c>
      <c r="F17" s="172">
        <f t="shared" si="2"/>
        <v>-228467930</v>
      </c>
      <c r="G17" s="172">
        <f t="shared" si="2"/>
        <v>261455979</v>
      </c>
      <c r="H17" s="172">
        <f t="shared" si="2"/>
        <v>32988049</v>
      </c>
      <c r="I17" s="172">
        <f t="shared" si="2"/>
        <v>560858221.18963003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214177</v>
      </c>
      <c r="E19" s="174">
        <f>E3+E4</f>
        <v>246386720.64500001</v>
      </c>
      <c r="F19" s="174">
        <f t="shared" ref="F19:H19" si="3">F3+F4</f>
        <v>-119515298</v>
      </c>
      <c r="G19" s="174">
        <f t="shared" si="3"/>
        <v>148880314</v>
      </c>
      <c r="H19" s="174">
        <f t="shared" si="3"/>
        <v>29365016</v>
      </c>
      <c r="I19" s="173">
        <f>I3+I4</f>
        <v>275751736.64499998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36222</v>
      </c>
      <c r="E21" s="192">
        <f>SUM(E5:E8,E11:E13)</f>
        <v>183953433.76499999</v>
      </c>
      <c r="F21" s="192">
        <f t="shared" ref="F21:H21" si="4">SUM(F5:F8,F11:F13)</f>
        <v>-103799322</v>
      </c>
      <c r="G21" s="192">
        <f t="shared" si="4"/>
        <v>110439423</v>
      </c>
      <c r="H21" s="192">
        <f t="shared" si="4"/>
        <v>6640101</v>
      </c>
      <c r="I21" s="191">
        <f>SUM(I5:I8,I11:I13)</f>
        <v>190593534.76499999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1853943.5</v>
      </c>
      <c r="D24" s="196">
        <v>21826806.739999998</v>
      </c>
      <c r="E24" s="198">
        <v>-11231614</v>
      </c>
      <c r="F24" s="198">
        <v>14216193</v>
      </c>
      <c r="G24" s="188">
        <f>SUM(D24:F24)</f>
        <v>24811385.739999998</v>
      </c>
      <c r="H24" s="188">
        <f>-J65</f>
        <v>-221626.33668000001</v>
      </c>
      <c r="I24" s="188">
        <f>SUM(G24:H24)</f>
        <v>24589759.40332</v>
      </c>
    </row>
    <row r="25" spans="1:9">
      <c r="A25" s="195" t="s">
        <v>203</v>
      </c>
      <c r="B25" s="164"/>
      <c r="C25" s="196">
        <v>3544.5</v>
      </c>
      <c r="D25" s="196">
        <v>51838.240000000005</v>
      </c>
      <c r="E25" s="198">
        <v>-18518</v>
      </c>
      <c r="F25" s="198">
        <v>22157</v>
      </c>
      <c r="G25" s="188">
        <f t="shared" ref="G25:G33" si="5">SUM(D25:F25)</f>
        <v>55477.240000000005</v>
      </c>
      <c r="H25" s="188">
        <f t="shared" ref="H25:H33" si="6">-J66</f>
        <v>1183.2311100000002</v>
      </c>
      <c r="I25" s="188">
        <f t="shared" ref="I25:I34" si="7">SUM(G25:H25)</f>
        <v>56660.471110000006</v>
      </c>
    </row>
    <row r="26" spans="1:9">
      <c r="A26" s="195" t="s">
        <v>149</v>
      </c>
      <c r="B26" s="164"/>
      <c r="C26" s="196">
        <v>413095.58</v>
      </c>
      <c r="D26" s="196">
        <v>5859528.8499999996</v>
      </c>
      <c r="E26" s="198">
        <v>-3270448</v>
      </c>
      <c r="F26" s="198">
        <v>3556674</v>
      </c>
      <c r="G26" s="188">
        <f t="shared" si="5"/>
        <v>6145754.8499999996</v>
      </c>
      <c r="H26" s="188">
        <f t="shared" si="6"/>
        <v>-17546.665499999999</v>
      </c>
      <c r="I26" s="188">
        <f t="shared" si="7"/>
        <v>6128208.1844999995</v>
      </c>
    </row>
    <row r="27" spans="1:9">
      <c r="A27" s="195" t="s">
        <v>150</v>
      </c>
      <c r="B27" s="164"/>
      <c r="C27" s="196">
        <v>170705.33</v>
      </c>
      <c r="D27" s="196">
        <v>854178.67</v>
      </c>
      <c r="E27" s="198">
        <v>-427061</v>
      </c>
      <c r="F27" s="198">
        <v>511590</v>
      </c>
      <c r="G27" s="188">
        <f t="shared" si="5"/>
        <v>938707.67</v>
      </c>
      <c r="H27" s="188">
        <f t="shared" si="6"/>
        <v>-3909.1610799999999</v>
      </c>
      <c r="I27" s="188">
        <f t="shared" si="7"/>
        <v>934798.50892000005</v>
      </c>
    </row>
    <row r="28" spans="1:9">
      <c r="A28" s="195" t="s">
        <v>151</v>
      </c>
      <c r="B28" s="164"/>
      <c r="C28" s="196">
        <v>929404</v>
      </c>
      <c r="D28" s="196">
        <v>10621814.539999999</v>
      </c>
      <c r="E28" s="198">
        <v>-5903731</v>
      </c>
      <c r="F28" s="198">
        <v>5870374</v>
      </c>
      <c r="G28" s="188">
        <f t="shared" si="5"/>
        <v>10588457.539999999</v>
      </c>
      <c r="H28" s="188">
        <f t="shared" si="6"/>
        <v>-14400.197960000001</v>
      </c>
      <c r="I28" s="188">
        <f t="shared" si="7"/>
        <v>10574057.342039999</v>
      </c>
    </row>
    <row r="29" spans="1:9">
      <c r="A29" s="195" t="s">
        <v>152</v>
      </c>
      <c r="B29" s="164"/>
      <c r="C29" s="196">
        <v>23666.67</v>
      </c>
      <c r="D29" s="196">
        <v>283603.3</v>
      </c>
      <c r="E29" s="198">
        <v>-138917</v>
      </c>
      <c r="F29" s="198">
        <v>161186</v>
      </c>
      <c r="G29" s="188">
        <f t="shared" si="5"/>
        <v>305872.3</v>
      </c>
      <c r="H29" s="188">
        <f t="shared" si="6"/>
        <v>-1556.8242399999999</v>
      </c>
      <c r="I29" s="188">
        <f t="shared" si="7"/>
        <v>304315.47576</v>
      </c>
    </row>
    <row r="30" spans="1:9">
      <c r="A30" s="195" t="s">
        <v>153</v>
      </c>
      <c r="B30" s="164"/>
      <c r="C30" s="196">
        <v>483000</v>
      </c>
      <c r="D30" s="196">
        <v>5682129.2199999997</v>
      </c>
      <c r="E30" s="198">
        <v>-325325</v>
      </c>
      <c r="F30" s="198">
        <v>147054</v>
      </c>
      <c r="G30" s="188">
        <f t="shared" si="5"/>
        <v>5503858.2199999997</v>
      </c>
      <c r="H30" s="188">
        <f t="shared" si="6"/>
        <v>7361.645919999999</v>
      </c>
      <c r="I30" s="188">
        <f t="shared" si="7"/>
        <v>5511219.8659199998</v>
      </c>
    </row>
    <row r="31" spans="1:9">
      <c r="A31" s="195" t="s">
        <v>205</v>
      </c>
      <c r="B31" s="164"/>
      <c r="C31" s="196">
        <v>882</v>
      </c>
      <c r="D31" s="196">
        <v>1804</v>
      </c>
      <c r="E31" s="198">
        <v>0</v>
      </c>
      <c r="F31" s="198">
        <v>0</v>
      </c>
      <c r="G31" s="188">
        <f t="shared" si="5"/>
        <v>1804</v>
      </c>
      <c r="H31" s="188">
        <f t="shared" si="6"/>
        <v>0</v>
      </c>
      <c r="I31" s="188">
        <f t="shared" si="7"/>
        <v>1804</v>
      </c>
    </row>
    <row r="32" spans="1:9">
      <c r="A32" s="195" t="s">
        <v>154</v>
      </c>
      <c r="B32" s="164"/>
      <c r="C32" s="196">
        <v>21531.87</v>
      </c>
      <c r="D32" s="196">
        <v>275545.31</v>
      </c>
      <c r="E32" s="198">
        <v>-211520</v>
      </c>
      <c r="F32" s="198">
        <v>151206</v>
      </c>
      <c r="G32" s="188">
        <f t="shared" si="5"/>
        <v>215231.31</v>
      </c>
      <c r="H32" s="188">
        <f t="shared" si="6"/>
        <v>1784.3391999999999</v>
      </c>
      <c r="I32" s="188">
        <f t="shared" si="7"/>
        <v>217015.64919999999</v>
      </c>
    </row>
    <row r="33" spans="1:11">
      <c r="A33" s="195" t="s">
        <v>155</v>
      </c>
      <c r="B33" s="164"/>
      <c r="C33" s="196">
        <v>21540</v>
      </c>
      <c r="D33" s="196">
        <v>42992.310000000005</v>
      </c>
      <c r="E33" s="198">
        <v>-22591</v>
      </c>
      <c r="F33" s="198">
        <v>23653</v>
      </c>
      <c r="G33" s="188">
        <f t="shared" si="5"/>
        <v>44054.310000000005</v>
      </c>
      <c r="H33" s="188">
        <f t="shared" si="6"/>
        <v>805.24984000000006</v>
      </c>
      <c r="I33" s="188">
        <f t="shared" si="7"/>
        <v>44859.559840000002</v>
      </c>
    </row>
    <row r="34" spans="1:11">
      <c r="A34" s="195" t="s">
        <v>217</v>
      </c>
      <c r="B34" s="164"/>
      <c r="C34" s="188"/>
      <c r="D34" s="196">
        <v>548472.01</v>
      </c>
      <c r="E34" s="196"/>
      <c r="F34" s="196"/>
      <c r="G34" s="188">
        <f>SUM(D34:F34)</f>
        <v>548472.01</v>
      </c>
      <c r="H34" s="188"/>
      <c r="I34" s="188">
        <f t="shared" si="7"/>
        <v>548472.01</v>
      </c>
    </row>
    <row r="35" spans="1:11">
      <c r="A35" s="195" t="s">
        <v>218</v>
      </c>
      <c r="B35" s="164"/>
      <c r="C35" s="224"/>
      <c r="D35" s="196">
        <v>2977711.58</v>
      </c>
      <c r="E35" s="196"/>
      <c r="F35" s="196"/>
      <c r="G35" s="188"/>
      <c r="H35" s="188"/>
      <c r="I35" s="188"/>
    </row>
    <row r="36" spans="1:11">
      <c r="A36" s="195" t="s">
        <v>219</v>
      </c>
      <c r="B36" s="164"/>
      <c r="C36" s="224"/>
      <c r="D36" s="196">
        <v>1793994.88</v>
      </c>
      <c r="E36" s="196"/>
      <c r="F36" s="196"/>
      <c r="G36" s="188"/>
      <c r="H36" s="188"/>
      <c r="I36" s="188"/>
    </row>
    <row r="37" spans="1:11">
      <c r="A37" s="164"/>
      <c r="B37" s="164"/>
      <c r="C37" s="178">
        <f>SUM(C24:C36)</f>
        <v>3921313.45</v>
      </c>
      <c r="D37" s="178">
        <f t="shared" ref="D37:I37" si="8">SUM(D24:D36)</f>
        <v>50820419.649999999</v>
      </c>
      <c r="E37" s="178">
        <f t="shared" si="8"/>
        <v>-21549725</v>
      </c>
      <c r="F37" s="178">
        <f t="shared" si="8"/>
        <v>24660087</v>
      </c>
      <c r="G37" s="178">
        <f t="shared" si="8"/>
        <v>49159075.189999998</v>
      </c>
      <c r="H37" s="178">
        <f t="shared" si="8"/>
        <v>-247904.71938999998</v>
      </c>
      <c r="I37" s="178">
        <f t="shared" si="8"/>
        <v>48911170.470609993</v>
      </c>
    </row>
    <row r="38" spans="1:11" ht="14.4" thickBot="1">
      <c r="A38" s="164"/>
      <c r="B38" s="164"/>
      <c r="D38" s="179"/>
      <c r="E38" s="164"/>
      <c r="F38" s="164"/>
    </row>
    <row r="39" spans="1:11">
      <c r="A39" s="164" t="s">
        <v>19</v>
      </c>
      <c r="B39" s="164"/>
      <c r="C39" s="181">
        <f>C24+C25</f>
        <v>1857488</v>
      </c>
      <c r="D39" s="180">
        <f t="shared" ref="D39:I39" si="9">D24+D25</f>
        <v>21878644.979999997</v>
      </c>
      <c r="E39" s="180">
        <f t="shared" si="9"/>
        <v>-11250132</v>
      </c>
      <c r="F39" s="180">
        <f t="shared" si="9"/>
        <v>14238350</v>
      </c>
      <c r="G39" s="180">
        <f t="shared" si="9"/>
        <v>24866862.979999997</v>
      </c>
      <c r="H39" s="180">
        <f t="shared" si="9"/>
        <v>-220443.10557000001</v>
      </c>
      <c r="I39" s="181">
        <f t="shared" si="9"/>
        <v>24646419.874430001</v>
      </c>
    </row>
    <row r="40" spans="1:11" ht="6" customHeight="1">
      <c r="A40" s="164"/>
      <c r="B40" s="164"/>
      <c r="C40" s="187"/>
      <c r="D40" s="180"/>
      <c r="E40" s="164"/>
      <c r="F40" s="164"/>
      <c r="I40" s="219"/>
    </row>
    <row r="41" spans="1:11" ht="14.4" thickBot="1">
      <c r="A41" s="164" t="s">
        <v>209</v>
      </c>
      <c r="B41" s="164"/>
      <c r="C41" s="189">
        <f>SUM(C26:C29,C31:C33)</f>
        <v>1580825.4500000002</v>
      </c>
      <c r="D41" s="190">
        <f t="shared" ref="D41:I41" si="10">SUM(D26:D29,D31:D33)</f>
        <v>17939466.979999997</v>
      </c>
      <c r="E41" s="190">
        <f t="shared" si="10"/>
        <v>-9974268</v>
      </c>
      <c r="F41" s="190">
        <f t="shared" si="10"/>
        <v>10274683</v>
      </c>
      <c r="G41" s="190">
        <f t="shared" si="10"/>
        <v>18239881.979999997</v>
      </c>
      <c r="H41" s="190">
        <f t="shared" si="10"/>
        <v>-34823.259740000001</v>
      </c>
      <c r="I41" s="189">
        <f t="shared" si="10"/>
        <v>18205058.720260002</v>
      </c>
    </row>
    <row r="42" spans="1:11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1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1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1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1">
      <c r="A46" s="164"/>
      <c r="B46" s="164"/>
      <c r="C46" s="205"/>
      <c r="D46" s="190"/>
      <c r="E46" s="190"/>
      <c r="F46" s="190"/>
      <c r="G46" s="190"/>
      <c r="H46" s="190"/>
      <c r="I46" s="205"/>
    </row>
    <row r="47" spans="1:11">
      <c r="A47" s="164"/>
      <c r="B47" s="164"/>
      <c r="C47" s="205"/>
      <c r="D47" s="190"/>
      <c r="E47" s="190"/>
      <c r="F47" s="190"/>
      <c r="G47" s="190"/>
      <c r="H47" s="190"/>
      <c r="I47" s="205"/>
    </row>
    <row r="48" spans="1:11">
      <c r="C48" s="220">
        <v>43040</v>
      </c>
      <c r="D48" s="229">
        <v>43040</v>
      </c>
      <c r="E48" s="221">
        <v>42278</v>
      </c>
      <c r="F48" s="220">
        <v>42583</v>
      </c>
      <c r="G48" s="220">
        <v>43009</v>
      </c>
      <c r="H48" s="220">
        <v>42380</v>
      </c>
      <c r="I48" s="220">
        <v>42917</v>
      </c>
      <c r="J48" s="220"/>
      <c r="K48" s="229"/>
    </row>
    <row r="49" spans="1:13" ht="42" customHeight="1">
      <c r="A49" s="193" t="s">
        <v>220</v>
      </c>
      <c r="B49" s="166"/>
      <c r="C49" s="177" t="s">
        <v>221</v>
      </c>
      <c r="D49" s="177" t="s">
        <v>239</v>
      </c>
      <c r="E49" s="177" t="s">
        <v>222</v>
      </c>
      <c r="F49" s="177" t="s">
        <v>223</v>
      </c>
      <c r="G49" s="177" t="s">
        <v>224</v>
      </c>
      <c r="H49" s="177" t="s">
        <v>225</v>
      </c>
      <c r="I49" s="177" t="s">
        <v>226</v>
      </c>
      <c r="J49" s="241"/>
      <c r="K49" s="241"/>
    </row>
    <row r="50" spans="1:13">
      <c r="A50" s="195" t="s">
        <v>148</v>
      </c>
      <c r="B50" s="164"/>
      <c r="C50" s="184">
        <v>-8.0999999999999996E-4</v>
      </c>
      <c r="D50" s="184">
        <v>4.45E-3</v>
      </c>
      <c r="E50" s="184"/>
      <c r="F50" s="184">
        <v>3.4399999999999999E-3</v>
      </c>
      <c r="G50" s="184">
        <v>1.0499999999999999E-3</v>
      </c>
      <c r="H50" s="184">
        <v>0</v>
      </c>
      <c r="I50" s="184">
        <v>-5.6999999999999998E-4</v>
      </c>
      <c r="J50" s="184"/>
      <c r="K50" s="184"/>
    </row>
    <row r="51" spans="1:13">
      <c r="A51" s="195" t="s">
        <v>203</v>
      </c>
      <c r="B51" s="164"/>
      <c r="C51" s="184">
        <v>-8.0999999999999996E-4</v>
      </c>
      <c r="D51" s="184">
        <v>4.45E-3</v>
      </c>
      <c r="E51" s="184">
        <v>-3.1530000000000002E-2</v>
      </c>
      <c r="F51" s="184">
        <v>3.4399999999999999E-3</v>
      </c>
      <c r="G51" s="184">
        <v>1.0499999999999999E-3</v>
      </c>
      <c r="H51" s="184">
        <v>0</v>
      </c>
      <c r="I51" s="184">
        <v>-5.6999999999999998E-4</v>
      </c>
      <c r="J51" s="184"/>
      <c r="K51" s="184"/>
    </row>
    <row r="52" spans="1:13">
      <c r="A52" s="195" t="s">
        <v>149</v>
      </c>
      <c r="B52" s="164"/>
      <c r="C52" s="184">
        <v>0</v>
      </c>
      <c r="D52" s="184">
        <v>4.0000000000000002E-4</v>
      </c>
      <c r="E52" s="184"/>
      <c r="F52" s="184">
        <v>4.6299999999999996E-3</v>
      </c>
      <c r="G52" s="184">
        <v>1.5200000000000001E-3</v>
      </c>
      <c r="H52" s="184">
        <v>0</v>
      </c>
      <c r="I52" s="184">
        <v>-5.6999999999999998E-4</v>
      </c>
      <c r="J52" s="184"/>
      <c r="K52" s="184"/>
    </row>
    <row r="53" spans="1:13">
      <c r="A53" s="195" t="s">
        <v>150</v>
      </c>
      <c r="B53" s="164"/>
      <c r="C53" s="184">
        <v>-8.0999999999999996E-4</v>
      </c>
      <c r="D53" s="184">
        <v>4.0000000000000002E-4</v>
      </c>
      <c r="E53" s="184"/>
      <c r="F53" s="184">
        <v>4.6299999999999996E-3</v>
      </c>
      <c r="G53" s="184">
        <v>1.5200000000000001E-3</v>
      </c>
      <c r="H53" s="184">
        <v>0</v>
      </c>
      <c r="I53" s="184">
        <v>-5.6999999999999998E-4</v>
      </c>
      <c r="J53" s="184"/>
      <c r="K53" s="184"/>
    </row>
    <row r="54" spans="1:13">
      <c r="A54" s="195" t="s">
        <v>151</v>
      </c>
      <c r="B54" s="164"/>
      <c r="C54" s="184">
        <v>0</v>
      </c>
      <c r="D54" s="184">
        <v>4.0000000000000002E-4</v>
      </c>
      <c r="E54" s="184"/>
      <c r="F54" s="184">
        <v>3.6600000000000001E-3</v>
      </c>
      <c r="G54" s="184">
        <v>1.1000000000000001E-3</v>
      </c>
      <c r="H54" s="184">
        <v>0</v>
      </c>
      <c r="I54" s="184">
        <v>-5.9000000000000003E-4</v>
      </c>
      <c r="J54" s="184"/>
      <c r="K54" s="184"/>
    </row>
    <row r="55" spans="1:13">
      <c r="A55" s="195" t="s">
        <v>152</v>
      </c>
      <c r="B55" s="164"/>
      <c r="C55" s="184">
        <v>-8.0999999999999996E-4</v>
      </c>
      <c r="D55" s="184">
        <v>4.0000000000000002E-4</v>
      </c>
      <c r="E55" s="184"/>
      <c r="F55" s="184">
        <v>3.6600000000000001E-3</v>
      </c>
      <c r="G55" s="184">
        <v>1.1000000000000001E-3</v>
      </c>
      <c r="H55" s="184">
        <v>0</v>
      </c>
      <c r="I55" s="184">
        <v>-5.9000000000000003E-4</v>
      </c>
      <c r="J55" s="184"/>
      <c r="K55" s="184"/>
    </row>
    <row r="56" spans="1:13">
      <c r="A56" s="195" t="s">
        <v>153</v>
      </c>
      <c r="B56" s="164"/>
      <c r="C56" s="184">
        <v>0</v>
      </c>
      <c r="D56" s="184">
        <v>0</v>
      </c>
      <c r="E56" s="184"/>
      <c r="F56" s="184">
        <v>2.32E-3</v>
      </c>
      <c r="G56" s="184">
        <v>6.8999999999999997E-4</v>
      </c>
      <c r="H56" s="184">
        <v>0</v>
      </c>
      <c r="I56" s="184">
        <v>-5.6999999999999998E-4</v>
      </c>
      <c r="J56" s="184"/>
      <c r="K56" s="184"/>
    </row>
    <row r="57" spans="1:13">
      <c r="A57" s="195" t="s">
        <v>204</v>
      </c>
      <c r="B57" s="164"/>
      <c r="C57" s="184">
        <v>0</v>
      </c>
      <c r="D57" s="184">
        <v>0</v>
      </c>
      <c r="E57" s="184"/>
      <c r="F57" s="184">
        <v>2.32E-3</v>
      </c>
      <c r="G57" s="184">
        <v>0</v>
      </c>
      <c r="H57" s="184">
        <v>0</v>
      </c>
      <c r="I57" s="184">
        <v>-5.6999999999999998E-4</v>
      </c>
      <c r="J57" s="184"/>
      <c r="K57" s="184"/>
    </row>
    <row r="58" spans="1:13">
      <c r="A58" s="195" t="s">
        <v>205</v>
      </c>
      <c r="B58" s="164"/>
      <c r="C58" s="184">
        <v>0</v>
      </c>
      <c r="D58" s="184">
        <v>4.0000000000000002E-4</v>
      </c>
      <c r="E58" s="184"/>
      <c r="F58" s="184">
        <v>3.4099999999999998E-3</v>
      </c>
      <c r="G58" s="184">
        <v>9.6000000000000002E-4</v>
      </c>
      <c r="H58" s="184">
        <v>0</v>
      </c>
      <c r="I58" s="184">
        <v>-6.0999999999999997E-4</v>
      </c>
      <c r="J58" s="184"/>
      <c r="K58" s="184"/>
    </row>
    <row r="59" spans="1:13">
      <c r="A59" s="195" t="s">
        <v>154</v>
      </c>
      <c r="B59" s="164"/>
      <c r="C59" s="184">
        <v>0</v>
      </c>
      <c r="D59" s="184">
        <v>4.0000000000000002E-4</v>
      </c>
      <c r="E59" s="184"/>
      <c r="F59" s="184">
        <v>3.4099999999999998E-3</v>
      </c>
      <c r="G59" s="184">
        <v>9.6000000000000002E-4</v>
      </c>
      <c r="H59" s="184">
        <v>0</v>
      </c>
      <c r="I59" s="184">
        <v>-6.0999999999999997E-4</v>
      </c>
      <c r="J59" s="184"/>
      <c r="K59" s="184"/>
    </row>
    <row r="60" spans="1:13">
      <c r="A60" s="195" t="s">
        <v>155</v>
      </c>
      <c r="B60" s="164"/>
      <c r="C60" s="184">
        <v>-8.0999999999999996E-4</v>
      </c>
      <c r="D60" s="184">
        <v>4.0000000000000002E-4</v>
      </c>
      <c r="E60" s="184"/>
      <c r="F60" s="184">
        <v>3.4099999999999998E-3</v>
      </c>
      <c r="G60" s="184">
        <v>9.6000000000000002E-4</v>
      </c>
      <c r="H60" s="184">
        <v>0</v>
      </c>
      <c r="I60" s="184">
        <v>-6.0999999999999997E-4</v>
      </c>
      <c r="J60" s="184"/>
      <c r="K60" s="184"/>
    </row>
    <row r="61" spans="1:13" ht="14.4" customHeight="1">
      <c r="A61" s="195" t="s">
        <v>217</v>
      </c>
      <c r="B61" s="164"/>
      <c r="C61" s="184">
        <v>0</v>
      </c>
      <c r="D61" s="184">
        <v>0</v>
      </c>
      <c r="E61" s="184"/>
      <c r="F61" s="202">
        <v>1.2149999999999999E-2</v>
      </c>
      <c r="G61" s="255" t="s">
        <v>241</v>
      </c>
      <c r="H61" s="184">
        <v>0</v>
      </c>
      <c r="I61" s="202">
        <v>-6.4999999999999997E-4</v>
      </c>
      <c r="J61" s="184"/>
      <c r="K61" s="184"/>
    </row>
    <row r="62" spans="1:13">
      <c r="A62" s="195" t="s">
        <v>208</v>
      </c>
      <c r="B62" s="164"/>
      <c r="C62" s="184">
        <v>-8.0999999999999996E-4</v>
      </c>
      <c r="D62" s="184">
        <v>0</v>
      </c>
      <c r="E62" s="184"/>
      <c r="F62" s="202">
        <v>1.2149999999999999E-2</v>
      </c>
      <c r="G62" s="255"/>
      <c r="H62" s="184">
        <v>0</v>
      </c>
      <c r="I62" s="202">
        <v>-6.4999999999999997E-4</v>
      </c>
      <c r="J62" s="184"/>
      <c r="K62" s="184"/>
    </row>
    <row r="63" spans="1:13">
      <c r="E63" s="164"/>
    </row>
    <row r="64" spans="1:13" ht="52.8">
      <c r="A64" s="193" t="s">
        <v>227</v>
      </c>
      <c r="B64" s="166"/>
      <c r="C64" s="186" t="s">
        <v>234</v>
      </c>
      <c r="D64" s="186" t="s">
        <v>239</v>
      </c>
      <c r="E64" s="186" t="s">
        <v>228</v>
      </c>
      <c r="F64" s="186" t="s">
        <v>229</v>
      </c>
      <c r="G64" s="186" t="s">
        <v>230</v>
      </c>
      <c r="H64" s="186" t="s">
        <v>231</v>
      </c>
      <c r="I64" s="186" t="s">
        <v>232</v>
      </c>
      <c r="J64" s="186" t="s">
        <v>233</v>
      </c>
      <c r="M64" s="240"/>
    </row>
    <row r="65" spans="1:13">
      <c r="A65" s="195" t="s">
        <v>148</v>
      </c>
      <c r="C65" s="180">
        <f>C50*H3</f>
        <v>-23745.678929999998</v>
      </c>
      <c r="D65" s="180">
        <f>D50*H3</f>
        <v>130454.65585</v>
      </c>
      <c r="E65" s="180">
        <f t="shared" ref="E65:E70" si="11">$H3*E50</f>
        <v>0</v>
      </c>
      <c r="F65" s="180">
        <f t="shared" ref="F65:G70" si="12">($H3*F50)</f>
        <v>100845.84632</v>
      </c>
      <c r="G65" s="180">
        <f t="shared" si="12"/>
        <v>30781.435649999999</v>
      </c>
      <c r="H65" s="180">
        <f t="shared" ref="H65:H70" si="13">$H3*H50</f>
        <v>0</v>
      </c>
      <c r="I65" s="180">
        <f t="shared" ref="I65:I70" si="14">(I50*H3)</f>
        <v>-16709.922210000001</v>
      </c>
      <c r="J65" s="180">
        <f>SUM(C65:I65)</f>
        <v>221626.33668000001</v>
      </c>
      <c r="M65" s="180"/>
    </row>
    <row r="66" spans="1:13">
      <c r="A66" s="195" t="s">
        <v>203</v>
      </c>
      <c r="C66" s="180">
        <f t="shared" ref="C66:C75" si="15">C51*H4</f>
        <v>-39.984029999999997</v>
      </c>
      <c r="D66" s="180">
        <f t="shared" ref="D66:D75" si="16">D51*H4</f>
        <v>219.66534999999999</v>
      </c>
      <c r="E66" s="180">
        <f t="shared" si="11"/>
        <v>-1556.4153900000001</v>
      </c>
      <c r="F66" s="180">
        <f t="shared" si="12"/>
        <v>169.80871999999999</v>
      </c>
      <c r="G66" s="180">
        <f t="shared" si="12"/>
        <v>51.831149999999994</v>
      </c>
      <c r="H66" s="180">
        <f t="shared" si="13"/>
        <v>0</v>
      </c>
      <c r="I66" s="180">
        <f t="shared" si="14"/>
        <v>-28.13691</v>
      </c>
      <c r="J66" s="180">
        <f t="shared" ref="J66:J75" si="17">SUM(C66:I66)</f>
        <v>-1183.2311100000002</v>
      </c>
      <c r="M66" s="180"/>
    </row>
    <row r="67" spans="1:13">
      <c r="A67" s="195" t="s">
        <v>149</v>
      </c>
      <c r="C67" s="180">
        <f t="shared" si="15"/>
        <v>0</v>
      </c>
      <c r="D67" s="180">
        <f t="shared" si="16"/>
        <v>1173.69</v>
      </c>
      <c r="E67" s="180">
        <f t="shared" si="11"/>
        <v>0</v>
      </c>
      <c r="F67" s="180">
        <f t="shared" si="12"/>
        <v>13585.461749999999</v>
      </c>
      <c r="G67" s="180">
        <f t="shared" si="12"/>
        <v>4460.0219999999999</v>
      </c>
      <c r="H67" s="180">
        <f t="shared" si="13"/>
        <v>0</v>
      </c>
      <c r="I67" s="180">
        <f t="shared" si="14"/>
        <v>-1672.5082499999999</v>
      </c>
      <c r="J67" s="180">
        <f t="shared" si="17"/>
        <v>17546.665499999999</v>
      </c>
      <c r="M67" s="180"/>
    </row>
    <row r="68" spans="1:13">
      <c r="A68" s="195" t="s">
        <v>150</v>
      </c>
      <c r="C68" s="180">
        <f t="shared" si="15"/>
        <v>-612.46043999999995</v>
      </c>
      <c r="D68" s="180">
        <f t="shared" si="16"/>
        <v>302.44960000000003</v>
      </c>
      <c r="E68" s="180">
        <f t="shared" si="11"/>
        <v>0</v>
      </c>
      <c r="F68" s="180">
        <f t="shared" si="12"/>
        <v>3500.8541199999995</v>
      </c>
      <c r="G68" s="180">
        <f t="shared" si="12"/>
        <v>1149.3084800000001</v>
      </c>
      <c r="H68" s="180">
        <f t="shared" si="13"/>
        <v>0</v>
      </c>
      <c r="I68" s="180">
        <f t="shared" si="14"/>
        <v>-430.99068</v>
      </c>
      <c r="J68" s="180">
        <f t="shared" si="17"/>
        <v>3909.1610799999999</v>
      </c>
      <c r="M68" s="180"/>
    </row>
    <row r="69" spans="1:13">
      <c r="A69" s="195" t="s">
        <v>151</v>
      </c>
      <c r="C69" s="180">
        <f t="shared" si="15"/>
        <v>0</v>
      </c>
      <c r="D69" s="180">
        <f t="shared" si="16"/>
        <v>1260.4112</v>
      </c>
      <c r="E69" s="180">
        <f t="shared" si="11"/>
        <v>0</v>
      </c>
      <c r="F69" s="180">
        <f t="shared" si="12"/>
        <v>11532.762479999999</v>
      </c>
      <c r="G69" s="180">
        <f t="shared" si="12"/>
        <v>3466.1308000000004</v>
      </c>
      <c r="H69" s="180">
        <f t="shared" si="13"/>
        <v>0</v>
      </c>
      <c r="I69" s="180">
        <f t="shared" si="14"/>
        <v>-1859.10652</v>
      </c>
      <c r="J69" s="180">
        <f t="shared" si="17"/>
        <v>14400.197960000001</v>
      </c>
      <c r="M69" s="180"/>
    </row>
    <row r="70" spans="1:13">
      <c r="A70" s="195" t="s">
        <v>152</v>
      </c>
      <c r="C70" s="180">
        <f t="shared" si="15"/>
        <v>-335.37968999999998</v>
      </c>
      <c r="D70" s="180">
        <f t="shared" si="16"/>
        <v>165.61960000000002</v>
      </c>
      <c r="E70" s="180">
        <f t="shared" si="11"/>
        <v>0</v>
      </c>
      <c r="F70" s="180">
        <f t="shared" si="12"/>
        <v>1515.4193399999999</v>
      </c>
      <c r="G70" s="180">
        <f t="shared" si="12"/>
        <v>455.45390000000003</v>
      </c>
      <c r="H70" s="180">
        <f t="shared" si="13"/>
        <v>0</v>
      </c>
      <c r="I70" s="180">
        <f t="shared" si="14"/>
        <v>-244.28891000000002</v>
      </c>
      <c r="J70" s="180">
        <f>SUM(C70:I70)</f>
        <v>1556.8242399999999</v>
      </c>
      <c r="M70" s="180"/>
    </row>
    <row r="71" spans="1:13">
      <c r="A71" s="195" t="s">
        <v>153</v>
      </c>
      <c r="C71" s="180">
        <f t="shared" si="15"/>
        <v>0</v>
      </c>
      <c r="D71" s="180">
        <f t="shared" si="16"/>
        <v>0</v>
      </c>
      <c r="E71" s="180">
        <f>$H9*E56+$H10*E57</f>
        <v>0</v>
      </c>
      <c r="F71" s="180">
        <f>$H9*F56+$H10*F57</f>
        <v>-6999.5977599999997</v>
      </c>
      <c r="G71" s="180">
        <f>($H9*G56)</f>
        <v>-2081.7769199999998</v>
      </c>
      <c r="H71" s="180">
        <f>$H9*H56+$H10*H57</f>
        <v>0</v>
      </c>
      <c r="I71" s="180">
        <f>$H9*I56+$H10*I57</f>
        <v>1719.72876</v>
      </c>
      <c r="J71" s="180">
        <f t="shared" si="17"/>
        <v>-7361.645919999999</v>
      </c>
      <c r="M71" s="180"/>
    </row>
    <row r="72" spans="1:13">
      <c r="A72" s="195" t="s">
        <v>205</v>
      </c>
      <c r="C72" s="180">
        <f t="shared" si="15"/>
        <v>0</v>
      </c>
      <c r="D72" s="180">
        <f t="shared" si="16"/>
        <v>0</v>
      </c>
      <c r="E72" s="180">
        <f>$H11*E58</f>
        <v>0</v>
      </c>
      <c r="F72" s="180">
        <f>($H11*F57)</f>
        <v>0</v>
      </c>
      <c r="G72" s="180">
        <f>($H10*G57)</f>
        <v>0</v>
      </c>
      <c r="H72" s="180">
        <f t="shared" ref="H72:I74" si="18">$H11*H58</f>
        <v>0</v>
      </c>
      <c r="I72" s="180">
        <f t="shared" si="18"/>
        <v>0</v>
      </c>
      <c r="J72" s="180">
        <f t="shared" si="17"/>
        <v>0</v>
      </c>
      <c r="M72" s="180"/>
    </row>
    <row r="73" spans="1:13">
      <c r="A73" s="195" t="s">
        <v>154</v>
      </c>
      <c r="C73" s="180">
        <f t="shared" si="15"/>
        <v>0</v>
      </c>
      <c r="D73" s="180">
        <f t="shared" si="16"/>
        <v>0</v>
      </c>
      <c r="E73" s="180">
        <f>$H12*E59</f>
        <v>0</v>
      </c>
      <c r="F73" s="180">
        <f>($H12*F58)</f>
        <v>-2173.07024</v>
      </c>
      <c r="G73" s="180">
        <f>($H11*G58)</f>
        <v>0</v>
      </c>
      <c r="H73" s="180">
        <f t="shared" si="18"/>
        <v>0</v>
      </c>
      <c r="I73" s="180">
        <f t="shared" si="18"/>
        <v>388.73104000000001</v>
      </c>
      <c r="J73" s="180">
        <f t="shared" si="17"/>
        <v>-1784.3391999999999</v>
      </c>
      <c r="M73" s="180"/>
    </row>
    <row r="74" spans="1:13">
      <c r="A74" s="195" t="s">
        <v>155</v>
      </c>
      <c r="C74" s="180">
        <f t="shared" si="15"/>
        <v>0</v>
      </c>
      <c r="D74" s="180">
        <f t="shared" si="16"/>
        <v>-254.90560000000002</v>
      </c>
      <c r="E74" s="180">
        <f>$H13*E60</f>
        <v>0</v>
      </c>
      <c r="F74" s="180">
        <f>($H13*F59)</f>
        <v>74.811989999999994</v>
      </c>
      <c r="G74" s="180">
        <f>($H12*G59)</f>
        <v>-611.77344000000005</v>
      </c>
      <c r="H74" s="180">
        <f t="shared" si="18"/>
        <v>0</v>
      </c>
      <c r="I74" s="180">
        <f t="shared" si="18"/>
        <v>-13.38279</v>
      </c>
      <c r="J74" s="180">
        <f t="shared" si="17"/>
        <v>-805.24984000000006</v>
      </c>
      <c r="M74" s="180"/>
    </row>
    <row r="75" spans="1:13">
      <c r="A75" s="195" t="s">
        <v>217</v>
      </c>
      <c r="C75" s="180">
        <f t="shared" si="15"/>
        <v>-17.770589999999999</v>
      </c>
      <c r="D75" s="180">
        <f t="shared" si="16"/>
        <v>8.7756000000000007</v>
      </c>
      <c r="E75" s="180">
        <f>($H14+$H15)*E61</f>
        <v>0</v>
      </c>
      <c r="F75" s="180">
        <f>($H14*F60)</f>
        <v>0</v>
      </c>
      <c r="G75" s="180">
        <f>($H13*G60)</f>
        <v>21.061440000000001</v>
      </c>
      <c r="H75" s="180">
        <f>($H14+$H15)*H61</f>
        <v>0</v>
      </c>
      <c r="I75" s="180">
        <f>($H14+$H15)*I61</f>
        <v>0</v>
      </c>
      <c r="J75" s="180">
        <f t="shared" si="17"/>
        <v>12.066450000000003</v>
      </c>
      <c r="M75" s="180"/>
    </row>
    <row r="76" spans="1:13">
      <c r="A76" s="169"/>
      <c r="C76" s="222">
        <f>SUM(C65:C75)</f>
        <v>-24751.273679999998</v>
      </c>
      <c r="D76" s="222">
        <f t="shared" ref="D76:I76" si="19">SUM(D65:D75)</f>
        <v>133330.36159999997</v>
      </c>
      <c r="E76" s="222">
        <f t="shared" si="19"/>
        <v>-1556.4153900000001</v>
      </c>
      <c r="F76" s="222">
        <f t="shared" si="19"/>
        <v>122052.29672</v>
      </c>
      <c r="G76" s="222">
        <f t="shared" si="19"/>
        <v>37691.693060000005</v>
      </c>
      <c r="H76" s="222">
        <f t="shared" si="19"/>
        <v>0</v>
      </c>
      <c r="I76" s="222">
        <f t="shared" si="19"/>
        <v>-18849.876469999999</v>
      </c>
      <c r="J76" s="222">
        <f>SUM(J65:J75)</f>
        <v>247916.78584</v>
      </c>
    </row>
    <row r="77" spans="1:13" ht="15.75" customHeight="1"/>
    <row r="78" spans="1:13">
      <c r="A78" s="164" t="s">
        <v>19</v>
      </c>
      <c r="B78" s="164"/>
      <c r="C78" s="180">
        <f>C65+C66</f>
        <v>-23785.662959999998</v>
      </c>
      <c r="D78" s="180">
        <f t="shared" ref="D78:I78" si="20">D65+D66</f>
        <v>130674.32119999999</v>
      </c>
      <c r="E78" s="180">
        <f t="shared" si="20"/>
        <v>-1556.4153900000001</v>
      </c>
      <c r="F78" s="180">
        <f t="shared" si="20"/>
        <v>101015.65504</v>
      </c>
      <c r="G78" s="180">
        <f t="shared" si="20"/>
        <v>30833.266800000001</v>
      </c>
      <c r="H78" s="180">
        <f t="shared" si="20"/>
        <v>0</v>
      </c>
      <c r="I78" s="180">
        <f t="shared" si="20"/>
        <v>-16738.059120000002</v>
      </c>
      <c r="J78" s="180">
        <f>J65+J66</f>
        <v>220443.10557000001</v>
      </c>
    </row>
    <row r="79" spans="1:13">
      <c r="A79" s="164"/>
      <c r="B79" s="164"/>
      <c r="C79" s="180"/>
      <c r="D79" s="180"/>
      <c r="E79" s="180"/>
      <c r="F79" s="180"/>
      <c r="G79" s="180"/>
      <c r="H79" s="180"/>
      <c r="I79" s="180"/>
      <c r="J79" s="180"/>
    </row>
    <row r="80" spans="1:13">
      <c r="A80" s="164" t="s">
        <v>209</v>
      </c>
      <c r="B80" s="164"/>
      <c r="C80" s="190">
        <f>SUM(C67:C70,C72:C74)</f>
        <v>-947.84012999999993</v>
      </c>
      <c r="D80" s="190">
        <f t="shared" ref="D80:I80" si="21">SUM(D67:D70,D72:D74)</f>
        <v>2647.2647999999999</v>
      </c>
      <c r="E80" s="190">
        <f t="shared" si="21"/>
        <v>0</v>
      </c>
      <c r="F80" s="190">
        <f t="shared" si="21"/>
        <v>28036.239439999994</v>
      </c>
      <c r="G80" s="190">
        <f t="shared" si="21"/>
        <v>8919.1417400000009</v>
      </c>
      <c r="H80" s="190">
        <f t="shared" si="21"/>
        <v>0</v>
      </c>
      <c r="I80" s="190">
        <f t="shared" si="21"/>
        <v>-3831.5461100000002</v>
      </c>
      <c r="J80" s="190">
        <f>SUM(J67:J70,J72:J74)</f>
        <v>34823.259740000001</v>
      </c>
    </row>
    <row r="81" spans="1:6" ht="15.75" customHeight="1"/>
    <row r="82" spans="1:6" ht="14.4">
      <c r="A82" s="162" t="s">
        <v>242</v>
      </c>
      <c r="B82" s="162"/>
      <c r="C82" s="162"/>
      <c r="D82" s="162"/>
      <c r="E82" s="162"/>
      <c r="F82" s="162"/>
    </row>
    <row r="83" spans="1:6" ht="14.4">
      <c r="A83" s="162" t="s">
        <v>252</v>
      </c>
      <c r="B83" s="162"/>
      <c r="C83" s="162"/>
      <c r="D83" s="162"/>
      <c r="E83" s="162"/>
      <c r="F83" s="162"/>
    </row>
    <row r="84" spans="1:6" ht="14.4">
      <c r="A84" s="183" t="s">
        <v>251</v>
      </c>
      <c r="B84" s="183"/>
      <c r="C84" s="183"/>
      <c r="D84" s="183"/>
      <c r="E84" s="183"/>
      <c r="F84" s="162"/>
    </row>
    <row r="85" spans="1:6" ht="28.8">
      <c r="A85" s="183"/>
      <c r="B85" s="230" t="s">
        <v>243</v>
      </c>
      <c r="C85" s="230" t="s">
        <v>244</v>
      </c>
      <c r="D85" s="230" t="s">
        <v>245</v>
      </c>
      <c r="E85" s="230" t="s">
        <v>249</v>
      </c>
      <c r="F85" s="162"/>
    </row>
    <row r="86" spans="1:6" ht="14.4">
      <c r="A86" s="183" t="s">
        <v>253</v>
      </c>
      <c r="B86" s="231">
        <v>1</v>
      </c>
      <c r="C86" s="232">
        <v>911433.6</v>
      </c>
      <c r="D86" s="233">
        <f>77125.55-C86*SUM($C$54:$K$54)</f>
        <v>72960.298448000001</v>
      </c>
      <c r="E86" s="233">
        <v>500</v>
      </c>
      <c r="F86" s="234" t="s">
        <v>247</v>
      </c>
    </row>
    <row r="87" spans="1:6" ht="28.8">
      <c r="A87" s="235" t="s">
        <v>248</v>
      </c>
      <c r="B87" s="236">
        <f>SUM(B86:B86)</f>
        <v>1</v>
      </c>
      <c r="C87" s="237">
        <f>SUM(C86:C86)</f>
        <v>911433.6</v>
      </c>
      <c r="D87" s="238">
        <f>SUM(D86:D86)</f>
        <v>72960.298448000001</v>
      </c>
      <c r="E87" s="238">
        <f>SUM(E86:E86)</f>
        <v>500</v>
      </c>
      <c r="F87" s="162"/>
    </row>
    <row r="88" spans="1:6" ht="9" customHeight="1">
      <c r="A88" s="183"/>
      <c r="B88" s="183"/>
      <c r="C88" s="183"/>
      <c r="D88" s="183"/>
      <c r="E88" s="183"/>
      <c r="F88" s="162"/>
    </row>
    <row r="89" spans="1:6" ht="14.4">
      <c r="A89" s="239" t="s">
        <v>254</v>
      </c>
      <c r="B89" s="239"/>
      <c r="C89" s="239"/>
      <c r="D89" s="239"/>
      <c r="E89" s="239"/>
      <c r="F89" s="162"/>
    </row>
  </sheetData>
  <mergeCells count="2">
    <mergeCell ref="A1:I1"/>
    <mergeCell ref="G61:G62"/>
  </mergeCells>
  <pageMargins left="0.7" right="0.7" top="0.75" bottom="0.75" header="0.3" footer="0.3"/>
  <pageSetup scale="73" fitToHeight="2" orientation="landscape" r:id="rId1"/>
  <headerFooter>
    <oddFooter>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A1:M89"/>
  <sheetViews>
    <sheetView zoomScaleNormal="100" workbookViewId="0">
      <selection activeCell="I21" sqref="I21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5.6640625" style="1" bestFit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2.66406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254" t="s">
        <v>197</v>
      </c>
      <c r="B1" s="254"/>
      <c r="C1" s="254"/>
      <c r="D1" s="254"/>
      <c r="E1" s="254"/>
      <c r="F1" s="254"/>
      <c r="G1" s="254"/>
      <c r="H1" s="254"/>
      <c r="I1" s="254"/>
    </row>
    <row r="2" spans="1:9" ht="26.4" customHeight="1">
      <c r="A2" s="165"/>
      <c r="B2" s="166"/>
      <c r="C2" s="167" t="s">
        <v>198</v>
      </c>
      <c r="D2" s="166"/>
      <c r="E2" s="167" t="s">
        <v>199</v>
      </c>
      <c r="F2" s="168" t="s">
        <v>200</v>
      </c>
      <c r="G2" s="168" t="s">
        <v>201</v>
      </c>
      <c r="H2" s="168" t="s">
        <v>106</v>
      </c>
      <c r="I2" s="168" t="s">
        <v>202</v>
      </c>
    </row>
    <row r="3" spans="1:9">
      <c r="A3" s="195" t="s">
        <v>148</v>
      </c>
      <c r="B3" s="164"/>
      <c r="C3" s="170">
        <v>213407</v>
      </c>
      <c r="D3" s="224"/>
      <c r="E3" s="197">
        <v>193013064.54899999</v>
      </c>
      <c r="F3" s="197">
        <v>-98182541</v>
      </c>
      <c r="G3" s="197">
        <v>119213068</v>
      </c>
      <c r="H3" s="218">
        <f>SUM(F3:G3)</f>
        <v>21030527</v>
      </c>
      <c r="I3" s="171">
        <f>E3+H3</f>
        <v>214043591.54899999</v>
      </c>
    </row>
    <row r="4" spans="1:9">
      <c r="A4" s="195" t="s">
        <v>203</v>
      </c>
      <c r="B4" s="164"/>
      <c r="C4" s="170">
        <v>449</v>
      </c>
      <c r="D4" s="224"/>
      <c r="E4" s="197">
        <v>489238</v>
      </c>
      <c r="F4" s="197">
        <v>-210951</v>
      </c>
      <c r="G4" s="197">
        <v>302230</v>
      </c>
      <c r="H4" s="218">
        <f t="shared" ref="H4:H16" si="0">SUM(F4:G4)</f>
        <v>91279</v>
      </c>
      <c r="I4" s="171">
        <f t="shared" ref="I4:I16" si="1">E4+H4</f>
        <v>580517</v>
      </c>
    </row>
    <row r="5" spans="1:9">
      <c r="A5" s="195" t="s">
        <v>149</v>
      </c>
      <c r="B5" s="164"/>
      <c r="C5" s="170">
        <v>22341</v>
      </c>
      <c r="D5" s="224"/>
      <c r="E5" s="197">
        <v>45161872.186999999</v>
      </c>
      <c r="F5" s="197">
        <v>-26218176</v>
      </c>
      <c r="G5" s="197">
        <v>27771607</v>
      </c>
      <c r="H5" s="218">
        <f t="shared" si="0"/>
        <v>1553431</v>
      </c>
      <c r="I5" s="171">
        <f t="shared" si="1"/>
        <v>46715303.186999999</v>
      </c>
    </row>
    <row r="6" spans="1:9">
      <c r="A6" s="195" t="s">
        <v>150</v>
      </c>
      <c r="B6" s="164"/>
      <c r="C6" s="170">
        <v>9275</v>
      </c>
      <c r="D6" s="224"/>
      <c r="E6" s="197">
        <v>4782538.1710000001</v>
      </c>
      <c r="F6" s="197">
        <v>-2561546</v>
      </c>
      <c r="G6" s="197">
        <v>2955141</v>
      </c>
      <c r="H6" s="218">
        <f t="shared" si="0"/>
        <v>393595</v>
      </c>
      <c r="I6" s="171">
        <f t="shared" si="1"/>
        <v>5176133.1710000001</v>
      </c>
    </row>
    <row r="7" spans="1:9">
      <c r="A7" s="195" t="s">
        <v>151</v>
      </c>
      <c r="B7" s="164"/>
      <c r="C7" s="170">
        <v>1849</v>
      </c>
      <c r="D7" s="224"/>
      <c r="E7" s="197">
        <v>112461357.251</v>
      </c>
      <c r="F7" s="197">
        <v>-65997476</v>
      </c>
      <c r="G7" s="197">
        <v>69042836</v>
      </c>
      <c r="H7" s="218">
        <f t="shared" si="0"/>
        <v>3045360</v>
      </c>
      <c r="I7" s="171">
        <f t="shared" si="1"/>
        <v>115506717.251</v>
      </c>
    </row>
    <row r="8" spans="1:9">
      <c r="A8" s="195" t="s">
        <v>152</v>
      </c>
      <c r="B8" s="164"/>
      <c r="C8" s="170">
        <v>47</v>
      </c>
      <c r="D8" s="224"/>
      <c r="E8" s="197">
        <v>2554874.4</v>
      </c>
      <c r="F8" s="197">
        <v>-1476656</v>
      </c>
      <c r="G8" s="197">
        <v>1578314</v>
      </c>
      <c r="H8" s="218">
        <f t="shared" si="0"/>
        <v>101658</v>
      </c>
      <c r="I8" s="171">
        <f t="shared" si="1"/>
        <v>2656532.4</v>
      </c>
    </row>
    <row r="9" spans="1:9">
      <c r="A9" s="195" t="s">
        <v>153</v>
      </c>
      <c r="B9" s="164"/>
      <c r="C9" s="170">
        <v>26</v>
      </c>
      <c r="D9" s="224"/>
      <c r="E9" s="197">
        <f>137011065.2-E10</f>
        <v>65546779.199999988</v>
      </c>
      <c r="F9" s="197">
        <v>-18677097</v>
      </c>
      <c r="G9" s="197">
        <v>5153310</v>
      </c>
      <c r="H9" s="218">
        <f t="shared" si="0"/>
        <v>-13523787</v>
      </c>
      <c r="I9" s="171">
        <f t="shared" si="1"/>
        <v>52022992.199999988</v>
      </c>
    </row>
    <row r="10" spans="1:9">
      <c r="A10" s="195" t="s">
        <v>204</v>
      </c>
      <c r="B10" s="164"/>
      <c r="C10" s="170"/>
      <c r="D10" s="224"/>
      <c r="E10" s="197">
        <v>71464286</v>
      </c>
      <c r="F10" s="197">
        <v>-30000000</v>
      </c>
      <c r="G10" s="197">
        <v>0</v>
      </c>
      <c r="H10" s="218">
        <f t="shared" si="0"/>
        <v>-30000000</v>
      </c>
      <c r="I10" s="171">
        <f t="shared" si="1"/>
        <v>41464286</v>
      </c>
    </row>
    <row r="11" spans="1:9">
      <c r="A11" s="195" t="s">
        <v>205</v>
      </c>
      <c r="B11" s="164"/>
      <c r="C11" s="170">
        <v>49</v>
      </c>
      <c r="D11" s="224"/>
      <c r="E11" s="197">
        <v>286060</v>
      </c>
      <c r="F11" s="197">
        <v>0</v>
      </c>
      <c r="G11" s="197">
        <v>0</v>
      </c>
      <c r="H11" s="218">
        <f t="shared" si="0"/>
        <v>0</v>
      </c>
      <c r="I11" s="171">
        <f t="shared" si="1"/>
        <v>286060</v>
      </c>
    </row>
    <row r="12" spans="1:9">
      <c r="A12" s="195" t="s">
        <v>154</v>
      </c>
      <c r="B12" s="164"/>
      <c r="C12" s="170">
        <v>1183</v>
      </c>
      <c r="D12" s="224"/>
      <c r="E12" s="197">
        <v>4323275.59</v>
      </c>
      <c r="F12" s="197">
        <v>-4158745</v>
      </c>
      <c r="G12" s="197">
        <v>2317099</v>
      </c>
      <c r="H12" s="218">
        <f t="shared" si="0"/>
        <v>-1841646</v>
      </c>
      <c r="I12" s="171">
        <f t="shared" si="1"/>
        <v>2481629.59</v>
      </c>
    </row>
    <row r="13" spans="1:9">
      <c r="A13" s="195" t="s">
        <v>155</v>
      </c>
      <c r="B13" s="164"/>
      <c r="C13" s="170">
        <v>1203</v>
      </c>
      <c r="D13" s="224"/>
      <c r="E13" s="197">
        <v>271210.15333</v>
      </c>
      <c r="F13" s="197">
        <v>-241087</v>
      </c>
      <c r="G13" s="197">
        <v>134325</v>
      </c>
      <c r="H13" s="218">
        <f t="shared" si="0"/>
        <v>-106762</v>
      </c>
      <c r="I13" s="171">
        <f t="shared" si="1"/>
        <v>164448.15333</v>
      </c>
    </row>
    <row r="14" spans="1:9">
      <c r="A14" s="195" t="s">
        <v>206</v>
      </c>
      <c r="B14" s="164"/>
      <c r="C14" s="170">
        <v>362</v>
      </c>
      <c r="D14" s="224"/>
      <c r="E14" s="197">
        <v>894342</v>
      </c>
      <c r="F14" s="197"/>
      <c r="G14" s="197"/>
      <c r="H14" s="218"/>
      <c r="I14" s="171">
        <f t="shared" si="1"/>
        <v>894342</v>
      </c>
    </row>
    <row r="15" spans="1:9">
      <c r="A15" s="195" t="s">
        <v>207</v>
      </c>
      <c r="B15" s="164"/>
      <c r="C15" s="170"/>
      <c r="D15" s="224"/>
      <c r="E15" s="197">
        <v>411076.93066000001</v>
      </c>
      <c r="F15" s="197"/>
      <c r="G15" s="197"/>
      <c r="H15" s="218">
        <f t="shared" si="0"/>
        <v>0</v>
      </c>
      <c r="I15" s="171">
        <f t="shared" si="1"/>
        <v>411076.93066000001</v>
      </c>
    </row>
    <row r="16" spans="1:9">
      <c r="A16" s="195" t="s">
        <v>208</v>
      </c>
      <c r="B16" s="164"/>
      <c r="C16" s="170"/>
      <c r="D16" s="225"/>
      <c r="E16" s="197">
        <v>214583.91571</v>
      </c>
      <c r="F16" s="197"/>
      <c r="G16" s="197"/>
      <c r="H16" s="218">
        <f t="shared" si="0"/>
        <v>0</v>
      </c>
      <c r="I16" s="171">
        <f t="shared" si="1"/>
        <v>214583.91571</v>
      </c>
    </row>
    <row r="17" spans="1:9">
      <c r="A17" s="164"/>
      <c r="B17" s="164"/>
      <c r="C17" s="172">
        <f>SUM(C3:C16)</f>
        <v>250191</v>
      </c>
      <c r="E17" s="172">
        <f t="shared" ref="E17:I17" si="2">SUM(E3:E16)</f>
        <v>501874558.34769994</v>
      </c>
      <c r="F17" s="172">
        <f t="shared" si="2"/>
        <v>-247724275</v>
      </c>
      <c r="G17" s="172">
        <f t="shared" si="2"/>
        <v>228467930</v>
      </c>
      <c r="H17" s="172">
        <f t="shared" si="2"/>
        <v>-19256345</v>
      </c>
      <c r="I17" s="172">
        <f t="shared" si="2"/>
        <v>482618213.34769994</v>
      </c>
    </row>
    <row r="18" spans="1:9" ht="14.4" thickBot="1">
      <c r="A18" s="164"/>
      <c r="B18" s="164"/>
      <c r="C18" s="164"/>
      <c r="E18" s="164"/>
      <c r="F18" s="164"/>
      <c r="G18" s="164"/>
      <c r="I18" s="164"/>
    </row>
    <row r="19" spans="1:9">
      <c r="A19" s="164" t="s">
        <v>19</v>
      </c>
      <c r="B19" s="164"/>
      <c r="C19" s="173">
        <f>C3+C4</f>
        <v>213856</v>
      </c>
      <c r="E19" s="174">
        <f>E3+E4</f>
        <v>193502302.54899999</v>
      </c>
      <c r="F19" s="174">
        <f t="shared" ref="F19:H19" si="3">F3+F4</f>
        <v>-98393492</v>
      </c>
      <c r="G19" s="174">
        <f t="shared" si="3"/>
        <v>119515298</v>
      </c>
      <c r="H19" s="174">
        <f t="shared" si="3"/>
        <v>21121806</v>
      </c>
      <c r="I19" s="173">
        <f>I3+I4</f>
        <v>214624108.54899999</v>
      </c>
    </row>
    <row r="20" spans="1:9" ht="7.2" customHeight="1">
      <c r="A20" s="164"/>
      <c r="B20" s="164"/>
      <c r="C20" s="175"/>
      <c r="E20" s="164"/>
      <c r="F20" s="164"/>
      <c r="G20" s="164"/>
      <c r="H20" s="164"/>
      <c r="I20" s="175"/>
    </row>
    <row r="21" spans="1:9" ht="14.4" thickBot="1">
      <c r="A21" s="164" t="s">
        <v>209</v>
      </c>
      <c r="B21" s="164"/>
      <c r="C21" s="191">
        <f>SUM(C5:C8,C11:C13)</f>
        <v>35947</v>
      </c>
      <c r="E21" s="192">
        <f>SUM(E5:E8,E11:E13)</f>
        <v>169841187.75233001</v>
      </c>
      <c r="F21" s="192">
        <f t="shared" ref="F21:H21" si="4">SUM(F5:F8,F11:F13)</f>
        <v>-100653686</v>
      </c>
      <c r="G21" s="192">
        <f t="shared" si="4"/>
        <v>103799322</v>
      </c>
      <c r="H21" s="192">
        <f t="shared" si="4"/>
        <v>3145636</v>
      </c>
      <c r="I21" s="191">
        <f>SUM(I5:I8,I11:I13)</f>
        <v>172986823.75233001</v>
      </c>
    </row>
    <row r="22" spans="1:9">
      <c r="A22" s="164"/>
      <c r="B22" s="164"/>
      <c r="C22" s="164"/>
      <c r="D22" s="164"/>
      <c r="E22" s="164"/>
    </row>
    <row r="23" spans="1:9" ht="43.2" customHeight="1">
      <c r="A23" s="165"/>
      <c r="B23" s="176"/>
      <c r="C23" s="186" t="s">
        <v>210</v>
      </c>
      <c r="D23" s="186" t="s">
        <v>211</v>
      </c>
      <c r="E23" s="168" t="s">
        <v>212</v>
      </c>
      <c r="F23" s="168" t="s">
        <v>213</v>
      </c>
      <c r="G23" s="168" t="s">
        <v>214</v>
      </c>
      <c r="H23" s="168" t="s">
        <v>215</v>
      </c>
      <c r="I23" s="168" t="s">
        <v>216</v>
      </c>
    </row>
    <row r="24" spans="1:9">
      <c r="A24" s="195" t="s">
        <v>148</v>
      </c>
      <c r="B24" s="164"/>
      <c r="C24" s="196">
        <v>1852328.5</v>
      </c>
      <c r="D24" s="196">
        <v>17082323.949999999</v>
      </c>
      <c r="E24" s="198">
        <v>-9105299</v>
      </c>
      <c r="F24" s="198">
        <v>11231614</v>
      </c>
      <c r="G24" s="188">
        <f>SUM(D24:F24)</f>
        <v>19208638.949999999</v>
      </c>
      <c r="H24" s="188">
        <f>-J65</f>
        <v>-308228.24644000002</v>
      </c>
      <c r="I24" s="188">
        <f>SUM(G24:H24)</f>
        <v>18900410.703559998</v>
      </c>
    </row>
    <row r="25" spans="1:9">
      <c r="A25" s="195" t="s">
        <v>203</v>
      </c>
      <c r="B25" s="164"/>
      <c r="C25" s="196">
        <v>3825</v>
      </c>
      <c r="D25" s="196">
        <v>43088.380000000005</v>
      </c>
      <c r="E25" s="198">
        <v>-12822</v>
      </c>
      <c r="F25" s="198">
        <v>18518</v>
      </c>
      <c r="G25" s="188">
        <f t="shared" ref="G25:G33" si="5">SUM(D25:F25)</f>
        <v>48784.380000000005</v>
      </c>
      <c r="H25" s="188">
        <f t="shared" ref="H25:H33" si="6">-J66</f>
        <v>1867.3121100000001</v>
      </c>
      <c r="I25" s="188">
        <f t="shared" ref="I25:I34" si="7">SUM(G25:H25)</f>
        <v>50651.692110000004</v>
      </c>
    </row>
    <row r="26" spans="1:9">
      <c r="A26" s="195" t="s">
        <v>149</v>
      </c>
      <c r="B26" s="164"/>
      <c r="C26" s="196">
        <v>409868.41</v>
      </c>
      <c r="D26" s="196">
        <v>5292422.41</v>
      </c>
      <c r="E26" s="198">
        <v>-3051722</v>
      </c>
      <c r="F26" s="198">
        <v>3270448</v>
      </c>
      <c r="G26" s="188">
        <f t="shared" si="5"/>
        <v>5511148.4100000001</v>
      </c>
      <c r="H26" s="188">
        <f t="shared" si="6"/>
        <v>-57268.779459999998</v>
      </c>
      <c r="I26" s="188">
        <f t="shared" si="7"/>
        <v>5453879.6305400003</v>
      </c>
    </row>
    <row r="27" spans="1:9">
      <c r="A27" s="195" t="s">
        <v>150</v>
      </c>
      <c r="B27" s="164"/>
      <c r="C27" s="196">
        <v>168953.98</v>
      </c>
      <c r="D27" s="196">
        <v>696500.5</v>
      </c>
      <c r="E27" s="198">
        <v>-377791</v>
      </c>
      <c r="F27" s="198">
        <v>427061</v>
      </c>
      <c r="G27" s="188">
        <f t="shared" si="5"/>
        <v>745770.5</v>
      </c>
      <c r="H27" s="188">
        <f t="shared" si="6"/>
        <v>-5954.0515299999997</v>
      </c>
      <c r="I27" s="188">
        <f t="shared" si="7"/>
        <v>739816.44846999994</v>
      </c>
    </row>
    <row r="28" spans="1:9">
      <c r="A28" s="195" t="s">
        <v>151</v>
      </c>
      <c r="B28" s="164"/>
      <c r="C28" s="196">
        <v>927369.35</v>
      </c>
      <c r="D28" s="196">
        <v>10075119.120000001</v>
      </c>
      <c r="E28" s="198">
        <v>-5302427</v>
      </c>
      <c r="F28" s="198">
        <v>5903731</v>
      </c>
      <c r="G28" s="188">
        <f t="shared" si="5"/>
        <v>10676423.120000001</v>
      </c>
      <c r="H28" s="188">
        <f t="shared" si="6"/>
        <v>-134692.67628000001</v>
      </c>
      <c r="I28" s="188">
        <f t="shared" si="7"/>
        <v>10541730.443720002</v>
      </c>
    </row>
    <row r="29" spans="1:9">
      <c r="A29" s="195" t="s">
        <v>152</v>
      </c>
      <c r="B29" s="164"/>
      <c r="C29" s="196">
        <v>23500</v>
      </c>
      <c r="D29" s="196">
        <v>227058.44</v>
      </c>
      <c r="E29" s="198">
        <v>-121009</v>
      </c>
      <c r="F29" s="198">
        <v>138917</v>
      </c>
      <c r="G29" s="188">
        <f t="shared" si="5"/>
        <v>244966.44</v>
      </c>
      <c r="H29" s="188">
        <f t="shared" si="6"/>
        <v>-2641.5177600000002</v>
      </c>
      <c r="I29" s="188">
        <f t="shared" si="7"/>
        <v>242324.92224000001</v>
      </c>
    </row>
    <row r="30" spans="1:9">
      <c r="A30" s="195" t="s">
        <v>153</v>
      </c>
      <c r="B30" s="164"/>
      <c r="C30" s="196">
        <v>546000</v>
      </c>
      <c r="D30" s="196">
        <f>7879940.73-176905.4</f>
        <v>7703035.3300000001</v>
      </c>
      <c r="E30" s="198">
        <v>-2635112</v>
      </c>
      <c r="F30" s="198">
        <v>325325</v>
      </c>
      <c r="G30" s="188">
        <f t="shared" si="5"/>
        <v>5393248.3300000001</v>
      </c>
      <c r="H30" s="188">
        <f t="shared" si="6"/>
        <v>85498.040280000001</v>
      </c>
      <c r="I30" s="188">
        <f t="shared" si="7"/>
        <v>5478746.3702800004</v>
      </c>
    </row>
    <row r="31" spans="1:9">
      <c r="A31" s="195" t="s">
        <v>205</v>
      </c>
      <c r="B31" s="164"/>
      <c r="C31" s="196">
        <v>882</v>
      </c>
      <c r="D31" s="196">
        <v>20518.580000000002</v>
      </c>
      <c r="E31" s="198">
        <v>0</v>
      </c>
      <c r="F31" s="198">
        <v>0</v>
      </c>
      <c r="G31" s="188">
        <f t="shared" si="5"/>
        <v>20518.580000000002</v>
      </c>
      <c r="H31" s="188">
        <f t="shared" si="6"/>
        <v>0</v>
      </c>
      <c r="I31" s="188">
        <f t="shared" si="7"/>
        <v>20518.580000000002</v>
      </c>
    </row>
    <row r="32" spans="1:9">
      <c r="A32" s="195" t="s">
        <v>154</v>
      </c>
      <c r="B32" s="164"/>
      <c r="C32" s="196">
        <v>24915</v>
      </c>
      <c r="D32" s="196">
        <v>386291.79</v>
      </c>
      <c r="E32" s="198">
        <v>-351675</v>
      </c>
      <c r="F32" s="198">
        <v>211520</v>
      </c>
      <c r="G32" s="188">
        <f t="shared" si="5"/>
        <v>246136.78999999998</v>
      </c>
      <c r="H32" s="188">
        <f t="shared" si="6"/>
        <v>-1717.2361500000006</v>
      </c>
      <c r="I32" s="188">
        <f t="shared" si="7"/>
        <v>244419.55384999997</v>
      </c>
    </row>
    <row r="33" spans="1:11">
      <c r="A33" s="195" t="s">
        <v>155</v>
      </c>
      <c r="B33" s="164"/>
      <c r="C33" s="196">
        <v>22542.12</v>
      </c>
      <c r="D33" s="196">
        <v>46366.22</v>
      </c>
      <c r="E33" s="198">
        <v>-30523</v>
      </c>
      <c r="F33" s="198">
        <v>22591</v>
      </c>
      <c r="G33" s="188">
        <f t="shared" si="5"/>
        <v>38434.22</v>
      </c>
      <c r="H33" s="188">
        <f t="shared" si="6"/>
        <v>1654.2782299999999</v>
      </c>
      <c r="I33" s="188">
        <f t="shared" si="7"/>
        <v>40088.498229999997</v>
      </c>
    </row>
    <row r="34" spans="1:11">
      <c r="A34" s="195" t="s">
        <v>217</v>
      </c>
      <c r="B34" s="164"/>
      <c r="C34" s="188"/>
      <c r="D34" s="196">
        <v>530772.54</v>
      </c>
      <c r="E34" s="196"/>
      <c r="F34" s="196"/>
      <c r="G34" s="188">
        <f>SUM(D34:F34)</f>
        <v>530772.54</v>
      </c>
      <c r="H34" s="188"/>
      <c r="I34" s="188">
        <f t="shared" si="7"/>
        <v>530772.54</v>
      </c>
    </row>
    <row r="35" spans="1:11">
      <c r="A35" s="195" t="s">
        <v>218</v>
      </c>
      <c r="B35" s="164"/>
      <c r="C35" s="224"/>
      <c r="D35" s="196">
        <v>2233160.7000000002</v>
      </c>
      <c r="E35" s="196"/>
      <c r="F35" s="196"/>
      <c r="G35" s="188"/>
      <c r="H35" s="188"/>
      <c r="I35" s="188"/>
    </row>
    <row r="36" spans="1:11">
      <c r="A36" s="195" t="s">
        <v>219</v>
      </c>
      <c r="B36" s="164"/>
      <c r="C36" s="224"/>
      <c r="D36" s="196">
        <v>1576979.76</v>
      </c>
      <c r="E36" s="196"/>
      <c r="F36" s="196"/>
      <c r="G36" s="188"/>
      <c r="H36" s="188"/>
      <c r="I36" s="188"/>
    </row>
    <row r="37" spans="1:11">
      <c r="A37" s="164"/>
      <c r="B37" s="164"/>
      <c r="C37" s="178">
        <f>SUM(C24:C36)</f>
        <v>3980184.3600000003</v>
      </c>
      <c r="D37" s="178">
        <f t="shared" ref="D37:I37" si="8">SUM(D24:D36)</f>
        <v>45913637.719999999</v>
      </c>
      <c r="E37" s="178">
        <f t="shared" si="8"/>
        <v>-20988380</v>
      </c>
      <c r="F37" s="178">
        <f t="shared" si="8"/>
        <v>21549725</v>
      </c>
      <c r="G37" s="178">
        <f t="shared" si="8"/>
        <v>42664842.25999999</v>
      </c>
      <c r="H37" s="178">
        <f t="shared" si="8"/>
        <v>-421482.87700000004</v>
      </c>
      <c r="I37" s="178">
        <f t="shared" si="8"/>
        <v>42243359.382999994</v>
      </c>
    </row>
    <row r="38" spans="1:11" ht="14.4" thickBot="1">
      <c r="A38" s="164"/>
      <c r="B38" s="164"/>
      <c r="D38" s="179"/>
      <c r="E38" s="164"/>
      <c r="F38" s="164"/>
    </row>
    <row r="39" spans="1:11">
      <c r="A39" s="164" t="s">
        <v>19</v>
      </c>
      <c r="B39" s="164"/>
      <c r="C39" s="181">
        <f>C24+C25</f>
        <v>1856153.5</v>
      </c>
      <c r="D39" s="180">
        <f t="shared" ref="D39:I39" si="9">D24+D25</f>
        <v>17125412.329999998</v>
      </c>
      <c r="E39" s="180">
        <f t="shared" si="9"/>
        <v>-9118121</v>
      </c>
      <c r="F39" s="180">
        <f t="shared" si="9"/>
        <v>11250132</v>
      </c>
      <c r="G39" s="180">
        <f t="shared" si="9"/>
        <v>19257423.329999998</v>
      </c>
      <c r="H39" s="180">
        <f t="shared" si="9"/>
        <v>-306360.93433000002</v>
      </c>
      <c r="I39" s="181">
        <f t="shared" si="9"/>
        <v>18951062.395669997</v>
      </c>
    </row>
    <row r="40" spans="1:11" ht="6" customHeight="1">
      <c r="A40" s="164"/>
      <c r="B40" s="164"/>
      <c r="C40" s="187"/>
      <c r="D40" s="180"/>
      <c r="E40" s="164"/>
      <c r="F40" s="164"/>
      <c r="I40" s="219"/>
    </row>
    <row r="41" spans="1:11" ht="14.4" thickBot="1">
      <c r="A41" s="164" t="s">
        <v>209</v>
      </c>
      <c r="B41" s="164"/>
      <c r="C41" s="189">
        <f>SUM(C26:C29,C31:C33)</f>
        <v>1578030.86</v>
      </c>
      <c r="D41" s="190">
        <f t="shared" ref="D41:I41" si="10">SUM(D26:D29,D31:D33)</f>
        <v>16744277.060000001</v>
      </c>
      <c r="E41" s="190">
        <f t="shared" si="10"/>
        <v>-9235147</v>
      </c>
      <c r="F41" s="190">
        <f t="shared" si="10"/>
        <v>9974268</v>
      </c>
      <c r="G41" s="190">
        <f t="shared" si="10"/>
        <v>17483398.059999999</v>
      </c>
      <c r="H41" s="190">
        <f t="shared" si="10"/>
        <v>-200619.98295000001</v>
      </c>
      <c r="I41" s="189">
        <f t="shared" si="10"/>
        <v>17282778.077049997</v>
      </c>
    </row>
    <row r="42" spans="1:11">
      <c r="A42" s="164"/>
      <c r="B42" s="164"/>
      <c r="C42" s="205"/>
      <c r="D42" s="190"/>
      <c r="E42" s="190"/>
      <c r="F42" s="190"/>
      <c r="G42" s="190"/>
      <c r="H42" s="190"/>
      <c r="I42" s="205"/>
    </row>
    <row r="43" spans="1:11">
      <c r="A43" s="164"/>
      <c r="B43" s="164"/>
      <c r="C43" s="205"/>
      <c r="D43" s="190"/>
      <c r="E43" s="190"/>
      <c r="F43" s="190"/>
      <c r="G43" s="190"/>
      <c r="H43" s="190"/>
      <c r="I43" s="205"/>
    </row>
    <row r="44" spans="1:11">
      <c r="A44" s="164"/>
      <c r="B44" s="164"/>
      <c r="C44" s="205"/>
      <c r="D44" s="190"/>
      <c r="E44" s="190"/>
      <c r="F44" s="190"/>
      <c r="G44" s="190"/>
      <c r="H44" s="190"/>
      <c r="I44" s="205"/>
    </row>
    <row r="45" spans="1:11">
      <c r="A45" s="164"/>
      <c r="B45" s="164"/>
      <c r="C45" s="205"/>
      <c r="D45" s="190"/>
      <c r="E45" s="190"/>
      <c r="F45" s="190"/>
      <c r="G45" s="190"/>
      <c r="H45" s="190"/>
      <c r="I45" s="205"/>
    </row>
    <row r="46" spans="1:11">
      <c r="A46" s="164"/>
      <c r="B46" s="164"/>
      <c r="C46" s="205"/>
      <c r="D46" s="190"/>
      <c r="E46" s="190"/>
      <c r="F46" s="190"/>
      <c r="G46" s="190"/>
      <c r="H46" s="190"/>
      <c r="I46" s="205"/>
    </row>
    <row r="47" spans="1:11">
      <c r="A47" s="164"/>
      <c r="B47" s="164"/>
      <c r="C47" s="205"/>
      <c r="D47" s="190"/>
      <c r="E47" s="190"/>
      <c r="F47" s="190"/>
      <c r="G47" s="190"/>
      <c r="H47" s="190"/>
      <c r="I47" s="205"/>
    </row>
    <row r="48" spans="1:11">
      <c r="C48" s="220">
        <v>42675</v>
      </c>
      <c r="D48" s="221">
        <v>42675</v>
      </c>
      <c r="E48" s="221">
        <v>42278</v>
      </c>
      <c r="F48" s="220">
        <v>42583</v>
      </c>
      <c r="G48" s="220">
        <v>43009</v>
      </c>
      <c r="H48" s="220">
        <v>42380</v>
      </c>
      <c r="I48" s="220">
        <v>42917</v>
      </c>
      <c r="J48" s="220">
        <v>43040</v>
      </c>
      <c r="K48" s="229">
        <v>43040</v>
      </c>
    </row>
    <row r="49" spans="1:13" ht="42" customHeight="1">
      <c r="A49" s="193" t="s">
        <v>220</v>
      </c>
      <c r="B49" s="166"/>
      <c r="C49" s="177" t="s">
        <v>221</v>
      </c>
      <c r="D49" s="177" t="s">
        <v>239</v>
      </c>
      <c r="E49" s="177" t="s">
        <v>222</v>
      </c>
      <c r="F49" s="177" t="s">
        <v>223</v>
      </c>
      <c r="G49" s="177" t="s">
        <v>224</v>
      </c>
      <c r="H49" s="177" t="s">
        <v>225</v>
      </c>
      <c r="I49" s="177" t="s">
        <v>226</v>
      </c>
      <c r="J49" s="177" t="s">
        <v>221</v>
      </c>
      <c r="K49" s="177" t="s">
        <v>239</v>
      </c>
    </row>
    <row r="50" spans="1:13">
      <c r="A50" s="195" t="s">
        <v>148</v>
      </c>
      <c r="B50" s="164"/>
      <c r="C50" s="184">
        <v>-5.1000000000000004E-4</v>
      </c>
      <c r="D50" s="184">
        <v>2.63E-3</v>
      </c>
      <c r="E50" s="184"/>
      <c r="F50" s="184">
        <v>3.4399999999999999E-3</v>
      </c>
      <c r="G50" s="184">
        <v>1.0499999999999999E-3</v>
      </c>
      <c r="H50" s="184">
        <v>0</v>
      </c>
      <c r="I50" s="184">
        <v>-5.6999999999999998E-4</v>
      </c>
      <c r="J50" s="184">
        <v>-8.0999999999999996E-4</v>
      </c>
      <c r="K50" s="184">
        <v>4.45E-3</v>
      </c>
    </row>
    <row r="51" spans="1:13">
      <c r="A51" s="195" t="s">
        <v>203</v>
      </c>
      <c r="B51" s="164"/>
      <c r="C51" s="184">
        <v>-5.1000000000000004E-4</v>
      </c>
      <c r="D51" s="184">
        <v>2.63E-3</v>
      </c>
      <c r="E51" s="184">
        <v>-3.1530000000000002E-2</v>
      </c>
      <c r="F51" s="184">
        <v>3.4399999999999999E-3</v>
      </c>
      <c r="G51" s="184">
        <v>1.0499999999999999E-3</v>
      </c>
      <c r="H51" s="184">
        <v>0</v>
      </c>
      <c r="I51" s="184">
        <v>-5.6999999999999998E-4</v>
      </c>
      <c r="J51" s="184">
        <v>-8.0999999999999996E-4</v>
      </c>
      <c r="K51" s="184">
        <v>4.45E-3</v>
      </c>
    </row>
    <row r="52" spans="1:13">
      <c r="A52" s="195" t="s">
        <v>149</v>
      </c>
      <c r="B52" s="164"/>
      <c r="C52" s="184">
        <v>0</v>
      </c>
      <c r="D52" s="184">
        <v>-1.4300000000000001E-3</v>
      </c>
      <c r="E52" s="184"/>
      <c r="F52" s="184">
        <v>4.6299999999999996E-3</v>
      </c>
      <c r="G52" s="184">
        <v>1.5200000000000001E-3</v>
      </c>
      <c r="H52" s="184">
        <v>0</v>
      </c>
      <c r="I52" s="184">
        <v>-5.6999999999999998E-4</v>
      </c>
      <c r="J52" s="184">
        <v>0</v>
      </c>
      <c r="K52" s="184">
        <v>4.0000000000000002E-4</v>
      </c>
    </row>
    <row r="53" spans="1:13">
      <c r="A53" s="195" t="s">
        <v>150</v>
      </c>
      <c r="B53" s="164"/>
      <c r="C53" s="184">
        <v>-5.1000000000000004E-4</v>
      </c>
      <c r="D53" s="184">
        <v>-1.4300000000000001E-3</v>
      </c>
      <c r="E53" s="184"/>
      <c r="F53" s="184">
        <v>4.6299999999999996E-3</v>
      </c>
      <c r="G53" s="184">
        <v>1.5200000000000001E-3</v>
      </c>
      <c r="H53" s="184">
        <v>0</v>
      </c>
      <c r="I53" s="184">
        <v>-5.6999999999999998E-4</v>
      </c>
      <c r="J53" s="184">
        <v>-8.0999999999999996E-4</v>
      </c>
      <c r="K53" s="184">
        <v>4.0000000000000002E-4</v>
      </c>
    </row>
    <row r="54" spans="1:13">
      <c r="A54" s="195" t="s">
        <v>151</v>
      </c>
      <c r="B54" s="164"/>
      <c r="C54" s="184"/>
      <c r="D54" s="184">
        <v>-1.4300000000000001E-3</v>
      </c>
      <c r="E54" s="184"/>
      <c r="F54" s="184">
        <v>3.6600000000000001E-3</v>
      </c>
      <c r="G54" s="184">
        <v>1.1000000000000001E-3</v>
      </c>
      <c r="H54" s="184">
        <v>0</v>
      </c>
      <c r="I54" s="184">
        <v>-5.9000000000000003E-4</v>
      </c>
      <c r="J54" s="184">
        <v>0</v>
      </c>
      <c r="K54" s="184">
        <v>4.0000000000000002E-4</v>
      </c>
    </row>
    <row r="55" spans="1:13">
      <c r="A55" s="195" t="s">
        <v>152</v>
      </c>
      <c r="B55" s="164"/>
      <c r="C55" s="184">
        <v>-5.1000000000000004E-4</v>
      </c>
      <c r="D55" s="184">
        <v>-1.4300000000000001E-3</v>
      </c>
      <c r="E55" s="184"/>
      <c r="F55" s="184">
        <v>3.6600000000000001E-3</v>
      </c>
      <c r="G55" s="184">
        <v>1.1000000000000001E-3</v>
      </c>
      <c r="H55" s="184">
        <v>0</v>
      </c>
      <c r="I55" s="184">
        <v>-5.9000000000000003E-4</v>
      </c>
      <c r="J55" s="184">
        <v>-8.0999999999999996E-4</v>
      </c>
      <c r="K55" s="184">
        <v>4.0000000000000002E-4</v>
      </c>
    </row>
    <row r="56" spans="1:13">
      <c r="A56" s="195" t="s">
        <v>153</v>
      </c>
      <c r="B56" s="164"/>
      <c r="C56" s="184"/>
      <c r="D56" s="184"/>
      <c r="E56" s="184"/>
      <c r="F56" s="184">
        <v>2.32E-3</v>
      </c>
      <c r="G56" s="184">
        <v>6.8999999999999997E-4</v>
      </c>
      <c r="H56" s="184">
        <v>0</v>
      </c>
      <c r="I56" s="184">
        <v>-5.6999999999999998E-4</v>
      </c>
      <c r="J56" s="184">
        <v>0</v>
      </c>
      <c r="K56" s="184">
        <v>0</v>
      </c>
    </row>
    <row r="57" spans="1:13">
      <c r="A57" s="195" t="s">
        <v>204</v>
      </c>
      <c r="B57" s="164"/>
      <c r="C57" s="184"/>
      <c r="D57" s="184"/>
      <c r="E57" s="184"/>
      <c r="F57" s="184">
        <v>2.32E-3</v>
      </c>
      <c r="G57" s="184">
        <v>0</v>
      </c>
      <c r="H57" s="184">
        <v>0</v>
      </c>
      <c r="I57" s="184">
        <v>-5.6999999999999998E-4</v>
      </c>
      <c r="J57" s="184">
        <v>0</v>
      </c>
      <c r="K57" s="184">
        <v>0</v>
      </c>
    </row>
    <row r="58" spans="1:13">
      <c r="A58" s="195" t="s">
        <v>205</v>
      </c>
      <c r="B58" s="164"/>
      <c r="C58" s="184"/>
      <c r="D58" s="184">
        <v>-1.4300000000000001E-3</v>
      </c>
      <c r="E58" s="184"/>
      <c r="F58" s="184">
        <v>3.4099999999999998E-3</v>
      </c>
      <c r="G58" s="184">
        <v>9.6000000000000002E-4</v>
      </c>
      <c r="H58" s="184">
        <v>0</v>
      </c>
      <c r="I58" s="184">
        <v>-6.0999999999999997E-4</v>
      </c>
      <c r="J58" s="184">
        <v>0</v>
      </c>
      <c r="K58" s="184">
        <v>4.0000000000000002E-4</v>
      </c>
    </row>
    <row r="59" spans="1:13">
      <c r="A59" s="195" t="s">
        <v>154</v>
      </c>
      <c r="B59" s="164"/>
      <c r="C59" s="184"/>
      <c r="D59" s="184">
        <v>-1.4300000000000001E-3</v>
      </c>
      <c r="E59" s="184"/>
      <c r="F59" s="184">
        <v>3.4099999999999998E-3</v>
      </c>
      <c r="G59" s="184">
        <v>9.6000000000000002E-4</v>
      </c>
      <c r="H59" s="184">
        <v>0</v>
      </c>
      <c r="I59" s="184">
        <v>-6.0999999999999997E-4</v>
      </c>
      <c r="J59" s="184">
        <v>0</v>
      </c>
      <c r="K59" s="184">
        <v>4.0000000000000002E-4</v>
      </c>
    </row>
    <row r="60" spans="1:13">
      <c r="A60" s="195" t="s">
        <v>155</v>
      </c>
      <c r="B60" s="164"/>
      <c r="C60" s="184">
        <v>-5.1000000000000004E-4</v>
      </c>
      <c r="D60" s="184">
        <v>-1.4300000000000001E-3</v>
      </c>
      <c r="E60" s="184"/>
      <c r="F60" s="184">
        <v>3.4099999999999998E-3</v>
      </c>
      <c r="G60" s="184">
        <v>9.6000000000000002E-4</v>
      </c>
      <c r="H60" s="184">
        <v>0</v>
      </c>
      <c r="I60" s="184">
        <v>-6.0999999999999997E-4</v>
      </c>
      <c r="J60" s="184">
        <v>-8.0999999999999996E-4</v>
      </c>
      <c r="K60" s="184">
        <v>4.0000000000000002E-4</v>
      </c>
    </row>
    <row r="61" spans="1:13" ht="14.4" customHeight="1">
      <c r="A61" s="195" t="s">
        <v>217</v>
      </c>
      <c r="B61" s="164"/>
      <c r="C61" s="202"/>
      <c r="D61" s="184"/>
      <c r="E61" s="184"/>
      <c r="F61" s="202">
        <v>1.2149999999999999E-2</v>
      </c>
      <c r="G61" s="255" t="s">
        <v>241</v>
      </c>
      <c r="H61" s="184">
        <v>0</v>
      </c>
      <c r="I61" s="202">
        <v>-6.4999999999999997E-4</v>
      </c>
      <c r="J61" s="184">
        <v>0</v>
      </c>
      <c r="K61" s="184">
        <v>0</v>
      </c>
    </row>
    <row r="62" spans="1:13">
      <c r="A62" s="195" t="s">
        <v>208</v>
      </c>
      <c r="B62" s="164"/>
      <c r="C62" s="202"/>
      <c r="D62" s="184"/>
      <c r="E62" s="184"/>
      <c r="F62" s="202">
        <v>1.2149999999999999E-2</v>
      </c>
      <c r="G62" s="255"/>
      <c r="H62" s="184">
        <v>0</v>
      </c>
      <c r="I62" s="202">
        <v>-6.4999999999999997E-4</v>
      </c>
      <c r="J62" s="184">
        <v>-8.0999999999999996E-4</v>
      </c>
      <c r="K62" s="184">
        <v>0</v>
      </c>
    </row>
    <row r="63" spans="1:13">
      <c r="E63" s="164"/>
    </row>
    <row r="64" spans="1:13" ht="52.8">
      <c r="A64" s="193" t="s">
        <v>227</v>
      </c>
      <c r="B64" s="166"/>
      <c r="C64" s="186" t="s">
        <v>234</v>
      </c>
      <c r="D64" s="186" t="s">
        <v>239</v>
      </c>
      <c r="E64" s="186" t="s">
        <v>228</v>
      </c>
      <c r="F64" s="186" t="s">
        <v>229</v>
      </c>
      <c r="G64" s="186" t="s">
        <v>230</v>
      </c>
      <c r="H64" s="186" t="s">
        <v>231</v>
      </c>
      <c r="I64" s="186" t="s">
        <v>232</v>
      </c>
      <c r="J64" s="186" t="s">
        <v>233</v>
      </c>
      <c r="M64" s="228"/>
    </row>
    <row r="65" spans="1:13">
      <c r="A65" s="195" t="s">
        <v>148</v>
      </c>
      <c r="C65" s="180">
        <f t="shared" ref="C65:C71" si="11">C50*F3+J50*G3</f>
        <v>-46489.489169999986</v>
      </c>
      <c r="D65" s="180">
        <f t="shared" ref="D65:D71" si="12">D50*F3+K50*G3</f>
        <v>272278.06977000006</v>
      </c>
      <c r="E65" s="180">
        <f t="shared" ref="E65:E70" si="13">$H3*E50</f>
        <v>0</v>
      </c>
      <c r="F65" s="180">
        <f t="shared" ref="F65:G70" si="14">($H3*F50)</f>
        <v>72345.012879999995</v>
      </c>
      <c r="G65" s="180">
        <f t="shared" si="14"/>
        <v>22082.053349999998</v>
      </c>
      <c r="H65" s="180">
        <f t="shared" ref="H65:H70" si="15">$H3*H50</f>
        <v>0</v>
      </c>
      <c r="I65" s="180">
        <f t="shared" ref="I65:I70" si="16">(I50*H3)</f>
        <v>-11987.400389999999</v>
      </c>
      <c r="J65" s="180">
        <f>SUM(C65:I65)</f>
        <v>308228.24644000002</v>
      </c>
      <c r="M65" s="180"/>
    </row>
    <row r="66" spans="1:13">
      <c r="A66" s="195" t="s">
        <v>203</v>
      </c>
      <c r="C66" s="180">
        <f t="shared" si="11"/>
        <v>-137.22128999999998</v>
      </c>
      <c r="D66" s="180">
        <f t="shared" si="12"/>
        <v>790.12236999999993</v>
      </c>
      <c r="E66" s="180">
        <f t="shared" si="13"/>
        <v>-2878.0268700000001</v>
      </c>
      <c r="F66" s="180">
        <f t="shared" si="14"/>
        <v>313.99975999999998</v>
      </c>
      <c r="G66" s="180">
        <f t="shared" si="14"/>
        <v>95.842949999999988</v>
      </c>
      <c r="H66" s="180">
        <f t="shared" si="15"/>
        <v>0</v>
      </c>
      <c r="I66" s="180">
        <f t="shared" si="16"/>
        <v>-52.029029999999999</v>
      </c>
      <c r="J66" s="180">
        <f t="shared" ref="J66:J75" si="17">SUM(C66:I66)</f>
        <v>-1867.3121100000001</v>
      </c>
      <c r="M66" s="180"/>
    </row>
    <row r="67" spans="1:13">
      <c r="A67" s="195" t="s">
        <v>149</v>
      </c>
      <c r="C67" s="180">
        <f t="shared" si="11"/>
        <v>0</v>
      </c>
      <c r="D67" s="180">
        <f t="shared" si="12"/>
        <v>48600.634480000001</v>
      </c>
      <c r="E67" s="180">
        <f t="shared" si="13"/>
        <v>0</v>
      </c>
      <c r="F67" s="180">
        <f t="shared" si="14"/>
        <v>7192.3855299999996</v>
      </c>
      <c r="G67" s="180">
        <f t="shared" si="14"/>
        <v>2361.2151200000003</v>
      </c>
      <c r="H67" s="180">
        <f t="shared" si="15"/>
        <v>0</v>
      </c>
      <c r="I67" s="180">
        <f t="shared" si="16"/>
        <v>-885.45566999999994</v>
      </c>
      <c r="J67" s="180">
        <f t="shared" si="17"/>
        <v>57268.779459999998</v>
      </c>
      <c r="M67" s="180"/>
    </row>
    <row r="68" spans="1:13">
      <c r="A68" s="195" t="s">
        <v>150</v>
      </c>
      <c r="C68" s="180">
        <f t="shared" si="11"/>
        <v>-1087.2757499999998</v>
      </c>
      <c r="D68" s="180">
        <f t="shared" si="12"/>
        <v>4845.06718</v>
      </c>
      <c r="E68" s="180">
        <f t="shared" si="13"/>
        <v>0</v>
      </c>
      <c r="F68" s="180">
        <f t="shared" si="14"/>
        <v>1822.3448499999997</v>
      </c>
      <c r="G68" s="180">
        <f t="shared" si="14"/>
        <v>598.26440000000002</v>
      </c>
      <c r="H68" s="180">
        <f t="shared" si="15"/>
        <v>0</v>
      </c>
      <c r="I68" s="180">
        <f t="shared" si="16"/>
        <v>-224.34914999999998</v>
      </c>
      <c r="J68" s="180">
        <f t="shared" si="17"/>
        <v>5954.0515299999997</v>
      </c>
      <c r="M68" s="180"/>
    </row>
    <row r="69" spans="1:13">
      <c r="A69" s="195" t="s">
        <v>151</v>
      </c>
      <c r="C69" s="180">
        <f t="shared" si="11"/>
        <v>0</v>
      </c>
      <c r="D69" s="180">
        <f t="shared" si="12"/>
        <v>121993.52508000002</v>
      </c>
      <c r="E69" s="180">
        <f t="shared" si="13"/>
        <v>0</v>
      </c>
      <c r="F69" s="180">
        <f t="shared" si="14"/>
        <v>11146.017600000001</v>
      </c>
      <c r="G69" s="180">
        <f t="shared" si="14"/>
        <v>3349.8960000000002</v>
      </c>
      <c r="H69" s="180">
        <f t="shared" si="15"/>
        <v>0</v>
      </c>
      <c r="I69" s="180">
        <f t="shared" si="16"/>
        <v>-1796.7624000000001</v>
      </c>
      <c r="J69" s="180">
        <f t="shared" si="17"/>
        <v>134692.67628000001</v>
      </c>
      <c r="M69" s="180"/>
    </row>
    <row r="70" spans="1:13">
      <c r="A70" s="195" t="s">
        <v>152</v>
      </c>
      <c r="C70" s="180">
        <f t="shared" si="11"/>
        <v>-525.33978000000002</v>
      </c>
      <c r="D70" s="180">
        <f t="shared" si="12"/>
        <v>2742.9436800000003</v>
      </c>
      <c r="E70" s="180">
        <f t="shared" si="13"/>
        <v>0</v>
      </c>
      <c r="F70" s="180">
        <f t="shared" si="14"/>
        <v>372.06828000000002</v>
      </c>
      <c r="G70" s="180">
        <f t="shared" si="14"/>
        <v>111.82380000000001</v>
      </c>
      <c r="H70" s="180">
        <f t="shared" si="15"/>
        <v>0</v>
      </c>
      <c r="I70" s="180">
        <f t="shared" si="16"/>
        <v>-59.97822</v>
      </c>
      <c r="J70" s="180">
        <f>SUM(C70:I70)</f>
        <v>2641.5177600000002</v>
      </c>
      <c r="M70" s="180"/>
    </row>
    <row r="71" spans="1:13">
      <c r="A71" s="195" t="s">
        <v>153</v>
      </c>
      <c r="C71" s="180">
        <f t="shared" si="11"/>
        <v>0</v>
      </c>
      <c r="D71" s="180">
        <f t="shared" si="12"/>
        <v>0</v>
      </c>
      <c r="E71" s="180">
        <f>$H9*E56+$H10*E57</f>
        <v>0</v>
      </c>
      <c r="F71" s="180">
        <f>$H9*F56+$H10*F57</f>
        <v>-100975.18584000001</v>
      </c>
      <c r="G71" s="180">
        <f>($H9*G56)</f>
        <v>-9331.4130299999997</v>
      </c>
      <c r="H71" s="180">
        <f>$H9*H56+$H10*H57</f>
        <v>0</v>
      </c>
      <c r="I71" s="180">
        <f>$H9*I56+$H10*I57</f>
        <v>24808.558590000001</v>
      </c>
      <c r="J71" s="180">
        <f t="shared" si="17"/>
        <v>-85498.040280000001</v>
      </c>
      <c r="M71" s="180"/>
    </row>
    <row r="72" spans="1:13">
      <c r="A72" s="195" t="s">
        <v>205</v>
      </c>
      <c r="C72" s="180">
        <f>C58*F11+J58*G11</f>
        <v>0</v>
      </c>
      <c r="D72" s="180">
        <f>D58*F11+K58*G11</f>
        <v>0</v>
      </c>
      <c r="E72" s="180">
        <f>$H11*E58</f>
        <v>0</v>
      </c>
      <c r="F72" s="180">
        <f>($H11*F57)</f>
        <v>0</v>
      </c>
      <c r="G72" s="180">
        <f>($H10*G57)</f>
        <v>0</v>
      </c>
      <c r="H72" s="180">
        <f t="shared" ref="H72:I74" si="18">$H11*H58</f>
        <v>0</v>
      </c>
      <c r="I72" s="180">
        <f t="shared" si="18"/>
        <v>0</v>
      </c>
      <c r="J72" s="180">
        <f t="shared" si="17"/>
        <v>0</v>
      </c>
      <c r="M72" s="180"/>
    </row>
    <row r="73" spans="1:13">
      <c r="A73" s="195" t="s">
        <v>154</v>
      </c>
      <c r="C73" s="180">
        <f>C59*F12+J59*G12</f>
        <v>0</v>
      </c>
      <c r="D73" s="180">
        <f>D59*F12+K59*G12</f>
        <v>6873.8449500000006</v>
      </c>
      <c r="E73" s="180">
        <f>$H12*E59</f>
        <v>0</v>
      </c>
      <c r="F73" s="180">
        <f>($H12*F58)</f>
        <v>-6280.0128599999998</v>
      </c>
      <c r="G73" s="180">
        <f>($H11*G58)</f>
        <v>0</v>
      </c>
      <c r="H73" s="180">
        <f t="shared" si="18"/>
        <v>0</v>
      </c>
      <c r="I73" s="180">
        <f t="shared" si="18"/>
        <v>1123.4040599999998</v>
      </c>
      <c r="J73" s="180">
        <f t="shared" si="17"/>
        <v>1717.2361500000006</v>
      </c>
      <c r="M73" s="180"/>
    </row>
    <row r="74" spans="1:13">
      <c r="A74" s="195" t="s">
        <v>155</v>
      </c>
      <c r="C74" s="180">
        <f>C60*F13+J60*G13</f>
        <v>14.15112000000002</v>
      </c>
      <c r="D74" s="180">
        <f>D60*F13+K60*G13</f>
        <v>398.48441000000003</v>
      </c>
      <c r="E74" s="180">
        <f>$H13*E60</f>
        <v>0</v>
      </c>
      <c r="F74" s="180">
        <f>($H13*F59)</f>
        <v>-364.05841999999996</v>
      </c>
      <c r="G74" s="180">
        <f>($H12*G59)</f>
        <v>-1767.9801600000001</v>
      </c>
      <c r="H74" s="180">
        <f t="shared" si="18"/>
        <v>0</v>
      </c>
      <c r="I74" s="180">
        <f t="shared" si="18"/>
        <v>65.12482</v>
      </c>
      <c r="J74" s="180">
        <f t="shared" si="17"/>
        <v>-1654.2782299999999</v>
      </c>
      <c r="M74" s="180"/>
    </row>
    <row r="75" spans="1:13">
      <c r="A75" s="195" t="s">
        <v>217</v>
      </c>
      <c r="C75" s="180">
        <f>C61*F14+J61*G14</f>
        <v>0</v>
      </c>
      <c r="D75" s="180">
        <f>D61*F14+K61*G14</f>
        <v>0</v>
      </c>
      <c r="E75" s="180">
        <f>($H14+$H15)*E61</f>
        <v>0</v>
      </c>
      <c r="F75" s="180">
        <f>($H14*F60)</f>
        <v>0</v>
      </c>
      <c r="G75" s="180">
        <f>($H13*G60)</f>
        <v>-102.49152000000001</v>
      </c>
      <c r="H75" s="180">
        <f>($H14+$H15)*H61</f>
        <v>0</v>
      </c>
      <c r="I75" s="180">
        <f>($H14+$H15)*I61</f>
        <v>0</v>
      </c>
      <c r="J75" s="180">
        <f t="shared" si="17"/>
        <v>-102.49152000000001</v>
      </c>
      <c r="M75" s="180"/>
    </row>
    <row r="76" spans="1:13">
      <c r="A76" s="169"/>
      <c r="C76" s="222">
        <f>SUM(C65:C75)</f>
        <v>-48225.174869999988</v>
      </c>
      <c r="D76" s="222">
        <f t="shared" ref="D76:I76" si="19">SUM(D65:D75)</f>
        <v>458522.69192000013</v>
      </c>
      <c r="E76" s="222">
        <f t="shared" si="19"/>
        <v>-2878.0268700000001</v>
      </c>
      <c r="F76" s="222">
        <f t="shared" si="19"/>
        <v>-14427.428219999996</v>
      </c>
      <c r="G76" s="222">
        <f t="shared" si="19"/>
        <v>17397.210909999998</v>
      </c>
      <c r="H76" s="222">
        <f t="shared" si="19"/>
        <v>0</v>
      </c>
      <c r="I76" s="222">
        <f t="shared" si="19"/>
        <v>10991.112610000004</v>
      </c>
      <c r="J76" s="222">
        <f>SUM(J65:J75)</f>
        <v>421380.38548000006</v>
      </c>
    </row>
    <row r="77" spans="1:13" ht="15.75" customHeight="1"/>
    <row r="78" spans="1:13">
      <c r="A78" s="164" t="s">
        <v>19</v>
      </c>
      <c r="B78" s="164"/>
      <c r="C78" s="180">
        <f>C65+C66</f>
        <v>-46626.710459999988</v>
      </c>
      <c r="D78" s="180">
        <f t="shared" ref="D78:I78" si="20">D65+D66</f>
        <v>273068.19214000006</v>
      </c>
      <c r="E78" s="180">
        <f t="shared" si="20"/>
        <v>-2878.0268700000001</v>
      </c>
      <c r="F78" s="180">
        <f t="shared" si="20"/>
        <v>72659.012640000001</v>
      </c>
      <c r="G78" s="180">
        <f t="shared" si="20"/>
        <v>22177.896299999997</v>
      </c>
      <c r="H78" s="180">
        <f t="shared" si="20"/>
        <v>0</v>
      </c>
      <c r="I78" s="180">
        <f t="shared" si="20"/>
        <v>-12039.429419999999</v>
      </c>
      <c r="J78" s="180">
        <f>J65+J66</f>
        <v>306360.93433000002</v>
      </c>
    </row>
    <row r="79" spans="1:13">
      <c r="A79" s="164"/>
      <c r="B79" s="164"/>
      <c r="C79" s="180"/>
      <c r="D79" s="180"/>
      <c r="E79" s="180"/>
      <c r="F79" s="180"/>
      <c r="G79" s="180"/>
      <c r="H79" s="180"/>
      <c r="I79" s="180"/>
      <c r="J79" s="180"/>
    </row>
    <row r="80" spans="1:13">
      <c r="A80" s="164" t="s">
        <v>209</v>
      </c>
      <c r="B80" s="164"/>
      <c r="C80" s="190">
        <f>SUM(C67:C70,C72:C74)</f>
        <v>-1598.4644099999998</v>
      </c>
      <c r="D80" s="190">
        <f t="shared" ref="D80:I80" si="21">SUM(D67:D70,D72:D74)</f>
        <v>185454.49978000001</v>
      </c>
      <c r="E80" s="190">
        <f t="shared" si="21"/>
        <v>0</v>
      </c>
      <c r="F80" s="190">
        <f t="shared" si="21"/>
        <v>13888.744980000001</v>
      </c>
      <c r="G80" s="190">
        <f t="shared" si="21"/>
        <v>4653.2191600000006</v>
      </c>
      <c r="H80" s="190">
        <f t="shared" si="21"/>
        <v>0</v>
      </c>
      <c r="I80" s="190">
        <f t="shared" si="21"/>
        <v>-1778.01656</v>
      </c>
      <c r="J80" s="190">
        <f>SUM(J67:J70,J72:J74)</f>
        <v>200619.98295000001</v>
      </c>
    </row>
    <row r="81" spans="1:6" ht="15.75" customHeight="1"/>
    <row r="82" spans="1:6" ht="14.4">
      <c r="A82" s="162" t="s">
        <v>242</v>
      </c>
      <c r="B82" s="162"/>
      <c r="C82" s="162"/>
      <c r="D82" s="162"/>
      <c r="E82" s="162"/>
      <c r="F82" s="162"/>
    </row>
    <row r="83" spans="1:6" ht="14.4">
      <c r="A83" s="162" t="s">
        <v>252</v>
      </c>
      <c r="B83" s="162"/>
      <c r="C83" s="162"/>
      <c r="D83" s="162"/>
      <c r="E83" s="162"/>
      <c r="F83" s="162"/>
    </row>
    <row r="84" spans="1:6" ht="14.4">
      <c r="A84" s="183" t="s">
        <v>251</v>
      </c>
      <c r="B84" s="183"/>
      <c r="C84" s="183"/>
      <c r="D84" s="183"/>
      <c r="E84" s="183"/>
      <c r="F84" s="162"/>
    </row>
    <row r="85" spans="1:6" ht="28.8">
      <c r="A85" s="183"/>
      <c r="B85" s="230" t="s">
        <v>243</v>
      </c>
      <c r="C85" s="230" t="s">
        <v>244</v>
      </c>
      <c r="D85" s="230" t="s">
        <v>245</v>
      </c>
      <c r="E85" s="230" t="s">
        <v>249</v>
      </c>
      <c r="F85" s="162"/>
    </row>
    <row r="86" spans="1:6" ht="14.4">
      <c r="A86" s="183" t="s">
        <v>246</v>
      </c>
      <c r="B86" s="231">
        <v>1</v>
      </c>
      <c r="C86" s="232">
        <v>854179</v>
      </c>
      <c r="D86" s="233">
        <f>72872.14-C86*SUM($C$54:$K$54)</f>
        <v>70190.017940000005</v>
      </c>
      <c r="E86" s="233">
        <v>500</v>
      </c>
      <c r="F86" s="234" t="s">
        <v>247</v>
      </c>
    </row>
    <row r="87" spans="1:6" ht="28.8">
      <c r="A87" s="235" t="s">
        <v>248</v>
      </c>
      <c r="B87" s="236">
        <f>SUM(B86:B86)</f>
        <v>1</v>
      </c>
      <c r="C87" s="237">
        <f>SUM(C86:C86)</f>
        <v>854179</v>
      </c>
      <c r="D87" s="238">
        <f>SUM(D86:D86)</f>
        <v>70190.017940000005</v>
      </c>
      <c r="E87" s="238">
        <f>SUM(E86:E86)</f>
        <v>500</v>
      </c>
      <c r="F87" s="162"/>
    </row>
    <row r="88" spans="1:6" ht="9" customHeight="1">
      <c r="A88" s="183"/>
      <c r="B88" s="183"/>
      <c r="C88" s="183"/>
      <c r="D88" s="183"/>
      <c r="E88" s="183"/>
      <c r="F88" s="162"/>
    </row>
    <row r="89" spans="1:6" ht="14.4">
      <c r="A89" s="239" t="s">
        <v>250</v>
      </c>
      <c r="B89" s="239"/>
      <c r="C89" s="239"/>
      <c r="D89" s="239"/>
      <c r="E89" s="239"/>
      <c r="F89" s="162"/>
    </row>
  </sheetData>
  <mergeCells count="2">
    <mergeCell ref="A1:I1"/>
    <mergeCell ref="G61:G62"/>
  </mergeCells>
  <pageMargins left="0.7" right="0.7" top="0.75" bottom="0.75" header="0.3" footer="0.3"/>
  <pageSetup scale="7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E96608-CDED-4DE8-944F-4584B8C58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69487-86E7-48D2-A75A-12B4BAEA65B8}"/>
</file>

<file path=customXml/itemProps3.xml><?xml version="1.0" encoding="utf-8"?>
<ds:datastoreItem xmlns:ds="http://schemas.openxmlformats.org/officeDocument/2006/customXml" ds:itemID="{D333A364-054A-4D9B-8EA1-EBAA156BE0A8}"/>
</file>

<file path=customXml/itemProps4.xml><?xml version="1.0" encoding="utf-8"?>
<ds:datastoreItem xmlns:ds="http://schemas.openxmlformats.org/officeDocument/2006/customXml" ds:itemID="{D19394C1-0730-4119-AA84-24ADF1452849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TY Normalized Usage by Month</vt:lpstr>
      <vt:lpstr>Conversion Factor</vt:lpstr>
      <vt:lpstr>Attachment 4, Page 1</vt:lpstr>
      <vt:lpstr>Attachment 4, Page 2</vt:lpstr>
      <vt:lpstr>Attachment 4, Page 3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  <vt:lpstr>'Attachment 4, Page 1'!Print_Area</vt:lpstr>
      <vt:lpstr>'Attachment 4, Page 2'!Print_Area</vt:lpstr>
      <vt:lpstr>'Deferral Calc'!Print_Area</vt:lpstr>
      <vt:lpstr>'Feb Base Rate Revenue'!Print_Area</vt:lpstr>
      <vt:lpstr>'Jan Base Rate Revenue'!Print_Area</vt:lpstr>
      <vt:lpstr>'October Base Rate Revenue'!Print_Area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2018-01-06T01:30:02Z</cp:lastPrinted>
  <dcterms:created xsi:type="dcterms:W3CDTF">2013-02-28T17:31:50Z</dcterms:created>
  <dcterms:modified xsi:type="dcterms:W3CDTF">2021-02-12T23:58:56Z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