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7FC45914-9187-4AB5-9B5E-A3F1721E394E}" xr6:coauthVersionLast="45" xr6:coauthVersionMax="45" xr10:uidLastSave="{00000000-0000-0000-0000-000000000000}"/>
  <bookViews>
    <workbookView xWindow="-108" yWindow="-108" windowWidth="19416" windowHeight="10416" activeTab="2" xr2:uid="{00000000-000D-0000-FFFF-FFFF00000000}"/>
  </bookViews>
  <sheets>
    <sheet name="TY Normalized Usage by Month" sheetId="20" r:id="rId1"/>
    <sheet name="Conversion Factor" sheetId="23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Deferral Calc" sheetId="24" r:id="rId7"/>
    <sheet name="December Base Rate Revenue" sheetId="37" r:id="rId8"/>
    <sheet name="November Base Rate Revenue" sheetId="35" r:id="rId9"/>
    <sheet name="October Base Rate Revenue" sheetId="34" r:id="rId10"/>
    <sheet name="September Base Rate Revenue" sheetId="33" r:id="rId11"/>
    <sheet name="August Base Rate Revenue" sheetId="32" r:id="rId12"/>
    <sheet name="July Base Rate Revenue" sheetId="31" r:id="rId13"/>
    <sheet name="June Base Rate Revenue" sheetId="30" r:id="rId14"/>
    <sheet name="May Base Rate Revenue" sheetId="29" r:id="rId15"/>
    <sheet name="Apr Base Rate Revenue" sheetId="28" r:id="rId16"/>
    <sheet name="Mar Base Rate Revenue" sheetId="27" r:id="rId17"/>
    <sheet name="Feb Base Rate Revenue" sheetId="26" r:id="rId18"/>
    <sheet name="Jan Base Rate Revenue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6" hidden="1">#REF!</definedName>
    <definedName name="__123Graph_D" localSheetId="17" hidden="1">#REF!</definedName>
    <definedName name="__123Graph_D" hidden="1">#REF!</definedName>
    <definedName name="__123Graph_ECURRENT" localSheetId="6" hidden="1">[1]ConsolidatingPL!#REF!</definedName>
    <definedName name="__123Graph_ECURRENT" localSheetId="17" hidden="1">[1]ConsolidatingPL!#REF!</definedName>
    <definedName name="__123Graph_ECURRENT" hidden="1">[1]ConsolidatingPL!#REF!</definedName>
    <definedName name="__Dec03">[2]BS!$T$7:$T$3582</definedName>
    <definedName name="__Dec04">[3]BS!$AC$7:$AC$3580</definedName>
    <definedName name="__Feb04" localSheetId="6">[4]BS!#REF!</definedName>
    <definedName name="__Feb04" localSheetId="17">[4]BS!#REF!</definedName>
    <definedName name="__Feb04">[4]BS!#REF!</definedName>
    <definedName name="__Jan04" localSheetId="6">[4]BS!#REF!</definedName>
    <definedName name="__Jan04" localSheetId="17">[4]BS!#REF!</definedName>
    <definedName name="__Jan04">[4]BS!#REF!</definedName>
    <definedName name="__Jul04">[3]BS!$X$7:$X$3582</definedName>
    <definedName name="__Jun04">[3]BS!$W$7:$W$3582</definedName>
    <definedName name="__Mar04" localSheetId="6">[4]BS!#REF!</definedName>
    <definedName name="__Mar04" localSheetId="17">[4]BS!#REF!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 localSheetId="6">[5]DT_A_DOL93!#REF!</definedName>
    <definedName name="_1_94_12_94" localSheetId="17">[5]DT_A_DOL93!#REF!</definedName>
    <definedName name="_1_94_12_94">[5]DT_A_DOL93!#REF!</definedName>
    <definedName name="_1_95_12_95" localSheetId="6">[5]DT_A_DOL93!#REF!</definedName>
    <definedName name="_1_95_12_95" localSheetId="17">[5]DT_A_DOL93!#REF!</definedName>
    <definedName name="_1_95_12_95">[5]DT_A_DOL93!#REF!</definedName>
    <definedName name="_1_96_12_96" localSheetId="6">[5]DT_A_DOL93!#REF!</definedName>
    <definedName name="_1_96_12_96" localSheetId="17">[5]DT_A_DOL93!#REF!</definedName>
    <definedName name="_1_96_12_96">[5]DT_A_DOL93!#REF!</definedName>
    <definedName name="_1_97_12_97" localSheetId="6">[5]DT_A_DOL93!#REF!</definedName>
    <definedName name="_1_97_12_97" localSheetId="17">[5]DT_A_DOL93!#REF!</definedName>
    <definedName name="_1_97_12_97">[5]DT_A_DOL93!#REF!</definedName>
    <definedName name="_1_98_12_98" localSheetId="6">[5]DT_A_DOL93!#REF!</definedName>
    <definedName name="_1_98_12_98" localSheetId="17">[5]DT_A_DOL93!#REF!</definedName>
    <definedName name="_1_98_12_98">[5]DT_A_DOL93!#REF!</definedName>
    <definedName name="_Apr04">[3]BS!$U$7:$U$3582</definedName>
    <definedName name="_Apr05" localSheetId="6">[6]BS!#REF!</definedName>
    <definedName name="_Apr05" localSheetId="17">[6]BS!#REF!</definedName>
    <definedName name="_Apr05">[6]BS!#REF!</definedName>
    <definedName name="_Aug04">[3]BS!$Y$7:$Y$3582</definedName>
    <definedName name="_Aug05" localSheetId="6">[6]BS!#REF!</definedName>
    <definedName name="_Aug05" localSheetId="17">[6]BS!#REF!</definedName>
    <definedName name="_Aug05">[6]BS!#REF!</definedName>
    <definedName name="_Dec03">[2]BS!$T$7:$T$3582</definedName>
    <definedName name="_Dec04">[3]BS!$AC$7:$AC$3580</definedName>
    <definedName name="_End" localSheetId="6">[6]BS!#REF!</definedName>
    <definedName name="_End" localSheetId="17">[6]BS!#REF!</definedName>
    <definedName name="_End">[6]BS!#REF!</definedName>
    <definedName name="_ex1" hidden="1">{#N/A,#N/A,FALSE,"Summ";#N/A,#N/A,FALSE,"General"}</definedName>
    <definedName name="_Feb04">[3]BS!$S$7:$S$3582</definedName>
    <definedName name="_Feb05" localSheetId="6">[6]BS!#REF!</definedName>
    <definedName name="_Feb05" localSheetId="17">[6]BS!#REF!</definedName>
    <definedName name="_Feb05">[6]BS!#REF!</definedName>
    <definedName name="_Fill" localSheetId="6">[7]model!#REF!</definedName>
    <definedName name="_Fill" localSheetId="17">[7]model!#REF!</definedName>
    <definedName name="_Fill">[7]model!#REF!</definedName>
    <definedName name="_Jan04">[3]BS!$R$7:$R$3582</definedName>
    <definedName name="_Jan05" localSheetId="6">[6]BS!#REF!</definedName>
    <definedName name="_Jan05" localSheetId="17">[6]BS!#REF!</definedName>
    <definedName name="_Jan05">[6]BS!#REF!</definedName>
    <definedName name="_Jul04">[3]BS!$X$7:$X$3582</definedName>
    <definedName name="_Jul05" localSheetId="6">[6]BS!#REF!</definedName>
    <definedName name="_Jul05" localSheetId="17">[6]BS!#REF!</definedName>
    <definedName name="_Jul05">[6]BS!#REF!</definedName>
    <definedName name="_Jun04">[3]BS!$W$7:$W$3582</definedName>
    <definedName name="_Jun05" localSheetId="6">[6]BS!#REF!</definedName>
    <definedName name="_Jun05" localSheetId="17">[6]BS!#REF!</definedName>
    <definedName name="_Jun05">[6]BS!#REF!</definedName>
    <definedName name="_Key1" localSheetId="6" hidden="1">#REF!</definedName>
    <definedName name="_Key1" localSheetId="17" hidden="1">#REF!</definedName>
    <definedName name="_Key1" hidden="1">#REF!</definedName>
    <definedName name="_Key2" localSheetId="6" hidden="1">#REF!</definedName>
    <definedName name="_Key2" localSheetId="17" hidden="1">#REF!</definedName>
    <definedName name="_Key2" hidden="1">#REF!</definedName>
    <definedName name="_Mar04">[3]BS!$T$7:$T$3582</definedName>
    <definedName name="_Mar05" localSheetId="6">[6]BS!#REF!</definedName>
    <definedName name="_Mar05" localSheetId="17">[6]BS!#REF!</definedName>
    <definedName name="_Mar05">[6]BS!#REF!</definedName>
    <definedName name="_May04">[3]BS!$V$7:$V$3582</definedName>
    <definedName name="_May05" localSheetId="6">[6]BS!#REF!</definedName>
    <definedName name="_May05" localSheetId="17">[6]BS!#REF!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 localSheetId="6">[6]BS!#REF!</definedName>
    <definedName name="_Sep05" localSheetId="17">[6]BS!#REF!</definedName>
    <definedName name="_Sep05">[6]BS!#REF!</definedName>
    <definedName name="_six6" hidden="1">{#N/A,#N/A,FALSE,"CRPT";#N/A,#N/A,FALSE,"TREND";#N/A,#N/A,FALSE,"%Curve"}</definedName>
    <definedName name="_Sort" localSheetId="6" hidden="1">#REF!</definedName>
    <definedName name="_Sort" localSheetId="17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 localSheetId="6">#REF!</definedName>
    <definedName name="apeek" localSheetId="17">#REF!</definedName>
    <definedName name="apeek">#REF!</definedName>
    <definedName name="Apr03AMA" localSheetId="6">[4]BS!#REF!</definedName>
    <definedName name="Apr03AMA" localSheetId="17">[4]BS!#REF!</definedName>
    <definedName name="Apr03AMA">[4]BS!#REF!</definedName>
    <definedName name="Apr04AMA">[3]BS!$AG$7:$AG$3582</definedName>
    <definedName name="Apr05AMA" localSheetId="6">[6]BS!#REF!</definedName>
    <definedName name="Apr05AMA" localSheetId="17">[6]BS!#REF!</definedName>
    <definedName name="Apr05AMA">[6]BS!#REF!</definedName>
    <definedName name="AS2DocOpenMode" hidden="1">"AS2DocumentEdit"</definedName>
    <definedName name="Aug03AMA" localSheetId="6">[4]BS!#REF!</definedName>
    <definedName name="Aug03AMA" localSheetId="17">[4]BS!#REF!</definedName>
    <definedName name="Aug03AMA">[4]BS!#REF!</definedName>
    <definedName name="Aug04AMA">[3]BS!$AK$7:$AK$3582</definedName>
    <definedName name="Aug05AMA" localSheetId="6">[6]BS!#REF!</definedName>
    <definedName name="Aug05AMA" localSheetId="17">[6]BS!#REF!</definedName>
    <definedName name="Aug05AMA">[6]BS!#REF!</definedName>
    <definedName name="Aurora_Prices">"Monthly Price Summary'!$C$4:$H$63"</definedName>
    <definedName name="b" hidden="1">{#N/A,#N/A,FALSE,"Coversheet";#N/A,#N/A,FALSE,"QA"}</definedName>
    <definedName name="BADDEBT" localSheetId="6">[7]model!#REF!</definedName>
    <definedName name="BADDEBT" localSheetId="17">[7]model!#REF!</definedName>
    <definedName name="BADDEBT">[7]model!#REF!</definedName>
    <definedName name="Base1_Billing2">'[9]2013'!$N$8</definedName>
    <definedName name="BD" localSheetId="6">[10]model!#REF!</definedName>
    <definedName name="BD" localSheetId="17">[10]model!#REF!</definedName>
    <definedName name="BD">[10]model!#REF!</definedName>
    <definedName name="BEP" localSheetId="6">[7]model!#REF!</definedName>
    <definedName name="BEP" localSheetId="17">[7]model!#REF!</definedName>
    <definedName name="BEP">[7]model!#REF!</definedName>
    <definedName name="BEx0017DGUEDPCFJUPUZOOLJCS2B" localSheetId="6" hidden="1">#REF!</definedName>
    <definedName name="BEx0017DGUEDPCFJUPUZOOLJCS2B" localSheetId="17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17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17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17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17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17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17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17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17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17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17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17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17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17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17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17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17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17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17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17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17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17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17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17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17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17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17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17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17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17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17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17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17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17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17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17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17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17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17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17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17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17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17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17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17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17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17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17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17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17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17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17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17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17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17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17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17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17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17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17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17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17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17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17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17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17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17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17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17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17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17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17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17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17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17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17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17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17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17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17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17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17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17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17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17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17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17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17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17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17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17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17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17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17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17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17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17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17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17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17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17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17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17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17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17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17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17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17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17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17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17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17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17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17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17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17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17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17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17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17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17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17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17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17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17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17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17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17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17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17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17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17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17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17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17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17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17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17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17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17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17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17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17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17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17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17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17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17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17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17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17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17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17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17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17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17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17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17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17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17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17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17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17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17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17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17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17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17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17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17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17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17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17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17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17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17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17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17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17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17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17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17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17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17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17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17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17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17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17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17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17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17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17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17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17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17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17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17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17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17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17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17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17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17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17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17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17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17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17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17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17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17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17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17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17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17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17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17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17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17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17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17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17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17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17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17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17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17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17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17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17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17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17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17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17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17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17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17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17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17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17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17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17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17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17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17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17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17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17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17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17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17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17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17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17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17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17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17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17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17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17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17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17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17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17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17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17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17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17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17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17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17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17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17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17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17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17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17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17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17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17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17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17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17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17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17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17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17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17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17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17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17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17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17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17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17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17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17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17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17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17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17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17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17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17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17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17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17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17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17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17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17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17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17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17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17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17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17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17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17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17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17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17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17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17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17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17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17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17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17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17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17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17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17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17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17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17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17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17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17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17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17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17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17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17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17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17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17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17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17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17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17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17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17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17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17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17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17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17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17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17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17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17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17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17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17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17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17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17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17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17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17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17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17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17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17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17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17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17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17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17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17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17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17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17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17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17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17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17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17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17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17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17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17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17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17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17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17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17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17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17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17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17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17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17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17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17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17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17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17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17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17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17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17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17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17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17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17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17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17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17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17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17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17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17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17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17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17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17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17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17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17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17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17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17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17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17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17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17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17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17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17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17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17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17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17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17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17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17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17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17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17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17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17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17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17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17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17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17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17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17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17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17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17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17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17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17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17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17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17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17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17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17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17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17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17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17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17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17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17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17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17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17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17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17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17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17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17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17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17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17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17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17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17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17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17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17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17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17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17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17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17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17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17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17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17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17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17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17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17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17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17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17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17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17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17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17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17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17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17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17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17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17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17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17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17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17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17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17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17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17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17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17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17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17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17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17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17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17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17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17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17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17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17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17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17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17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17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17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17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17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17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17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17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17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17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17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17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17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17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17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17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17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17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17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17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17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17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17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17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17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17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17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17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17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17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17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17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17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17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17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17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17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17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17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17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17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17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17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17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17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17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17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17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17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17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17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17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17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17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17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17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17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17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17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17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17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17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17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17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17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17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17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17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17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17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17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17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17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17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17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17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17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17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17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17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17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17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17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17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17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17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17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17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17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17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17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17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17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17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17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17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17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17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17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17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17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17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17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17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17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17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17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17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17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17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17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17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17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17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17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17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17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17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17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17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17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17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17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17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17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17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17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17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17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17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17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17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17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17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17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17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17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17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17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17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17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17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17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17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17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17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17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17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17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17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17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17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17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17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17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17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17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17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17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17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17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17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17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17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17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17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17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17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17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17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17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17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17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17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17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17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17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17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17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17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17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17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17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17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17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17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17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17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17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17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17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17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17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17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17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17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17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17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17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17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17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17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17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17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17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17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17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17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17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17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17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17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17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17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17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17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17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17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17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17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17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17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17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17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17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17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17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17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17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17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17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17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17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17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17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17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17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17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17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17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17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17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17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17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17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17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17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17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17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17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17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17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17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17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17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17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17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17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17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17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17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17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17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17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17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17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17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17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17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17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17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17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17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17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17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17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17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17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17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17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17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17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17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17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17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17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17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17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17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17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17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17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17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17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17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17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17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17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17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17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17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17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17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17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17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17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17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17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17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17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17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17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17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17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17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17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17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17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17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17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17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17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17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17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17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17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17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17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17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17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17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17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17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17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17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17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17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17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17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17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17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17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17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17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17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17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17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17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17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17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17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17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17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17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17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17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17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17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17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17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17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17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17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17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17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17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17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17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17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17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17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17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17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17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17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17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17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17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17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17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17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17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17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17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17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17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17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17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17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17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17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17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17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17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17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17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17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17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17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17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17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17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17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17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17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17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17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17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17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17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17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17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17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17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17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17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17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17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17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17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17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17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17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17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17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17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17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17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17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17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17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17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17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17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17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17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17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17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17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17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17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17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17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17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17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17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17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17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17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17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17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17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17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17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17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17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17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17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17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17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17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17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17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17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17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17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17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17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17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17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17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17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17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17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17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17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17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17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17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17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17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17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17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17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17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17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17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17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17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17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17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17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17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17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17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17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17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17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17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17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17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17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17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17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17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17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17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17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17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17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17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17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17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17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17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17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17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17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17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17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17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17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17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17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17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17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17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17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17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17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17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17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17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17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17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17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17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17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17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17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17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17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17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17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17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17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17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17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17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17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17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17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17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17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17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17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17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17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17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17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17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17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17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17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17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17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17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17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17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17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17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17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17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17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17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17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17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17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17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17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17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17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17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17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17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17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17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17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17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17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17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17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17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17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17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17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17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17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17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17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17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17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17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17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17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17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17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17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17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17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17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17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17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17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17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17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17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17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17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17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17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17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17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17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17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17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17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17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17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17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17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17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17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17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17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17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17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17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17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17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17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17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17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17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17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17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17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17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17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17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17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17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17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17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17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17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17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17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17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17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17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17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17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17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17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17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17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17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17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17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17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17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17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17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17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17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17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17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17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17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17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17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17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17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17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17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17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17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17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17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17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17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17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17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17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17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17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17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17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17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17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17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17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17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17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17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17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17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17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17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17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17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17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17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17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17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17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17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17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17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17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17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17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17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17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17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17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17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17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17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17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17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17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17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17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17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17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17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17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17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17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17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17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17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17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17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17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17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17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17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17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17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17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17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17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17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17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17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17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17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17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17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17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17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17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17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17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17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17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17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17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17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17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17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17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17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17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17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17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17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17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17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17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17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17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17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17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17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17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17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17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17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17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17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17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17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17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17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17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17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17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17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17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17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17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17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17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17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17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17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17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17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17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17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17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17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17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17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17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17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17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17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17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17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17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17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17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17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17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17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17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17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17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17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17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17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17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17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17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17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17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17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17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17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17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17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17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17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17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17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17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17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17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17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17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17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17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17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17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17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17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17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17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17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17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17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17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17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17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17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17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17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17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17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17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17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17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17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17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17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17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17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17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17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17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17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17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17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17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17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17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17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17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17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17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17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17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17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17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17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17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17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17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17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17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17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17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17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17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17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17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17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17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17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17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17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17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17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17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17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17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17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17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17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17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17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17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17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17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17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17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17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17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17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17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17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17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17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17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17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17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17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17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17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17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17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17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17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17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17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17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17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17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17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17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17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17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17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17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17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17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17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17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17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17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17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17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17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17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17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17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17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17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17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17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17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17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17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17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17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17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17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17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17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17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17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17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17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17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17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17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17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17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17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17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17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17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17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17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17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17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17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17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17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17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17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17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17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17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17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17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17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17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17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17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17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17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17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17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17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17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17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17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17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17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17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17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17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17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17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17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17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17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17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17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17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17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17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17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17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17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17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17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17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17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17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17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17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17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17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17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17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17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17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17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17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17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17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17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17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17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17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17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17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17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17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17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17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17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17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17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17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17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17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17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17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17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17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17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17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17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17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17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17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17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17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17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17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17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17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17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17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17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17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17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17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17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17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17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17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17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17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17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17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17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17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17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17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17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17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17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17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17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17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17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17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17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17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17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17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17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17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17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17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17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17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17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17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17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17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17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17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17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17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17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17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17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17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17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17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17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17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17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17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17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17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17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17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17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17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17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17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17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17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17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17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17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17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17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17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17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17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17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17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17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17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17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17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17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17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17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17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17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17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17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17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17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17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17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17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17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17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17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17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17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17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17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17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17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17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17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17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17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17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17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17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17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17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17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17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17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17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17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17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17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17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17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17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17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17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17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17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17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17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17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17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17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17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17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17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17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17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17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17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17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17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17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17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17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17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17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17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17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17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17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17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17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17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17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17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17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17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17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17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17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17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17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17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17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17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17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17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17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17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17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17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17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17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17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17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17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17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17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17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17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17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17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17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17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17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17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17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17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17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17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17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17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17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17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17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17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17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17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17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17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17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17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17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17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17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17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17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17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17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17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17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17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17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17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17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17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17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17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17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17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17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17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17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17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17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17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17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17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17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17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17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17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17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17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17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17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17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17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17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17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17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17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17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17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17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17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17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17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17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17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17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17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17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17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17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17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17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17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17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17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17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17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17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17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17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17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17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17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17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17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17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17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17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17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17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17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17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17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17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17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17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17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17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17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17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17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17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17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17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17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17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17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17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17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17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17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17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17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17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17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17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17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17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17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17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17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17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17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17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17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17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17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17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17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17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17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17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17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17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17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17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17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17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17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17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17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17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17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17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17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17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17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17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17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17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17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17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17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17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17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17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17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17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17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17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17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17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17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17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17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17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17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17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17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17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17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17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17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17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17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17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17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17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17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17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17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17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17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17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17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17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17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17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17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17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17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17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17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17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17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17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17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17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17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17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17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17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17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17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17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17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17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17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17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17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17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17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17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17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17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17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17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17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17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17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17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17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17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17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17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17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17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17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17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17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17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17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17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17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17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17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17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17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17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17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17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17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17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17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17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17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17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17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17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17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17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17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17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17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17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17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17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17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17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17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17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17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17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17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17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17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17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17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17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17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17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17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17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17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17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17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17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17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17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17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17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17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17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17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17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17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17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17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17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17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17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17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17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17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17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17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17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17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17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17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17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17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17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17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17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17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17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17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17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17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17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17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17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17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17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17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17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17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17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17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17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17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17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17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17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17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17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17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17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17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17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17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17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17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17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17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17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17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17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17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17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17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17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17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17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17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17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17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17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17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17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17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17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17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17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17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17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17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17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17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17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17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17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17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17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17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17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17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17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17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17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17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17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17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17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17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17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17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17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17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17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17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17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17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17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17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17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17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17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17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17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17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17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17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17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17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17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17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17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17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17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17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17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17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17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17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17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17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17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17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17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17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17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17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17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17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17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17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17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17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17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17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17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17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17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17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17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17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17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17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17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17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17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17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17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17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17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17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17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17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17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17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17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17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17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17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17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17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17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17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17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17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17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17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17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17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17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17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17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17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17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17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17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17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17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17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17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17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17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17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17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17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17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17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17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17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17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17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17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17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17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17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17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17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17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17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17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17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17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17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17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17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17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17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17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17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17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17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17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17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17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17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17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17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17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17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17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17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17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17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17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17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17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17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17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17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17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17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17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17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17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17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17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17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17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17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17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17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17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17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17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17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17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17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17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17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17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17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17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17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17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17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17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17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17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17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17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17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17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17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17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17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17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17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17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17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17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17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17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17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17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17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17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17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17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17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17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17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17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17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17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17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17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17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17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17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17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17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17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17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17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17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17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17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17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17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17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17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17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17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17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17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17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17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17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17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17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17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17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17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17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17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17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17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17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17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17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17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17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17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17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17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17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17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17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17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17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17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17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17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17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17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17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17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17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17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17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17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17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17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17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17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17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17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17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17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17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17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17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17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17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17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17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17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17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17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17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17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17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17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17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17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17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17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17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17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17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17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17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17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17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17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17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17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17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17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17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17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17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17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17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17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17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17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17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17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17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17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17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17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17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17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17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17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17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17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17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17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17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17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17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17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17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17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17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17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17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17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17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17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17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17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17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17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17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17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17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17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17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17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17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17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17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17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17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17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17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17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17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17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17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17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17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17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17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17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17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17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17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17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17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17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17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17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17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17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17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17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17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17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17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17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17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17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17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17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17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17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17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17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17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17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17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17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17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17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17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17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17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17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17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17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17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17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17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17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17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17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17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17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17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17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17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17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17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17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17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17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17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17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17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17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17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17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17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17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17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17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17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17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17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17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17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17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17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17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17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17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17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17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17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17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17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17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17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17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17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17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17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17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17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17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17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17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17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17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17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17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17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17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17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17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17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17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17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17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17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17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17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17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17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17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17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17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17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17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17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17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17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17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17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17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17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17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17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17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17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17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17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17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17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17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17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17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17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17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17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17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17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17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17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17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17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17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17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17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17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17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17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17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17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17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17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17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17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17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17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17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17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17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17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17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17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17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17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17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17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17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17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17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17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17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17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17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17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17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17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17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17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17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17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17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17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17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17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17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17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17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17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17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17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17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17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17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17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17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17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17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17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17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17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17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17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17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17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17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17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17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17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17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17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17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17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17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17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17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17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17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17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17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17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17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17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17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17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17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17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17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17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17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17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17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17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17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17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17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17" hidden="1">#REF!</definedName>
    <definedName name="BExZZZEMIIFKMLLV4DJKX5TB9R5V" hidden="1">#REF!</definedName>
    <definedName name="BottomRight" localSheetId="6">#REF!</definedName>
    <definedName name="BottomRight" localSheetId="17">#REF!</definedName>
    <definedName name="BottomRight">#REF!</definedName>
    <definedName name="Capacity" localSheetId="6">#REF!</definedName>
    <definedName name="Capacity" localSheetId="17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 localSheetId="6">#REF!</definedName>
    <definedName name="CL_RT" localSheetId="17">#REF!</definedName>
    <definedName name="CL_RT">#REF!</definedName>
    <definedName name="CL_RT2">'[11]Transp Data'!$A$6:$C$81</definedName>
    <definedName name="COLHOUSE" localSheetId="6">[7]model!#REF!</definedName>
    <definedName name="COLHOUSE" localSheetId="17">[7]model!#REF!</definedName>
    <definedName name="COLHOUSE">[7]model!#REF!</definedName>
    <definedName name="COLXFER" localSheetId="6">[7]model!#REF!</definedName>
    <definedName name="COLXFER" localSheetId="17">[7]model!#REF!</definedName>
    <definedName name="COLXFER">[7]model!#REF!</definedName>
    <definedName name="CombWC_LineItem" localSheetId="6">[6]BS!#REF!</definedName>
    <definedName name="CombWC_LineItem" localSheetId="17">[6]BS!#REF!</definedName>
    <definedName name="CombWC_LineItem">[6]BS!#REF!</definedName>
    <definedName name="COMMON_ADMIN_ALLOCATED" localSheetId="6">#REF!</definedName>
    <definedName name="COMMON_ADMIN_ALLOCATED" localSheetId="17">#REF!</definedName>
    <definedName name="COMMON_ADMIN_ALLOCATED">#REF!</definedName>
    <definedName name="COMPINSR" localSheetId="6">#REF!</definedName>
    <definedName name="COMPINSR" localSheetId="17">#REF!</definedName>
    <definedName name="COMPINSR">#REF!</definedName>
    <definedName name="CONSERV" localSheetId="6">#REF!</definedName>
    <definedName name="CONSERV" localSheetId="17">#REF!</definedName>
    <definedName name="CONSERV">#REF!</definedName>
    <definedName name="Consv_Rdr_Rt" localSheetId="6">[12]Sch_120!#REF!</definedName>
    <definedName name="Consv_Rdr_Rt" localSheetId="17">[12]Sch_120!#REF!</definedName>
    <definedName name="Consv_Rdr_Rt">[12]Sch_120!#REF!</definedName>
    <definedName name="ContractDate" localSheetId="6">'[13]Dispatch Cases'!#REF!</definedName>
    <definedName name="ContractDate" localSheetId="17">'[13]Dispatch Cases'!#REF!</definedName>
    <definedName name="ContractDate">'[13]Dispatch Cases'!#REF!</definedName>
    <definedName name="Conv_Factor" localSheetId="6">[12]Sch_120!#REF!</definedName>
    <definedName name="Conv_Factor" localSheetId="17">[12]Sch_120!#REF!</definedName>
    <definedName name="Conv_Factor">[12]Sch_120!#REF!</definedName>
    <definedName name="ConversionFactor">[8]Assumptions!$I$65</definedName>
    <definedName name="CONVFACT" localSheetId="6">#REF!</definedName>
    <definedName name="CONVFACT" localSheetId="17">#REF!</definedName>
    <definedName name="CONVFACT">#REF!</definedName>
    <definedName name="CurrQtr">'[14]Inc Stmt'!$AJ$222</definedName>
    <definedName name="cust" localSheetId="6">#REF!</definedName>
    <definedName name="cust" localSheetId="17">#REF!</definedName>
    <definedName name="cust">#REF!</definedName>
    <definedName name="CUSTDEP" localSheetId="6">#REF!</definedName>
    <definedName name="CUSTDEP" localSheetId="17">#REF!</definedName>
    <definedName name="CUSTDEP">#REF!</definedName>
    <definedName name="Data" localSheetId="6">#REF!</definedName>
    <definedName name="Data" localSheetId="17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 localSheetId="6">[4]BS!#REF!</definedName>
    <definedName name="Dec02AMA" localSheetId="17">[4]BS!#REF!</definedName>
    <definedName name="Dec02AMA">[4]BS!#REF!</definedName>
    <definedName name="Dec03AMA">[2]BS!$AJ$7:$AJ$3582</definedName>
    <definedName name="Dec04AMA">[3]BS!$AO$7:$AO$3582</definedName>
    <definedName name="Degree_Days" localSheetId="6">#REF!</definedName>
    <definedName name="Degree_Days" localSheetId="17">#REF!</definedName>
    <definedName name="Degree_Day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 localSheetId="6">#REF!</definedName>
    <definedName name="DEPRECIATION" localSheetId="17">#REF!</definedName>
    <definedName name="DEPRECIATION">#REF!</definedName>
    <definedName name="DF_HeatRate">[8]Assumptions!$L$23</definedName>
    <definedName name="DFIT" hidden="1">{#N/A,#N/A,FALSE,"Coversheet";#N/A,#N/A,FALSE,"QA"}</definedName>
    <definedName name="Disc" localSheetId="6">'[13]Debt Amortization'!#REF!</definedName>
    <definedName name="Disc" localSheetId="17">'[13]Debt Amortization'!#REF!</definedName>
    <definedName name="Disc">'[13]Debt Amortization'!#REF!</definedName>
    <definedName name="DOCKET" localSheetId="6">#REF!</definedName>
    <definedName name="DOCKET" localSheetId="17">#REF!</definedName>
    <definedName name="DOCKET">#REF!</definedName>
    <definedName name="ee" hidden="1">{#N/A,#N/A,FALSE,"Month ";#N/A,#N/A,FALSE,"YTD";#N/A,#N/A,FALSE,"12 mo ended"}</definedName>
    <definedName name="Electp1" localSheetId="6">#REF!</definedName>
    <definedName name="Electp1" localSheetId="17">#REF!</definedName>
    <definedName name="Electp1">#REF!</definedName>
    <definedName name="Electp2" localSheetId="6">#REF!</definedName>
    <definedName name="Electp2" localSheetId="17">#REF!</definedName>
    <definedName name="Electp2">#REF!</definedName>
    <definedName name="Electric_Prices">'[15]Monthly Price Summary'!$B$4:$E$27</definedName>
    <definedName name="ElecWC_LineItems" localSheetId="6">[6]BS!#REF!</definedName>
    <definedName name="ElecWC_LineItems" localSheetId="17">[6]BS!#REF!</definedName>
    <definedName name="ElecWC_LineItems">[6]BS!#REF!</definedName>
    <definedName name="ElRBLine">[3]BS!$AQ$7:$AQ$3303</definedName>
    <definedName name="EMPLBENE" localSheetId="6">#REF!</definedName>
    <definedName name="EMPLBENE" localSheetId="17">#REF!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 localSheetId="6">#REF!</definedName>
    <definedName name="FACTORS" localSheetId="17">#REF!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 localSheetId="6">[4]BS!#REF!</definedName>
    <definedName name="Feb03AMA" localSheetId="17">[4]BS!#REF!</definedName>
    <definedName name="Feb03AMA">[4]BS!#REF!</definedName>
    <definedName name="Feb04AMA">[3]BS!$AE$7:$AE$3582</definedName>
    <definedName name="Feb05AMA" localSheetId="6">[6]BS!#REF!</definedName>
    <definedName name="Feb05AMA" localSheetId="17">[6]BS!#REF!</definedName>
    <definedName name="Feb05AMA">[6]BS!#REF!</definedName>
    <definedName name="Fed_Cap_Tax">[16]Inputs!$E$112</definedName>
    <definedName name="FEDERAL_INCOME_TAX" localSheetId="6">#REF!</definedName>
    <definedName name="FEDERAL_INCOME_TAX" localSheetId="17">#REF!</definedName>
    <definedName name="FEDERAL_INCOME_TAX">#REF!</definedName>
    <definedName name="FedTaxRate">[8]Assumptions!$C$33</definedName>
    <definedName name="FF" localSheetId="6">#REF!</definedName>
    <definedName name="FF" localSheetId="17">#REF!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 localSheetId="6">#REF!</definedName>
    <definedName name="FIELDCHRG" localSheetId="17">#REF!</definedName>
    <definedName name="FIELDCHRG">#REF!</definedName>
    <definedName name="Final" localSheetId="6">#REF!</definedName>
    <definedName name="Final" localSheetId="17">#REF!</definedName>
    <definedName name="Final">#REF!</definedName>
    <definedName name="FIT" localSheetId="6">'[17]2.29'!#REF!</definedName>
    <definedName name="FIT" localSheetId="17">'[17]2.29'!#REF!</definedName>
    <definedName name="FIT">'[17]2.29'!#REF!</definedName>
    <definedName name="Fuel" localSheetId="6">#REF!</definedName>
    <definedName name="Fuel" localSheetId="17">#REF!</definedName>
    <definedName name="Fuel">#REF!</definedName>
    <definedName name="GasRBLine">[3]BS!$AS$7:$AS$3631</definedName>
    <definedName name="GasWC_LineItem">[3]BS!$AR$7:$AR$3631</definedName>
    <definedName name="GeoDate" localSheetId="6">'[13]Dispatch Cases'!#REF!</definedName>
    <definedName name="GeoDate" localSheetId="17">'[13]Dispatch Cases'!#REF!</definedName>
    <definedName name="GeoDate">'[13]Dispatch Cases'!#REF!</definedName>
    <definedName name="graph" localSheetId="6">#REF!</definedName>
    <definedName name="graph" localSheetId="17">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 localSheetId="6">#REF!</definedName>
    <definedName name="HydroCap" localSheetId="17">#REF!</definedName>
    <definedName name="HydroCap">#REF!</definedName>
    <definedName name="HydroGen" localSheetId="6">[13]Dispatch!#REF!</definedName>
    <definedName name="HydroGen" localSheetId="17">[13]Dispatch!#REF!</definedName>
    <definedName name="HydroGen">[13]Dispatch!#REF!</definedName>
    <definedName name="inact" localSheetId="6">#REF!</definedName>
    <definedName name="inact" localSheetId="17">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 localSheetId="6">#REF!</definedName>
    <definedName name="INCSTMNT" localSheetId="17">#REF!</definedName>
    <definedName name="INCSTMNT">#REF!</definedName>
    <definedName name="INCSTMT" localSheetId="6">#REF!</definedName>
    <definedName name="INCSTMT" localSheetId="17">#REF!</definedName>
    <definedName name="INCSTMT">#REF!</definedName>
    <definedName name="Inputs" localSheetId="6">'[18]Daily Calc'!#REF!</definedName>
    <definedName name="Inputs" localSheetId="17">'[18]Daily Calc'!#REF!</definedName>
    <definedName name="Inputs">'[18]Daily Calc'!#REF!</definedName>
    <definedName name="INTRESEXCH" localSheetId="6">#REF!</definedName>
    <definedName name="INTRESEXCH" localSheetId="17">#REF!</definedName>
    <definedName name="INTRESEXCH">#REF!</definedName>
    <definedName name="INVPLAN" localSheetId="6">#REF!</definedName>
    <definedName name="INVPLAN" localSheetId="17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 localSheetId="6">[4]BS!#REF!</definedName>
    <definedName name="Jan03AMA" localSheetId="17">[4]BS!#REF!</definedName>
    <definedName name="Jan03AMA">[4]BS!#REF!</definedName>
    <definedName name="Jan04AMA">[3]BS!$AD$7:$AD$3582</definedName>
    <definedName name="Jan05AMA" localSheetId="6">[6]BS!#REF!</definedName>
    <definedName name="Jan05AMA" localSheetId="17">[6]BS!#REF!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 localSheetId="6">[4]BS!#REF!</definedName>
    <definedName name="Jul03AMA" localSheetId="17">[4]BS!#REF!</definedName>
    <definedName name="Jul03AMA">[4]BS!#REF!</definedName>
    <definedName name="Jul04AMA">[3]BS!$AJ$7:$AJ$3582</definedName>
    <definedName name="Jul05AMA" localSheetId="6">[6]BS!#REF!</definedName>
    <definedName name="Jul05AMA" localSheetId="17">[6]BS!#REF!</definedName>
    <definedName name="Jul05AMA">[6]BS!#REF!</definedName>
    <definedName name="Jun03AMA" localSheetId="6">[4]BS!#REF!</definedName>
    <definedName name="Jun03AMA" localSheetId="17">[4]BS!#REF!</definedName>
    <definedName name="Jun03AMA">[4]BS!#REF!</definedName>
    <definedName name="Jun04AMA">[3]BS!$AI$7:$AI$3582</definedName>
    <definedName name="Jun05AMA" localSheetId="6">[6]BS!#REF!</definedName>
    <definedName name="Jun05AMA" localSheetId="17">[6]BS!#REF!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 localSheetId="6">#REF!</definedName>
    <definedName name="LATEPAY" localSheetId="17">#REF!</definedName>
    <definedName name="LATEPAY">#REF!</definedName>
    <definedName name="Line_10" localSheetId="6">#REF!</definedName>
    <definedName name="Line_10" localSheetId="17">#REF!</definedName>
    <definedName name="Line_10">#REF!</definedName>
    <definedName name="Line_11" localSheetId="6">#REF!</definedName>
    <definedName name="Line_11" localSheetId="17">#REF!</definedName>
    <definedName name="Line_11">#REF!</definedName>
    <definedName name="Line_12" localSheetId="6">#REF!</definedName>
    <definedName name="Line_12" localSheetId="17">#REF!</definedName>
    <definedName name="Line_12">#REF!</definedName>
    <definedName name="line_14" localSheetId="6">#REF!</definedName>
    <definedName name="line_14" localSheetId="17">#REF!</definedName>
    <definedName name="line_14">#REF!</definedName>
    <definedName name="Line_15" localSheetId="6">#REF!</definedName>
    <definedName name="Line_15" localSheetId="17">#REF!</definedName>
    <definedName name="Line_15">#REF!</definedName>
    <definedName name="Line_19" localSheetId="6">#REF!</definedName>
    <definedName name="Line_19" localSheetId="17">#REF!</definedName>
    <definedName name="Line_19">#REF!</definedName>
    <definedName name="Line_22" localSheetId="6">#REF!</definedName>
    <definedName name="Line_22" localSheetId="17">#REF!</definedName>
    <definedName name="Line_22">#REF!</definedName>
    <definedName name="Line_23" localSheetId="6">#REF!</definedName>
    <definedName name="Line_23" localSheetId="17">#REF!</definedName>
    <definedName name="Line_23">#REF!</definedName>
    <definedName name="Line_25" localSheetId="6">#REF!</definedName>
    <definedName name="Line_25" localSheetId="17">#REF!</definedName>
    <definedName name="Line_25">#REF!</definedName>
    <definedName name="LoadArray">'[19]Load Source Data'!$C$78:$X$89</definedName>
    <definedName name="LoadGrowthAdder" localSheetId="6">#REF!</definedName>
    <definedName name="LoadGrowthAdder" localSheetId="17">#REF!</definedName>
    <definedName name="LoadGrowthAdder">#REF!</definedName>
    <definedName name="lookup" hidden="1">{#N/A,#N/A,FALSE,"Coversheet";#N/A,#N/A,FALSE,"QA"}</definedName>
    <definedName name="Mar03AMA" localSheetId="6">[4]BS!#REF!</definedName>
    <definedName name="Mar03AMA" localSheetId="17">[4]BS!#REF!</definedName>
    <definedName name="Mar03AMA">[4]BS!#REF!</definedName>
    <definedName name="Mar04AMA">[3]BS!$AF$7:$AF$3582</definedName>
    <definedName name="Mar05AMA" localSheetId="6">[6]BS!#REF!</definedName>
    <definedName name="Mar05AMA" localSheetId="17">[6]BS!#REF!</definedName>
    <definedName name="Mar05AMA">[6]BS!#REF!</definedName>
    <definedName name="May03AMA" localSheetId="6">[4]BS!#REF!</definedName>
    <definedName name="May03AMA" localSheetId="17">[4]BS!#REF!</definedName>
    <definedName name="May03AMA">[4]BS!#REF!</definedName>
    <definedName name="May04AMA">[3]BS!$AH$7:$AH$3582</definedName>
    <definedName name="May05AMA" localSheetId="6">[6]BS!#REF!</definedName>
    <definedName name="May05AMA" localSheetId="17">[6]BS!#REF!</definedName>
    <definedName name="May05AMA">[6]BS!#REF!</definedName>
    <definedName name="MERGER_COST">[20]Sheet1!$AF$3:$AJ$28</definedName>
    <definedName name="MERGERCOSTS" localSheetId="6">[21]model!#REF!</definedName>
    <definedName name="MERGERCOSTS" localSheetId="17">[21]model!#REF!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 localSheetId="6">#REF!</definedName>
    <definedName name="MISCELLANEOUS" localSheetId="17">#REF!</definedName>
    <definedName name="MISCELLANEOUS">#REF!</definedName>
    <definedName name="MonTotalDispatch" localSheetId="6">[13]Dispatch!#REF!</definedName>
    <definedName name="MonTotalDispatch" localSheetId="17">[13]Dispatch!#REF!</definedName>
    <definedName name="MonTotalDispatch">[13]Dispatch!#REF!</definedName>
    <definedName name="MT" localSheetId="6">#REF!</definedName>
    <definedName name="MT" localSheetId="17">#REF!</definedName>
    <definedName name="MT">#REF!</definedName>
    <definedName name="MTD_Format">[22]Mthly!$B$11:$D$11,[22]Mthly!$B$32:$D$32</definedName>
    <definedName name="MustRunGen" localSheetId="6">[13]Dispatch!#REF!</definedName>
    <definedName name="MustRunGen" localSheetId="17">[13]Dispatch!#REF!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 localSheetId="6">[5]DT_A_AMW93!#REF!</definedName>
    <definedName name="NWSales_MWH" localSheetId="17">[5]DT_A_AMW93!#REF!</definedName>
    <definedName name="NWSales_MWH">[5]DT_A_AMW93!#REF!</definedName>
    <definedName name="OBCLEASE" localSheetId="6">#REF!</definedName>
    <definedName name="OBCLEASE" localSheetId="17">#REF!</definedName>
    <definedName name="OBCLEASE">#REF!</definedName>
    <definedName name="Oct03AMA">[2]BS!$AH$7:$AH$3582</definedName>
    <definedName name="Oct04AMA">[3]BS!$AM$7:$AM$3582</definedName>
    <definedName name="OPEXPPF" localSheetId="6">#REF!</definedName>
    <definedName name="OPEXPPF" localSheetId="17">#REF!</definedName>
    <definedName name="OPEXPPF">#REF!</definedName>
    <definedName name="OPEXPRS" localSheetId="6">#REF!</definedName>
    <definedName name="OPEXPRS" localSheetId="17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6">#REF!</definedName>
    <definedName name="Page1" localSheetId="17">#REF!</definedName>
    <definedName name="Page1">#REF!</definedName>
    <definedName name="Page2" localSheetId="6">#REF!</definedName>
    <definedName name="Page2" localSheetId="17">#REF!</definedName>
    <definedName name="Page2">#REF!</definedName>
    <definedName name="PEBBLE" localSheetId="6">#REF!</definedName>
    <definedName name="PEBBLE" localSheetId="17">#REF!</definedName>
    <definedName name="PEBBLE">#REF!</definedName>
    <definedName name="Percent_debt">[16]Inputs!$E$129</definedName>
    <definedName name="PERCENTAGES_CALCULATED" localSheetId="6">#REF!</definedName>
    <definedName name="PERCENTAGES_CALCULATED" localSheetId="17">#REF!</definedName>
    <definedName name="PERCENTAGES_CALCULATED">#REF!</definedName>
    <definedName name="PreTaxDebtCost">[8]Assumptions!$I$56</definedName>
    <definedName name="PreTaxWACC">[8]Assumptions!$I$62</definedName>
    <definedName name="PriceCaseTable" localSheetId="6">#REF!</definedName>
    <definedName name="PriceCaseTable" localSheetId="17">#REF!</definedName>
    <definedName name="PriceCaseTable">#REF!</definedName>
    <definedName name="Prices_Aurora">'[15]Monthly Price Summary'!$C$4:$H$63</definedName>
    <definedName name="_xlnm.Print_Area" localSheetId="2">'Attachment 4, Page 1'!$A$1:$K$34</definedName>
    <definedName name="_xlnm.Print_Area" localSheetId="3">'Attachment 4, Page 2'!$A$1:$E$17</definedName>
    <definedName name="_xlnm.Print_Area" localSheetId="11">'August Base Rate Revenue'!$A$1:$I$78</definedName>
    <definedName name="_xlnm.Print_Area" localSheetId="6">'Deferral Calc'!$A$1:$R$65</definedName>
    <definedName name="_xlnm.Print_Area" localSheetId="17">'Feb Base Rate Revenue'!$A$1:$J$78</definedName>
    <definedName name="_xlnm.Print_Area" localSheetId="18">'Jan Base Rate Revenue'!$A$1:$J$78</definedName>
    <definedName name="_xlnm.Print_Area" localSheetId="9">'October Base Rate Revenue'!$A$1:$I$78</definedName>
    <definedName name="_xlnm.Print_Area" localSheetId="10">'September Base Rate Revenue'!$A$1:$I$78</definedName>
    <definedName name="PRO_FORMA" localSheetId="6">#REF!</definedName>
    <definedName name="PRO_FORMA" localSheetId="17">#REF!</definedName>
    <definedName name="PRO_FORMA">#REF!</definedName>
    <definedName name="PRODADJ" localSheetId="6">#REF!</definedName>
    <definedName name="PRODADJ" localSheetId="17">#REF!</definedName>
    <definedName name="PRODADJ">#REF!</definedName>
    <definedName name="Prodprop" localSheetId="6">#REF!</definedName>
    <definedName name="Prodprop" localSheetId="17">#REF!</definedName>
    <definedName name="Prodprop">#REF!</definedName>
    <definedName name="Production_Factor" localSheetId="6">#REF!</definedName>
    <definedName name="Production_Factor" localSheetId="17">#REF!</definedName>
    <definedName name="Production_Factor">#REF!</definedName>
    <definedName name="PROPSALES" localSheetId="6">#REF!</definedName>
    <definedName name="PROPSALES" localSheetId="17">#REF!</definedName>
    <definedName name="PROPSALES">#REF!</definedName>
    <definedName name="Prov_Cap_Tax">[16]Inputs!$E$111</definedName>
    <definedName name="PSPL" localSheetId="6">#REF!</definedName>
    <definedName name="PSPL" localSheetId="17">#REF!</definedName>
    <definedName name="PSPL">#REF!</definedName>
    <definedName name="PWRCSTPF" localSheetId="6">#REF!</definedName>
    <definedName name="PWRCSTPF" localSheetId="17">#REF!</definedName>
    <definedName name="PWRCSTPF">#REF!</definedName>
    <definedName name="PWRCSTRS" localSheetId="6">#REF!</definedName>
    <definedName name="PWRCSTRS" localSheetId="17">#REF!</definedName>
    <definedName name="PWRCSTRS">#REF!</definedName>
    <definedName name="PWRCSTWP" localSheetId="6">#REF!</definedName>
    <definedName name="PWRCSTWP" localSheetId="17">#REF!</definedName>
    <definedName name="PWRCSTWP">#REF!</definedName>
    <definedName name="PWRCSTWR" localSheetId="6">#REF!</definedName>
    <definedName name="PWRCSTWR" localSheetId="17">#REF!</definedName>
    <definedName name="PWRCSTWR">#REF!</definedName>
    <definedName name="PXPACC1_ALL_MERGE" localSheetId="6">#REF!</definedName>
    <definedName name="PXPACC1_ALL_MERGE" localSheetId="17">#REF!</definedName>
    <definedName name="PXPACC1_ALL_MERGE">#REF!</definedName>
    <definedName name="q" hidden="1">{#N/A,#N/A,FALSE,"Coversheet";#N/A,#N/A,FALSE,"QA"}</definedName>
    <definedName name="QA" localSheetId="6">[24]IPOA2002!#REF!</definedName>
    <definedName name="QA" localSheetId="17">[24]IPOA2002!#REF!</definedName>
    <definedName name="QA">[24]IPOA2002!#REF!</definedName>
    <definedName name="qqq" hidden="1">{#N/A,#N/A,FALSE,"schA"}</definedName>
    <definedName name="RATE" localSheetId="6">#REF!</definedName>
    <definedName name="RATE" localSheetId="17">#REF!</definedName>
    <definedName name="RATE">#REF!</definedName>
    <definedName name="RATE2">'[11]Transp Data'!$A$8:$I$112</definedName>
    <definedName name="RATEBASE" localSheetId="6">#REF!</definedName>
    <definedName name="RATEBASE" localSheetId="17">#REF!</definedName>
    <definedName name="RATEBASE">#REF!</definedName>
    <definedName name="RATEBASE_U95" localSheetId="6">#REF!</definedName>
    <definedName name="RATEBASE_U95" localSheetId="17">#REF!</definedName>
    <definedName name="RATEBASE_U95">#REF!</definedName>
    <definedName name="RATECASE" localSheetId="6">#REF!</definedName>
    <definedName name="RATECASE" localSheetId="17">#REF!</definedName>
    <definedName name="RATECASE">#REF!</definedName>
    <definedName name="regasset" localSheetId="6">#REF!</definedName>
    <definedName name="regasset" localSheetId="17">#REF!</definedName>
    <definedName name="regasset">#REF!</definedName>
    <definedName name="resource_lookup">'[25]#REF'!$B$3:$C$112</definedName>
    <definedName name="RESTATING" localSheetId="6">#REF!</definedName>
    <definedName name="RESTATING" localSheetId="17">#REF!</definedName>
    <definedName name="RESTATING">#REF!</definedName>
    <definedName name="Results" localSheetId="6">#REF!</definedName>
    <definedName name="Results" localSheetId="17">#REF!</definedName>
    <definedName name="Results">#REF!</definedName>
    <definedName name="RETIREPLAN" localSheetId="6">#REF!</definedName>
    <definedName name="RETIREPLAN" localSheetId="17">#REF!</definedName>
    <definedName name="RETIREPLAN">#REF!</definedName>
    <definedName name="REV" localSheetId="6">#REF!</definedName>
    <definedName name="REV" localSheetId="17">#REF!</definedName>
    <definedName name="REV">#REF!</definedName>
    <definedName name="REVADJ" localSheetId="6">#REF!</definedName>
    <definedName name="REVADJ" localSheetId="17">#REF!</definedName>
    <definedName name="REVADJ">#REF!</definedName>
    <definedName name="REVREQ" localSheetId="6">#REF!</definedName>
    <definedName name="REVREQ" localSheetId="17">#REF!</definedName>
    <definedName name="REVREQ">#REF!</definedName>
    <definedName name="ROE" localSheetId="6">#REF!</definedName>
    <definedName name="ROE" localSheetId="17">#REF!</definedName>
    <definedName name="ROE">#REF!</definedName>
    <definedName name="ROR" localSheetId="6">#REF!</definedName>
    <definedName name="ROR" localSheetId="17">#REF!</definedName>
    <definedName name="ROR">#REF!</definedName>
    <definedName name="SALESRESALEP" localSheetId="6">#REF!</definedName>
    <definedName name="SALESRESALEP" localSheetId="17">#REF!</definedName>
    <definedName name="SALESRESALEP">#REF!</definedName>
    <definedName name="SALESRESALER" localSheetId="6">#REF!</definedName>
    <definedName name="SALESRESALER" localSheetId="17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 localSheetId="6">[5]DT_A_AMW93!#REF!</definedName>
    <definedName name="SecSSW_MWH" localSheetId="17">[5]DT_A_AMW93!#REF!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 localSheetId="6">#REF!</definedName>
    <definedName name="SKAGIT" localSheetId="17">#REF!</definedName>
    <definedName name="SKAGIT">#REF!</definedName>
    <definedName name="SLFINSURANCE" localSheetId="6">#REF!</definedName>
    <definedName name="SLFINSURANCE" localSheetId="17">#REF!</definedName>
    <definedName name="SLFINSURANCE">#REF!</definedName>
    <definedName name="SolarDate" localSheetId="6">'[13]Dispatch Cases'!#REF!</definedName>
    <definedName name="SolarDate" localSheetId="17">'[13]Dispatch Cases'!#REF!</definedName>
    <definedName name="SolarDate">'[13]Dispatch Cases'!#REF!</definedName>
    <definedName name="STAFFREDUC" localSheetId="6">#REF!</definedName>
    <definedName name="STAFFREDUC" localSheetId="17">#REF!</definedName>
    <definedName name="STAFFREDUC">#REF!</definedName>
    <definedName name="StartDate">[8]Assumptions!$C$9</definedName>
    <definedName name="STORM" localSheetId="6">#REF!</definedName>
    <definedName name="STORM" localSheetId="17">#REF!</definedName>
    <definedName name="STORM">#REF!</definedName>
    <definedName name="SUMMARY" localSheetId="6">#REF!</definedName>
    <definedName name="SUMMARY" localSheetId="17">#REF!</definedName>
    <definedName name="SUMMARY">#REF!</definedName>
    <definedName name="SWSales_MWH" localSheetId="6">[5]DT_A_AMW93!#REF!</definedName>
    <definedName name="SWSales_MWH" localSheetId="17">[5]DT_A_AMW93!#REF!</definedName>
    <definedName name="SWSales_MWH">[5]DT_A_AMW93!#REF!</definedName>
    <definedName name="t" hidden="1">{#N/A,#N/A,FALSE,"CESTSUM";#N/A,#N/A,FALSE,"est sum A";#N/A,#N/A,FALSE,"est detail A"}</definedName>
    <definedName name="TAXCORPLIC" localSheetId="6">#REF!</definedName>
    <definedName name="TAXCORPLIC" localSheetId="17">#REF!</definedName>
    <definedName name="TAXCORPLIC">#REF!</definedName>
    <definedName name="TAXENERGYP" localSheetId="6">#REF!</definedName>
    <definedName name="TAXENERGYP" localSheetId="17">#REF!</definedName>
    <definedName name="TAXENERGYP">#REF!</definedName>
    <definedName name="TAXENERGYR" localSheetId="6">#REF!</definedName>
    <definedName name="TAXENERGYR" localSheetId="17">#REF!</definedName>
    <definedName name="TAXENERGYR">#REF!</definedName>
    <definedName name="TAXEXCISE" localSheetId="6">#REF!</definedName>
    <definedName name="TAXEXCISE" localSheetId="17">#REF!</definedName>
    <definedName name="TAXEXCISE">#REF!</definedName>
    <definedName name="TAXFICA" localSheetId="6">#REF!</definedName>
    <definedName name="TAXFICA" localSheetId="17">#REF!</definedName>
    <definedName name="TAXFICA">#REF!</definedName>
    <definedName name="TAXFUT" localSheetId="6">#REF!</definedName>
    <definedName name="TAXFUT" localSheetId="17">#REF!</definedName>
    <definedName name="TAXFUT">#REF!</definedName>
    <definedName name="TAXINCOME" localSheetId="6">#REF!</definedName>
    <definedName name="TAXINCOME" localSheetId="17">#REF!</definedName>
    <definedName name="TAXINCOME">#REF!</definedName>
    <definedName name="TAXMEDICARE" localSheetId="6">#REF!</definedName>
    <definedName name="TAXMEDICARE" localSheetId="17">#REF!</definedName>
    <definedName name="TAXMEDICARE">#REF!</definedName>
    <definedName name="TAXPFINT" localSheetId="6">#REF!</definedName>
    <definedName name="TAXPFINT" localSheetId="17">#REF!</definedName>
    <definedName name="TAXPFINT">#REF!</definedName>
    <definedName name="TAXPROPERTY" localSheetId="6">#REF!</definedName>
    <definedName name="TAXPROPERTY" localSheetId="17">#REF!</definedName>
    <definedName name="TAXPROPERTY">#REF!</definedName>
    <definedName name="TAXSUT" localSheetId="6">#REF!</definedName>
    <definedName name="TAXSUT" localSheetId="17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 localSheetId="6">#REF!</definedName>
    <definedName name="TEMPADJ" localSheetId="17">#REF!</definedName>
    <definedName name="TEMPADJ">#REF!</definedName>
    <definedName name="TenaskaShare" localSheetId="6">[13]Dispatch!#REF!</definedName>
    <definedName name="TenaskaShare" localSheetId="17">[13]Dispatch!#REF!</definedName>
    <definedName name="TenaskaShare">[13]Dispatch!#REF!</definedName>
    <definedName name="Test" localSheetId="6">[6]BS!#REF!</definedName>
    <definedName name="Test" localSheetId="17">[6]BS!#REF!</definedName>
    <definedName name="Test">[6]BS!#REF!</definedName>
    <definedName name="TESTYEAR" localSheetId="6">#REF!</definedName>
    <definedName name="TESTYEAR" localSheetId="17">#REF!</definedName>
    <definedName name="TESTYEAR">#REF!</definedName>
    <definedName name="Therm_upload" localSheetId="6">#REF!</definedName>
    <definedName name="Therm_upload" localSheetId="17">#REF!</definedName>
    <definedName name="Therm_upload">#REF!</definedName>
    <definedName name="ThermalBookLife">[8]Assumptions!$C$25</definedName>
    <definedName name="therms" localSheetId="6">#REF!</definedName>
    <definedName name="therms" localSheetId="17">#REF!</definedName>
    <definedName name="therms">#REF!</definedName>
    <definedName name="THM_ALL_YEARS" localSheetId="6">#REF!</definedName>
    <definedName name="THM_ALL_YEARS" localSheetId="17">#REF!</definedName>
    <definedName name="THM_ALL_YEARS">#REF!</definedName>
    <definedName name="Title">[8]Assumptions!$A$1</definedName>
    <definedName name="TopLeft" localSheetId="6">#REF!</definedName>
    <definedName name="TopLeft" localSheetId="17">#REF!</definedName>
    <definedName name="TopLeft">#REF!</definedName>
    <definedName name="tr" hidden="1">{#N/A,#N/A,FALSE,"CESTSUM";#N/A,#N/A,FALSE,"est sum A";#N/A,#N/A,FALSE,"est detail A"}</definedName>
    <definedName name="TRADING_NET" localSheetId="6">[5]DT_A_DOL93!#REF!</definedName>
    <definedName name="TRADING_NET" localSheetId="17">[5]DT_A_DOL93!#REF!</definedName>
    <definedName name="TRADING_NET">[5]DT_A_DOL93!#REF!</definedName>
    <definedName name="tran_revenue" localSheetId="6">#REF!</definedName>
    <definedName name="tran_revenue" localSheetId="17">#REF!</definedName>
    <definedName name="tran_revenue">#REF!</definedName>
    <definedName name="Transfer" localSheetId="6" hidden="1">#REF!</definedName>
    <definedName name="Transfer" localSheetId="17" hidden="1">#REF!</definedName>
    <definedName name="Transfer" hidden="1">#REF!</definedName>
    <definedName name="Transfers" localSheetId="6" hidden="1">#REF!</definedName>
    <definedName name="Transfers" localSheetId="17" hidden="1">#REF!</definedName>
    <definedName name="Transfers" hidden="1">#REF!</definedName>
    <definedName name="u" hidden="1">{#N/A,#N/A,FALSE,"Summ";#N/A,#N/A,FALSE,"General"}</definedName>
    <definedName name="UBakerAvail" localSheetId="6">#REF!</definedName>
    <definedName name="UBakerAvail" localSheetId="17">#REF!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 localSheetId="6">#REF!</definedName>
    <definedName name="UNITCOMPARE" localSheetId="17">#REF!</definedName>
    <definedName name="UNITCOMPARE">#REF!</definedName>
    <definedName name="UNITCOSTS" localSheetId="6">#REF!</definedName>
    <definedName name="UNITCOSTS" localSheetId="17">#REF!</definedName>
    <definedName name="UNITCOSTS">#REF!</definedName>
    <definedName name="UTG" localSheetId="6">#REF!</definedName>
    <definedName name="UTG" localSheetId="17">#REF!</definedName>
    <definedName name="UTG">#REF!</definedName>
    <definedName name="UTN" localSheetId="6">#REF!</definedName>
    <definedName name="UTN" localSheetId="17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 localSheetId="6">[7]model!#REF!</definedName>
    <definedName name="WAGES" localSheetId="17">[7]model!#REF!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 localSheetId="6">'[26]Dispatch Cases'!#REF!</definedName>
    <definedName name="WindDate" localSheetId="17">'[26]Dispatch Cases'!#REF!</definedName>
    <definedName name="WindDate">'[26]Dispatch Cases'!#REF!</definedName>
    <definedName name="WRKCAP" localSheetId="6">[7]model!#REF!</definedName>
    <definedName name="WRKCAP" localSheetId="17">[7]model!#REF!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37" l="1"/>
  <c r="G34" i="37"/>
  <c r="E9" i="37"/>
  <c r="F41" i="37" l="1"/>
  <c r="E41" i="37"/>
  <c r="D41" i="37"/>
  <c r="C41" i="37"/>
  <c r="Q40" i="24" s="1"/>
  <c r="F39" i="37"/>
  <c r="E39" i="37"/>
  <c r="D39" i="37"/>
  <c r="C39" i="37"/>
  <c r="Q18" i="24" s="1"/>
  <c r="F37" i="37"/>
  <c r="E37" i="37"/>
  <c r="D37" i="37"/>
  <c r="C37" i="37"/>
  <c r="I34" i="37"/>
  <c r="G33" i="37"/>
  <c r="G32" i="37"/>
  <c r="G31" i="37"/>
  <c r="G30" i="37"/>
  <c r="G29" i="37"/>
  <c r="G28" i="37"/>
  <c r="G27" i="37"/>
  <c r="G26" i="37"/>
  <c r="G25" i="37"/>
  <c r="G24" i="37"/>
  <c r="G21" i="37"/>
  <c r="F21" i="37"/>
  <c r="E21" i="37"/>
  <c r="C21" i="37"/>
  <c r="Q35" i="24" s="1"/>
  <c r="G19" i="37"/>
  <c r="F19" i="37"/>
  <c r="E19" i="37"/>
  <c r="C19" i="37"/>
  <c r="Q13" i="24" s="1"/>
  <c r="G17" i="37"/>
  <c r="F17" i="37"/>
  <c r="E17" i="37"/>
  <c r="C17" i="37"/>
  <c r="H16" i="37"/>
  <c r="I16" i="37" s="1"/>
  <c r="H15" i="37"/>
  <c r="I14" i="37"/>
  <c r="H13" i="37"/>
  <c r="H12" i="37"/>
  <c r="H11" i="37"/>
  <c r="H10" i="37"/>
  <c r="H9" i="37"/>
  <c r="H8" i="37"/>
  <c r="H7" i="37"/>
  <c r="H6" i="37"/>
  <c r="H5" i="37"/>
  <c r="H4" i="37"/>
  <c r="H3" i="37"/>
  <c r="C64" i="37" s="1"/>
  <c r="F74" i="37" l="1"/>
  <c r="H71" i="37"/>
  <c r="D72" i="37"/>
  <c r="C72" i="37"/>
  <c r="I10" i="37"/>
  <c r="D71" i="37"/>
  <c r="C71" i="37"/>
  <c r="H73" i="37"/>
  <c r="D74" i="37"/>
  <c r="C74" i="37"/>
  <c r="H72" i="37"/>
  <c r="D73" i="37"/>
  <c r="C73" i="37"/>
  <c r="H67" i="37"/>
  <c r="D67" i="37"/>
  <c r="C67" i="37"/>
  <c r="H68" i="37"/>
  <c r="D68" i="37"/>
  <c r="C68" i="37"/>
  <c r="H69" i="37"/>
  <c r="C69" i="37"/>
  <c r="D69" i="37"/>
  <c r="E69" i="37"/>
  <c r="H66" i="37"/>
  <c r="D66" i="37"/>
  <c r="D79" i="37" s="1"/>
  <c r="C66" i="37"/>
  <c r="H70" i="37"/>
  <c r="D70" i="37"/>
  <c r="C70" i="37"/>
  <c r="I69" i="37"/>
  <c r="H65" i="37"/>
  <c r="D65" i="37"/>
  <c r="C65" i="37"/>
  <c r="I65" i="37"/>
  <c r="D64" i="37"/>
  <c r="H64" i="37"/>
  <c r="F64" i="37"/>
  <c r="I12" i="37"/>
  <c r="I15" i="37"/>
  <c r="I3" i="37"/>
  <c r="I72" i="37"/>
  <c r="G41" i="37"/>
  <c r="F72" i="37"/>
  <c r="E72" i="37"/>
  <c r="I68" i="37"/>
  <c r="I7" i="37"/>
  <c r="E68" i="37"/>
  <c r="F68" i="37"/>
  <c r="E67" i="37"/>
  <c r="I67" i="37"/>
  <c r="E66" i="37"/>
  <c r="I5" i="37"/>
  <c r="F66" i="37"/>
  <c r="I66" i="37"/>
  <c r="E65" i="37"/>
  <c r="E64" i="37"/>
  <c r="E77" i="37" s="1"/>
  <c r="I64" i="37"/>
  <c r="I77" i="37" s="1"/>
  <c r="G39" i="37"/>
  <c r="I70" i="37"/>
  <c r="E71" i="37"/>
  <c r="I71" i="37"/>
  <c r="E73" i="37"/>
  <c r="I11" i="37"/>
  <c r="H19" i="37"/>
  <c r="G37" i="37"/>
  <c r="F65" i="37"/>
  <c r="F67" i="37"/>
  <c r="F69" i="37"/>
  <c r="F70" i="37"/>
  <c r="F71" i="37"/>
  <c r="I4" i="37"/>
  <c r="I6" i="37"/>
  <c r="I8" i="37"/>
  <c r="G64" i="37"/>
  <c r="G65" i="37"/>
  <c r="G66" i="37"/>
  <c r="G67" i="37"/>
  <c r="G68" i="37"/>
  <c r="G69" i="37"/>
  <c r="G70" i="37"/>
  <c r="G71" i="37"/>
  <c r="G72" i="37"/>
  <c r="G73" i="37"/>
  <c r="E74" i="37"/>
  <c r="E70" i="37"/>
  <c r="I73" i="37"/>
  <c r="I9" i="37"/>
  <c r="I13" i="37"/>
  <c r="F73" i="37"/>
  <c r="H17" i="37"/>
  <c r="H21" i="37"/>
  <c r="C75" i="37" l="1"/>
  <c r="J67" i="37"/>
  <c r="H27" i="37" s="1"/>
  <c r="I27" i="37" s="1"/>
  <c r="H79" i="37"/>
  <c r="C79" i="37"/>
  <c r="H77" i="37"/>
  <c r="D77" i="37"/>
  <c r="J74" i="37"/>
  <c r="D75" i="37"/>
  <c r="J72" i="37"/>
  <c r="H32" i="37" s="1"/>
  <c r="I32" i="37" s="1"/>
  <c r="J69" i="37"/>
  <c r="H29" i="37" s="1"/>
  <c r="I29" i="37" s="1"/>
  <c r="C77" i="37"/>
  <c r="H75" i="37"/>
  <c r="J64" i="37"/>
  <c r="H24" i="37" s="1"/>
  <c r="J65" i="37"/>
  <c r="H25" i="37" s="1"/>
  <c r="I25" i="37" s="1"/>
  <c r="I19" i="37"/>
  <c r="Q19" i="24" s="1"/>
  <c r="E79" i="37"/>
  <c r="J68" i="37"/>
  <c r="H28" i="37" s="1"/>
  <c r="I28" i="37" s="1"/>
  <c r="G79" i="37"/>
  <c r="I79" i="37"/>
  <c r="I75" i="37"/>
  <c r="I21" i="37"/>
  <c r="Q41" i="24" s="1"/>
  <c r="E75" i="37"/>
  <c r="J70" i="37"/>
  <c r="H30" i="37" s="1"/>
  <c r="I30" i="37" s="1"/>
  <c r="G77" i="37"/>
  <c r="G75" i="37"/>
  <c r="J66" i="37"/>
  <c r="F75" i="37"/>
  <c r="F77" i="37"/>
  <c r="J73" i="37"/>
  <c r="H33" i="37" s="1"/>
  <c r="I33" i="37" s="1"/>
  <c r="I17" i="37"/>
  <c r="F79" i="37"/>
  <c r="J71" i="37"/>
  <c r="H31" i="37" s="1"/>
  <c r="I31" i="37" s="1"/>
  <c r="D73" i="35"/>
  <c r="D72" i="35"/>
  <c r="D71" i="35"/>
  <c r="C72" i="35"/>
  <c r="C71" i="35"/>
  <c r="C70" i="35"/>
  <c r="D69" i="35"/>
  <c r="D65" i="35"/>
  <c r="D77" i="35" s="1"/>
  <c r="D66" i="35"/>
  <c r="D67" i="35"/>
  <c r="D68" i="35"/>
  <c r="D70" i="35"/>
  <c r="D64" i="35"/>
  <c r="C73" i="35"/>
  <c r="C69" i="35"/>
  <c r="C68" i="35"/>
  <c r="C67" i="35"/>
  <c r="C66" i="35"/>
  <c r="C65" i="35"/>
  <c r="C64" i="35"/>
  <c r="C75" i="35" l="1"/>
  <c r="D75" i="35"/>
  <c r="J77" i="37"/>
  <c r="J79" i="37"/>
  <c r="H26" i="37"/>
  <c r="H37" i="37" s="1"/>
  <c r="J75" i="37"/>
  <c r="H39" i="37"/>
  <c r="I24" i="37"/>
  <c r="D79" i="35"/>
  <c r="I39" i="37" l="1"/>
  <c r="Q17" i="24" s="1"/>
  <c r="I26" i="37"/>
  <c r="I41" i="37" s="1"/>
  <c r="Q39" i="24" s="1"/>
  <c r="H41" i="37"/>
  <c r="E9" i="35"/>
  <c r="I37" i="37" l="1"/>
  <c r="F41" i="35"/>
  <c r="E41" i="35"/>
  <c r="D41" i="35"/>
  <c r="C41" i="35"/>
  <c r="P40" i="24" s="1"/>
  <c r="F39" i="35"/>
  <c r="E39" i="35"/>
  <c r="D39" i="35"/>
  <c r="C39" i="35"/>
  <c r="P18" i="24" s="1"/>
  <c r="F37" i="35"/>
  <c r="E37" i="35"/>
  <c r="C37" i="35"/>
  <c r="G34" i="35"/>
  <c r="I34" i="35" s="1"/>
  <c r="G33" i="35"/>
  <c r="G32" i="35"/>
  <c r="G31" i="35"/>
  <c r="G30" i="35"/>
  <c r="G29" i="35"/>
  <c r="G28" i="35"/>
  <c r="G27" i="35"/>
  <c r="G26" i="35"/>
  <c r="G25" i="35"/>
  <c r="G24" i="35"/>
  <c r="G21" i="35"/>
  <c r="F21" i="35"/>
  <c r="E21" i="35"/>
  <c r="C21" i="35"/>
  <c r="P35" i="24" s="1"/>
  <c r="G19" i="35"/>
  <c r="F19" i="35"/>
  <c r="E19" i="35"/>
  <c r="C19" i="35"/>
  <c r="P13" i="24" s="1"/>
  <c r="G17" i="35"/>
  <c r="F17" i="35"/>
  <c r="C17" i="35"/>
  <c r="H16" i="35"/>
  <c r="I16" i="35" s="1"/>
  <c r="H15" i="35"/>
  <c r="F74" i="35" s="1"/>
  <c r="I14" i="35"/>
  <c r="H13" i="35"/>
  <c r="H12" i="35"/>
  <c r="H11" i="35"/>
  <c r="H10" i="35"/>
  <c r="I10" i="35" s="1"/>
  <c r="H9" i="35"/>
  <c r="E17" i="35"/>
  <c r="H8" i="35"/>
  <c r="H7" i="35"/>
  <c r="H6" i="35"/>
  <c r="H5" i="35"/>
  <c r="H4" i="35"/>
  <c r="H3" i="35"/>
  <c r="G64" i="35" l="1"/>
  <c r="F64" i="35"/>
  <c r="I69" i="35"/>
  <c r="G69" i="35"/>
  <c r="I71" i="35"/>
  <c r="G71" i="35"/>
  <c r="I66" i="35"/>
  <c r="G66" i="35"/>
  <c r="G75" i="35" s="1"/>
  <c r="I72" i="35"/>
  <c r="G72" i="35"/>
  <c r="I67" i="35"/>
  <c r="G67" i="35"/>
  <c r="G70" i="35"/>
  <c r="I73" i="35"/>
  <c r="G73" i="35"/>
  <c r="I65" i="35"/>
  <c r="I77" i="35" s="1"/>
  <c r="G65" i="35"/>
  <c r="G77" i="35" s="1"/>
  <c r="I68" i="35"/>
  <c r="G68" i="35"/>
  <c r="H71" i="35"/>
  <c r="I64" i="35"/>
  <c r="G39" i="35"/>
  <c r="H65" i="35"/>
  <c r="I70" i="35"/>
  <c r="I11" i="35"/>
  <c r="E74" i="35"/>
  <c r="G41" i="35"/>
  <c r="I13" i="35"/>
  <c r="H73" i="35"/>
  <c r="I12" i="35"/>
  <c r="H72" i="35"/>
  <c r="I8" i="35"/>
  <c r="H69" i="35"/>
  <c r="I4" i="35"/>
  <c r="H67" i="35"/>
  <c r="H70" i="35"/>
  <c r="I6" i="35"/>
  <c r="I79" i="35"/>
  <c r="I9" i="35"/>
  <c r="H19" i="35"/>
  <c r="F65" i="35"/>
  <c r="F66" i="35"/>
  <c r="F67" i="35"/>
  <c r="F68" i="35"/>
  <c r="F69" i="35"/>
  <c r="F70" i="35"/>
  <c r="F71" i="35"/>
  <c r="F72" i="35"/>
  <c r="F73" i="35"/>
  <c r="H17" i="35"/>
  <c r="H21" i="35"/>
  <c r="H66" i="35"/>
  <c r="H68" i="35"/>
  <c r="G37" i="35"/>
  <c r="D37" i="35"/>
  <c r="H64" i="35"/>
  <c r="I3" i="35"/>
  <c r="I5" i="35"/>
  <c r="I7" i="35"/>
  <c r="I15" i="35"/>
  <c r="E64" i="35"/>
  <c r="J64" i="35" s="1"/>
  <c r="E65" i="35"/>
  <c r="E66" i="35"/>
  <c r="E67" i="35"/>
  <c r="E68" i="35"/>
  <c r="E69" i="35"/>
  <c r="E70" i="35"/>
  <c r="E71" i="35"/>
  <c r="E72" i="35"/>
  <c r="E73" i="35"/>
  <c r="G79" i="35" l="1"/>
  <c r="I75" i="35"/>
  <c r="J72" i="35"/>
  <c r="H32" i="35" s="1"/>
  <c r="I32" i="35" s="1"/>
  <c r="J73" i="35"/>
  <c r="H33" i="35" s="1"/>
  <c r="I33" i="35" s="1"/>
  <c r="J70" i="35"/>
  <c r="H30" i="35" s="1"/>
  <c r="I30" i="35" s="1"/>
  <c r="J69" i="35"/>
  <c r="H29" i="35" s="1"/>
  <c r="I29" i="35" s="1"/>
  <c r="H79" i="35"/>
  <c r="J65" i="35"/>
  <c r="H25" i="35" s="1"/>
  <c r="I25" i="35" s="1"/>
  <c r="J71" i="35"/>
  <c r="H31" i="35" s="1"/>
  <c r="I31" i="35" s="1"/>
  <c r="J67" i="35"/>
  <c r="H27" i="35" s="1"/>
  <c r="I27" i="35" s="1"/>
  <c r="E79" i="35"/>
  <c r="J68" i="35"/>
  <c r="H28" i="35" s="1"/>
  <c r="I28" i="35" s="1"/>
  <c r="H75" i="35"/>
  <c r="H77" i="35"/>
  <c r="I17" i="35"/>
  <c r="I19" i="35"/>
  <c r="P19" i="24" s="1"/>
  <c r="F79" i="35"/>
  <c r="F75" i="35"/>
  <c r="F77" i="35"/>
  <c r="E77" i="35"/>
  <c r="E75" i="35"/>
  <c r="C79" i="35"/>
  <c r="J66" i="35"/>
  <c r="J74" i="35"/>
  <c r="C77" i="35"/>
  <c r="I21" i="35"/>
  <c r="P41" i="24" s="1"/>
  <c r="D32" i="34"/>
  <c r="E10" i="34"/>
  <c r="J75" i="35" l="1"/>
  <c r="H24" i="35"/>
  <c r="J77" i="35"/>
  <c r="J79" i="35"/>
  <c r="H26" i="35"/>
  <c r="F72" i="34"/>
  <c r="F71" i="34"/>
  <c r="F70" i="34"/>
  <c r="F69" i="34"/>
  <c r="F68" i="34"/>
  <c r="F67" i="34"/>
  <c r="F66" i="34"/>
  <c r="F65" i="34"/>
  <c r="F64" i="34"/>
  <c r="F63" i="34"/>
  <c r="I24" i="35" l="1"/>
  <c r="H39" i="35"/>
  <c r="H37" i="35"/>
  <c r="H41" i="35"/>
  <c r="I26" i="35"/>
  <c r="I41" i="35" s="1"/>
  <c r="P39" i="24" s="1"/>
  <c r="L73" i="34"/>
  <c r="L72" i="34"/>
  <c r="L71" i="34"/>
  <c r="L70" i="34"/>
  <c r="L69" i="34"/>
  <c r="L68" i="34"/>
  <c r="L67" i="34"/>
  <c r="L66" i="34"/>
  <c r="L65" i="34"/>
  <c r="L64" i="34"/>
  <c r="L63" i="34"/>
  <c r="F43" i="34"/>
  <c r="E43" i="34"/>
  <c r="D43" i="34"/>
  <c r="C43" i="34"/>
  <c r="O40" i="24" s="1"/>
  <c r="F41" i="34"/>
  <c r="E41" i="34"/>
  <c r="D41" i="34"/>
  <c r="C41" i="34"/>
  <c r="O18" i="24" s="1"/>
  <c r="F39" i="34"/>
  <c r="E39" i="34"/>
  <c r="D39" i="34"/>
  <c r="C39" i="34"/>
  <c r="G36" i="34"/>
  <c r="I36" i="34" s="1"/>
  <c r="G35" i="34"/>
  <c r="G34" i="34"/>
  <c r="G33" i="34"/>
  <c r="G32" i="34"/>
  <c r="G31" i="34"/>
  <c r="G30" i="34"/>
  <c r="G29" i="34"/>
  <c r="G28" i="34"/>
  <c r="G27" i="34"/>
  <c r="G26" i="34"/>
  <c r="G22" i="34"/>
  <c r="F22" i="34"/>
  <c r="E22" i="34"/>
  <c r="C22" i="34"/>
  <c r="O35" i="24" s="1"/>
  <c r="G20" i="34"/>
  <c r="F20" i="34"/>
  <c r="E20" i="34"/>
  <c r="C20" i="34"/>
  <c r="O13" i="24" s="1"/>
  <c r="G18" i="34"/>
  <c r="F18" i="34"/>
  <c r="C18" i="34"/>
  <c r="H17" i="34"/>
  <c r="I17" i="34" s="1"/>
  <c r="H16" i="34"/>
  <c r="I16" i="34" s="1"/>
  <c r="I15" i="34"/>
  <c r="H14" i="34"/>
  <c r="C72" i="34" s="1"/>
  <c r="H13" i="34"/>
  <c r="G71" i="34" s="1"/>
  <c r="H12" i="34"/>
  <c r="H11" i="34"/>
  <c r="I11" i="34" s="1"/>
  <c r="H10" i="34"/>
  <c r="C69" i="34" s="1"/>
  <c r="I10" i="34"/>
  <c r="H9" i="34"/>
  <c r="H68" i="34" s="1"/>
  <c r="H8" i="34"/>
  <c r="I8" i="34" s="1"/>
  <c r="H7" i="34"/>
  <c r="G66" i="34" s="1"/>
  <c r="H6" i="34"/>
  <c r="H5" i="34"/>
  <c r="C64" i="34" s="1"/>
  <c r="H4" i="34"/>
  <c r="C63" i="34" s="1"/>
  <c r="I37" i="35" l="1"/>
  <c r="I39" i="35"/>
  <c r="P17" i="24" s="1"/>
  <c r="H71" i="34"/>
  <c r="D71" i="34"/>
  <c r="H66" i="34"/>
  <c r="G43" i="34"/>
  <c r="G64" i="34"/>
  <c r="H64" i="34"/>
  <c r="D64" i="34"/>
  <c r="C71" i="34"/>
  <c r="C68" i="34"/>
  <c r="D63" i="34"/>
  <c r="D76" i="34" s="1"/>
  <c r="C66" i="34"/>
  <c r="D68" i="34"/>
  <c r="I4" i="34"/>
  <c r="D66" i="34"/>
  <c r="C67" i="34"/>
  <c r="G68" i="34"/>
  <c r="E71" i="34"/>
  <c r="I13" i="34"/>
  <c r="C76" i="34"/>
  <c r="E65" i="34"/>
  <c r="H65" i="34"/>
  <c r="D65" i="34"/>
  <c r="H22" i="34"/>
  <c r="E70" i="34"/>
  <c r="I12" i="34"/>
  <c r="H70" i="34"/>
  <c r="D70" i="34"/>
  <c r="H18" i="34"/>
  <c r="G39" i="34"/>
  <c r="E67" i="34"/>
  <c r="H67" i="34"/>
  <c r="D67" i="34"/>
  <c r="E69" i="34"/>
  <c r="H69" i="34"/>
  <c r="D69" i="34"/>
  <c r="E73" i="34"/>
  <c r="D73" i="34"/>
  <c r="E18" i="34"/>
  <c r="C70" i="34"/>
  <c r="C73" i="34"/>
  <c r="C65" i="34"/>
  <c r="G70" i="34"/>
  <c r="E63" i="34"/>
  <c r="H20" i="34"/>
  <c r="H63" i="34"/>
  <c r="I6" i="34"/>
  <c r="E72" i="34"/>
  <c r="I14" i="34"/>
  <c r="H72" i="34"/>
  <c r="D72" i="34"/>
  <c r="G63" i="34"/>
  <c r="G65" i="34"/>
  <c r="G67" i="34"/>
  <c r="G69" i="34"/>
  <c r="G72" i="34"/>
  <c r="G41" i="34"/>
  <c r="E64" i="34"/>
  <c r="E66" i="34"/>
  <c r="E68" i="34"/>
  <c r="I5" i="34"/>
  <c r="I7" i="34"/>
  <c r="I9" i="34"/>
  <c r="N18" i="24"/>
  <c r="N13" i="24"/>
  <c r="E67" i="33"/>
  <c r="D32" i="33"/>
  <c r="E10" i="33"/>
  <c r="E18" i="33" s="1"/>
  <c r="L73" i="33"/>
  <c r="D73" i="33"/>
  <c r="L72" i="33"/>
  <c r="L71" i="33"/>
  <c r="L70" i="33"/>
  <c r="L69" i="33"/>
  <c r="L68" i="33"/>
  <c r="L67" i="33"/>
  <c r="L66" i="33"/>
  <c r="H66" i="33"/>
  <c r="L65" i="33"/>
  <c r="L64" i="33"/>
  <c r="L63" i="33"/>
  <c r="F43" i="33"/>
  <c r="E43" i="33"/>
  <c r="D43" i="33"/>
  <c r="C43" i="33"/>
  <c r="N40" i="24" s="1"/>
  <c r="F41" i="33"/>
  <c r="E41" i="33"/>
  <c r="D41" i="33"/>
  <c r="C41" i="33"/>
  <c r="F39" i="33"/>
  <c r="E39" i="33"/>
  <c r="C39" i="33"/>
  <c r="G36" i="33"/>
  <c r="I36" i="33" s="1"/>
  <c r="G35" i="33"/>
  <c r="G34" i="33"/>
  <c r="G33" i="33"/>
  <c r="G32" i="33"/>
  <c r="D39" i="33"/>
  <c r="G31" i="33"/>
  <c r="G30" i="33"/>
  <c r="G29" i="33"/>
  <c r="G28" i="33"/>
  <c r="G27" i="33"/>
  <c r="G26" i="33"/>
  <c r="G22" i="33"/>
  <c r="F22" i="33"/>
  <c r="E22" i="33"/>
  <c r="C22" i="33"/>
  <c r="N35" i="24" s="1"/>
  <c r="G20" i="33"/>
  <c r="F20" i="33"/>
  <c r="E20" i="33"/>
  <c r="C20" i="33"/>
  <c r="G18" i="33"/>
  <c r="F18" i="33"/>
  <c r="C18" i="33"/>
  <c r="H17" i="33"/>
  <c r="I17" i="33" s="1"/>
  <c r="I16" i="33"/>
  <c r="H16" i="33"/>
  <c r="E73" i="33" s="1"/>
  <c r="I15" i="33"/>
  <c r="H14" i="33"/>
  <c r="G72" i="33" s="1"/>
  <c r="H13" i="33"/>
  <c r="G71" i="33" s="1"/>
  <c r="H12" i="33"/>
  <c r="G70" i="33" s="1"/>
  <c r="H11" i="33"/>
  <c r="I11" i="33" s="1"/>
  <c r="H10" i="33"/>
  <c r="G69" i="33" s="1"/>
  <c r="H9" i="33"/>
  <c r="G68" i="33" s="1"/>
  <c r="H8" i="33"/>
  <c r="G67" i="33" s="1"/>
  <c r="H7" i="33"/>
  <c r="G66" i="33" s="1"/>
  <c r="H6" i="33"/>
  <c r="G65" i="33" s="1"/>
  <c r="H5" i="33"/>
  <c r="G64" i="33" s="1"/>
  <c r="H4" i="33"/>
  <c r="G63" i="33" s="1"/>
  <c r="E70" i="33" l="1"/>
  <c r="E63" i="33"/>
  <c r="E71" i="33"/>
  <c r="E64" i="33"/>
  <c r="E72" i="33"/>
  <c r="E69" i="33"/>
  <c r="E65" i="33"/>
  <c r="E68" i="33"/>
  <c r="E74" i="33" s="1"/>
  <c r="I20" i="34"/>
  <c r="O19" i="24" s="1"/>
  <c r="C73" i="33"/>
  <c r="E66" i="33"/>
  <c r="I66" i="34"/>
  <c r="H29" i="34" s="1"/>
  <c r="I29" i="34" s="1"/>
  <c r="I64" i="34"/>
  <c r="H27" i="34" s="1"/>
  <c r="I27" i="34" s="1"/>
  <c r="I69" i="34"/>
  <c r="H32" i="34" s="1"/>
  <c r="I32" i="34" s="1"/>
  <c r="I68" i="34"/>
  <c r="H31" i="34" s="1"/>
  <c r="I31" i="34" s="1"/>
  <c r="I71" i="34"/>
  <c r="H34" i="34" s="1"/>
  <c r="I34" i="34" s="1"/>
  <c r="D74" i="34"/>
  <c r="I67" i="34"/>
  <c r="H30" i="34" s="1"/>
  <c r="I30" i="34" s="1"/>
  <c r="I70" i="34"/>
  <c r="H33" i="34" s="1"/>
  <c r="I33" i="34" s="1"/>
  <c r="G74" i="34"/>
  <c r="G76" i="34"/>
  <c r="H74" i="34"/>
  <c r="H76" i="34"/>
  <c r="I72" i="34"/>
  <c r="H35" i="34" s="1"/>
  <c r="I35" i="34" s="1"/>
  <c r="C78" i="34"/>
  <c r="I65" i="34"/>
  <c r="F78" i="34"/>
  <c r="I73" i="34"/>
  <c r="D78" i="34"/>
  <c r="E74" i="34"/>
  <c r="E76" i="34"/>
  <c r="H78" i="34"/>
  <c r="C74" i="34"/>
  <c r="G78" i="34"/>
  <c r="I22" i="34"/>
  <c r="O41" i="24" s="1"/>
  <c r="F76" i="34"/>
  <c r="F74" i="34"/>
  <c r="I18" i="34"/>
  <c r="E78" i="34"/>
  <c r="I63" i="34"/>
  <c r="I73" i="33"/>
  <c r="E76" i="33"/>
  <c r="H71" i="33"/>
  <c r="D67" i="33"/>
  <c r="I8" i="33"/>
  <c r="H67" i="33"/>
  <c r="H63" i="33"/>
  <c r="H64" i="33"/>
  <c r="H68" i="33"/>
  <c r="G78" i="33"/>
  <c r="D64" i="33"/>
  <c r="H65" i="33"/>
  <c r="I6" i="33"/>
  <c r="I4" i="33"/>
  <c r="D63" i="33"/>
  <c r="D76" i="33" s="1"/>
  <c r="D65" i="33"/>
  <c r="D66" i="33"/>
  <c r="D68" i="33"/>
  <c r="D71" i="33"/>
  <c r="G74" i="33"/>
  <c r="G76" i="33"/>
  <c r="G43" i="33"/>
  <c r="D69" i="33"/>
  <c r="D70" i="33"/>
  <c r="H70" i="33"/>
  <c r="D72" i="33"/>
  <c r="H72" i="33"/>
  <c r="I12" i="33"/>
  <c r="H20" i="33"/>
  <c r="G41" i="33"/>
  <c r="I7" i="33"/>
  <c r="G39" i="33"/>
  <c r="F63" i="33"/>
  <c r="F64" i="33"/>
  <c r="F65" i="33"/>
  <c r="F66" i="33"/>
  <c r="F67" i="33"/>
  <c r="F68" i="33"/>
  <c r="F69" i="33"/>
  <c r="F70" i="33"/>
  <c r="F71" i="33"/>
  <c r="F72" i="33"/>
  <c r="H69" i="33"/>
  <c r="I10" i="33"/>
  <c r="I14" i="33"/>
  <c r="I5" i="33"/>
  <c r="I9" i="33"/>
  <c r="I13" i="33"/>
  <c r="H18" i="33"/>
  <c r="H22" i="33"/>
  <c r="C63" i="33"/>
  <c r="C64" i="33"/>
  <c r="C65" i="33"/>
  <c r="C66" i="33"/>
  <c r="I66" i="33" s="1"/>
  <c r="H29" i="33" s="1"/>
  <c r="I29" i="33" s="1"/>
  <c r="C67" i="33"/>
  <c r="C68" i="33"/>
  <c r="C69" i="33"/>
  <c r="C70" i="33"/>
  <c r="C71" i="33"/>
  <c r="C72" i="33"/>
  <c r="E68" i="32"/>
  <c r="E78" i="33" l="1"/>
  <c r="I78" i="34"/>
  <c r="H28" i="34"/>
  <c r="I74" i="34"/>
  <c r="H26" i="34"/>
  <c r="I76" i="34"/>
  <c r="D78" i="33"/>
  <c r="D74" i="33"/>
  <c r="H74" i="33"/>
  <c r="I20" i="33"/>
  <c r="N19" i="24" s="1"/>
  <c r="H78" i="33"/>
  <c r="H76" i="33"/>
  <c r="I70" i="33"/>
  <c r="H33" i="33" s="1"/>
  <c r="I33" i="33" s="1"/>
  <c r="I69" i="33"/>
  <c r="H32" i="33" s="1"/>
  <c r="I32" i="33" s="1"/>
  <c r="I22" i="33"/>
  <c r="N41" i="24" s="1"/>
  <c r="C78" i="33"/>
  <c r="I65" i="33"/>
  <c r="I72" i="33"/>
  <c r="H35" i="33" s="1"/>
  <c r="I35" i="33" s="1"/>
  <c r="I68" i="33"/>
  <c r="H31" i="33" s="1"/>
  <c r="I31" i="33" s="1"/>
  <c r="I64" i="33"/>
  <c r="H27" i="33" s="1"/>
  <c r="I27" i="33" s="1"/>
  <c r="F74" i="33"/>
  <c r="F76" i="33"/>
  <c r="I71" i="33"/>
  <c r="H34" i="33" s="1"/>
  <c r="I34" i="33" s="1"/>
  <c r="I67" i="33"/>
  <c r="H30" i="33" s="1"/>
  <c r="I30" i="33" s="1"/>
  <c r="C74" i="33"/>
  <c r="I63" i="33"/>
  <c r="C76" i="33"/>
  <c r="F78" i="33"/>
  <c r="I18" i="33"/>
  <c r="C43" i="32"/>
  <c r="M40" i="24" s="1"/>
  <c r="M26" i="24"/>
  <c r="N26" i="24" s="1"/>
  <c r="O26" i="24" s="1"/>
  <c r="P26" i="24" s="1"/>
  <c r="Q26" i="24" s="1"/>
  <c r="D32" i="32"/>
  <c r="H41" i="34" l="1"/>
  <c r="H39" i="34"/>
  <c r="I26" i="34"/>
  <c r="H43" i="34"/>
  <c r="I28" i="34"/>
  <c r="I43" i="34" s="1"/>
  <c r="O39" i="24" s="1"/>
  <c r="I74" i="33"/>
  <c r="I76" i="33"/>
  <c r="H26" i="33"/>
  <c r="I78" i="33"/>
  <c r="H28" i="33"/>
  <c r="E10" i="32"/>
  <c r="E18" i="32" s="1"/>
  <c r="E72" i="32"/>
  <c r="E71" i="32"/>
  <c r="E70" i="32"/>
  <c r="E69" i="32"/>
  <c r="E67" i="32"/>
  <c r="E66" i="32"/>
  <c r="E65" i="32"/>
  <c r="E64" i="32"/>
  <c r="E63" i="32"/>
  <c r="L73" i="32"/>
  <c r="L72" i="32"/>
  <c r="L71" i="32"/>
  <c r="L70" i="32"/>
  <c r="L69" i="32"/>
  <c r="L68" i="32"/>
  <c r="L67" i="32"/>
  <c r="L66" i="32"/>
  <c r="L65" i="32"/>
  <c r="L64" i="32"/>
  <c r="L63" i="32"/>
  <c r="C73" i="32"/>
  <c r="F43" i="32"/>
  <c r="E43" i="32"/>
  <c r="D43" i="32"/>
  <c r="F41" i="32"/>
  <c r="E41" i="32"/>
  <c r="D41" i="32"/>
  <c r="C41" i="32"/>
  <c r="M18" i="24" s="1"/>
  <c r="F39" i="32"/>
  <c r="E39" i="32"/>
  <c r="C39" i="32"/>
  <c r="G36" i="32"/>
  <c r="I36" i="32" s="1"/>
  <c r="G35" i="32"/>
  <c r="G34" i="32"/>
  <c r="G33" i="32"/>
  <c r="G32" i="32"/>
  <c r="G31" i="32"/>
  <c r="G30" i="32"/>
  <c r="G29" i="32"/>
  <c r="G28" i="32"/>
  <c r="G27" i="32"/>
  <c r="G26" i="32"/>
  <c r="G22" i="32"/>
  <c r="F22" i="32"/>
  <c r="E22" i="32"/>
  <c r="C22" i="32"/>
  <c r="M35" i="24" s="1"/>
  <c r="G20" i="32"/>
  <c r="F20" i="32"/>
  <c r="E20" i="32"/>
  <c r="C20" i="32"/>
  <c r="M13" i="24" s="1"/>
  <c r="G18" i="32"/>
  <c r="F18" i="32"/>
  <c r="C18" i="32"/>
  <c r="H17" i="32"/>
  <c r="D73" i="32" s="1"/>
  <c r="H16" i="32"/>
  <c r="I16" i="32" s="1"/>
  <c r="I15" i="32"/>
  <c r="H14" i="32"/>
  <c r="C72" i="32" s="1"/>
  <c r="H13" i="32"/>
  <c r="H71" i="32" s="1"/>
  <c r="H12" i="32"/>
  <c r="G70" i="32" s="1"/>
  <c r="H11" i="32"/>
  <c r="I11" i="32" s="1"/>
  <c r="H10" i="32"/>
  <c r="H9" i="32"/>
  <c r="F68" i="32" s="1"/>
  <c r="H8" i="32"/>
  <c r="H67" i="32" s="1"/>
  <c r="H7" i="32"/>
  <c r="G66" i="32" s="1"/>
  <c r="H6" i="32"/>
  <c r="H65" i="32" s="1"/>
  <c r="H5" i="32"/>
  <c r="C64" i="32" s="1"/>
  <c r="H4" i="32"/>
  <c r="H63" i="32" s="1"/>
  <c r="H69" i="32" l="1"/>
  <c r="D68" i="32"/>
  <c r="I41" i="34"/>
  <c r="O17" i="24" s="1"/>
  <c r="I39" i="34"/>
  <c r="H39" i="33"/>
  <c r="H41" i="33"/>
  <c r="I26" i="33"/>
  <c r="H43" i="33"/>
  <c r="I28" i="33"/>
  <c r="I43" i="33" s="1"/>
  <c r="N39" i="24" s="1"/>
  <c r="H64" i="32"/>
  <c r="H76" i="32" s="1"/>
  <c r="I9" i="32"/>
  <c r="D64" i="32"/>
  <c r="G68" i="32"/>
  <c r="C68" i="32"/>
  <c r="H68" i="32"/>
  <c r="F66" i="32"/>
  <c r="D72" i="32"/>
  <c r="H72" i="32"/>
  <c r="I7" i="32"/>
  <c r="I14" i="32"/>
  <c r="F64" i="32"/>
  <c r="D70" i="32"/>
  <c r="F72" i="32"/>
  <c r="I5" i="32"/>
  <c r="I12" i="32"/>
  <c r="G64" i="32"/>
  <c r="F70" i="32"/>
  <c r="G72" i="32"/>
  <c r="H70" i="32"/>
  <c r="H66" i="32"/>
  <c r="I10" i="32"/>
  <c r="D66" i="32"/>
  <c r="I73" i="32"/>
  <c r="F65" i="32"/>
  <c r="E78" i="32"/>
  <c r="H22" i="32"/>
  <c r="I6" i="32"/>
  <c r="D65" i="32"/>
  <c r="D71" i="32"/>
  <c r="G71" i="32"/>
  <c r="C71" i="32"/>
  <c r="I13" i="32"/>
  <c r="F71" i="32"/>
  <c r="G39" i="32"/>
  <c r="G41" i="32"/>
  <c r="D63" i="32"/>
  <c r="G63" i="32"/>
  <c r="C63" i="32"/>
  <c r="H18" i="32"/>
  <c r="I4" i="32"/>
  <c r="F63" i="32"/>
  <c r="C69" i="32"/>
  <c r="I17" i="32"/>
  <c r="H20" i="32"/>
  <c r="C65" i="32"/>
  <c r="G69" i="32"/>
  <c r="D67" i="32"/>
  <c r="G67" i="32"/>
  <c r="C67" i="32"/>
  <c r="I8" i="32"/>
  <c r="F67" i="32"/>
  <c r="F69" i="32"/>
  <c r="D69" i="32"/>
  <c r="G43" i="32"/>
  <c r="G65" i="32"/>
  <c r="D39" i="32"/>
  <c r="C66" i="32"/>
  <c r="C70" i="32"/>
  <c r="F10" i="31"/>
  <c r="I64" i="32" l="1"/>
  <c r="H27" i="32" s="1"/>
  <c r="I27" i="32" s="1"/>
  <c r="I68" i="32"/>
  <c r="H31" i="32" s="1"/>
  <c r="I31" i="32" s="1"/>
  <c r="I41" i="33"/>
  <c r="N17" i="24" s="1"/>
  <c r="I39" i="33"/>
  <c r="H78" i="32"/>
  <c r="G78" i="32"/>
  <c r="I72" i="32"/>
  <c r="H35" i="32" s="1"/>
  <c r="I35" i="32" s="1"/>
  <c r="I66" i="32"/>
  <c r="H29" i="32" s="1"/>
  <c r="I29" i="32" s="1"/>
  <c r="H74" i="32"/>
  <c r="I70" i="32"/>
  <c r="H33" i="32" s="1"/>
  <c r="I33" i="32" s="1"/>
  <c r="E74" i="32"/>
  <c r="E76" i="32"/>
  <c r="C76" i="32"/>
  <c r="C74" i="32"/>
  <c r="I63" i="32"/>
  <c r="I69" i="32"/>
  <c r="H32" i="32" s="1"/>
  <c r="I32" i="32" s="1"/>
  <c r="F74" i="32"/>
  <c r="F76" i="32"/>
  <c r="G76" i="32"/>
  <c r="G74" i="32"/>
  <c r="D78" i="32"/>
  <c r="F78" i="32"/>
  <c r="I18" i="32"/>
  <c r="I20" i="32"/>
  <c r="M19" i="24" s="1"/>
  <c r="D74" i="32"/>
  <c r="D76" i="32"/>
  <c r="I71" i="32"/>
  <c r="H34" i="32" s="1"/>
  <c r="I34" i="32" s="1"/>
  <c r="I22" i="32"/>
  <c r="M41" i="24" s="1"/>
  <c r="I67" i="32"/>
  <c r="H30" i="32" s="1"/>
  <c r="I30" i="32" s="1"/>
  <c r="C78" i="32"/>
  <c r="I65" i="32"/>
  <c r="D32" i="31"/>
  <c r="E10" i="31"/>
  <c r="H28" i="32" l="1"/>
  <c r="I78" i="32"/>
  <c r="I74" i="32"/>
  <c r="I76" i="32"/>
  <c r="H26" i="32"/>
  <c r="H73" i="31"/>
  <c r="H71" i="31"/>
  <c r="H72" i="31"/>
  <c r="H70" i="31"/>
  <c r="H69" i="31"/>
  <c r="H64" i="31"/>
  <c r="H65" i="31"/>
  <c r="H66" i="31"/>
  <c r="H67" i="31"/>
  <c r="H68" i="31"/>
  <c r="H63" i="31"/>
  <c r="F43" i="31"/>
  <c r="E43" i="31"/>
  <c r="D43" i="31"/>
  <c r="C43" i="31"/>
  <c r="L40" i="24" s="1"/>
  <c r="F41" i="31"/>
  <c r="E41" i="31"/>
  <c r="D41" i="31"/>
  <c r="C41" i="31"/>
  <c r="L18" i="24" s="1"/>
  <c r="F39" i="31"/>
  <c r="E39" i="31"/>
  <c r="C39" i="31"/>
  <c r="G36" i="31"/>
  <c r="I36" i="31" s="1"/>
  <c r="G35" i="31"/>
  <c r="G34" i="31"/>
  <c r="G33" i="31"/>
  <c r="G32" i="31"/>
  <c r="G31" i="31"/>
  <c r="G30" i="31"/>
  <c r="G29" i="31"/>
  <c r="G28" i="31"/>
  <c r="G27" i="31"/>
  <c r="G26" i="31"/>
  <c r="G22" i="31"/>
  <c r="F22" i="31"/>
  <c r="E22" i="31"/>
  <c r="C22" i="31"/>
  <c r="L35" i="24" s="1"/>
  <c r="G20" i="31"/>
  <c r="F20" i="31"/>
  <c r="E20" i="31"/>
  <c r="C20" i="31"/>
  <c r="L13" i="24" s="1"/>
  <c r="G18" i="31"/>
  <c r="F18" i="31"/>
  <c r="C18" i="31"/>
  <c r="H17" i="31"/>
  <c r="I17" i="31" s="1"/>
  <c r="H16" i="31"/>
  <c r="C73" i="31" s="1"/>
  <c r="I15" i="31"/>
  <c r="H14" i="31"/>
  <c r="F72" i="31" s="1"/>
  <c r="H13" i="31"/>
  <c r="E71" i="31" s="1"/>
  <c r="H12" i="31"/>
  <c r="E70" i="31" s="1"/>
  <c r="H11" i="31"/>
  <c r="I11" i="31" s="1"/>
  <c r="H10" i="31"/>
  <c r="H9" i="31"/>
  <c r="F68" i="31" s="1"/>
  <c r="H8" i="31"/>
  <c r="E67" i="31" s="1"/>
  <c r="H7" i="31"/>
  <c r="H6" i="31"/>
  <c r="G65" i="31" s="1"/>
  <c r="H5" i="31"/>
  <c r="F64" i="31" s="1"/>
  <c r="H4" i="31"/>
  <c r="E63" i="31" s="1"/>
  <c r="G69" i="31" l="1"/>
  <c r="D73" i="31"/>
  <c r="H39" i="32"/>
  <c r="H41" i="32"/>
  <c r="I26" i="32"/>
  <c r="H43" i="32"/>
  <c r="I28" i="32"/>
  <c r="I43" i="32" s="1"/>
  <c r="M39" i="24" s="1"/>
  <c r="G41" i="31"/>
  <c r="I10" i="31"/>
  <c r="E66" i="31"/>
  <c r="F67" i="31"/>
  <c r="F70" i="31"/>
  <c r="I7" i="31"/>
  <c r="D65" i="31"/>
  <c r="C68" i="31"/>
  <c r="D72" i="31"/>
  <c r="C64" i="31"/>
  <c r="I5" i="31"/>
  <c r="D64" i="31"/>
  <c r="G72" i="31"/>
  <c r="G64" i="31"/>
  <c r="D68" i="31"/>
  <c r="I9" i="31"/>
  <c r="F63" i="31"/>
  <c r="F76" i="31" s="1"/>
  <c r="F66" i="31"/>
  <c r="G68" i="31"/>
  <c r="C72" i="31"/>
  <c r="I73" i="31"/>
  <c r="G39" i="31"/>
  <c r="D69" i="31"/>
  <c r="F71" i="31"/>
  <c r="I13" i="31"/>
  <c r="H18" i="31"/>
  <c r="D39" i="31"/>
  <c r="C63" i="31"/>
  <c r="E69" i="31"/>
  <c r="C71" i="31"/>
  <c r="G71" i="31"/>
  <c r="I4" i="31"/>
  <c r="I6" i="31"/>
  <c r="I8" i="31"/>
  <c r="I16" i="31"/>
  <c r="E18" i="31"/>
  <c r="G43" i="31"/>
  <c r="D63" i="31"/>
  <c r="E64" i="31"/>
  <c r="E76" i="31" s="1"/>
  <c r="F65" i="31"/>
  <c r="C66" i="31"/>
  <c r="G66" i="31"/>
  <c r="D67" i="31"/>
  <c r="H78" i="31"/>
  <c r="E68" i="31"/>
  <c r="F69" i="31"/>
  <c r="C70" i="31"/>
  <c r="G70" i="31"/>
  <c r="D71" i="31"/>
  <c r="E72" i="31"/>
  <c r="H22" i="31"/>
  <c r="G63" i="31"/>
  <c r="E65" i="31"/>
  <c r="C67" i="31"/>
  <c r="G67" i="31"/>
  <c r="I12" i="31"/>
  <c r="I14" i="31"/>
  <c r="H20" i="31"/>
  <c r="C65" i="31"/>
  <c r="D66" i="31"/>
  <c r="C69" i="31"/>
  <c r="D70" i="31"/>
  <c r="D32" i="30"/>
  <c r="I39" i="32" l="1"/>
  <c r="I41" i="32"/>
  <c r="M17" i="24" s="1"/>
  <c r="F78" i="31"/>
  <c r="I68" i="31"/>
  <c r="H31" i="31" s="1"/>
  <c r="I31" i="31" s="1"/>
  <c r="I69" i="31"/>
  <c r="H32" i="31" s="1"/>
  <c r="I32" i="31" s="1"/>
  <c r="I67" i="31"/>
  <c r="H30" i="31" s="1"/>
  <c r="I30" i="31" s="1"/>
  <c r="I71" i="31"/>
  <c r="H34" i="31" s="1"/>
  <c r="I34" i="31" s="1"/>
  <c r="D78" i="31"/>
  <c r="E78" i="31"/>
  <c r="I72" i="31"/>
  <c r="H35" i="31" s="1"/>
  <c r="I35" i="31" s="1"/>
  <c r="G78" i="31"/>
  <c r="I70" i="31"/>
  <c r="H33" i="31" s="1"/>
  <c r="I33" i="31" s="1"/>
  <c r="C78" i="31"/>
  <c r="I65" i="31"/>
  <c r="G74" i="31"/>
  <c r="G76" i="31"/>
  <c r="H76" i="31"/>
  <c r="H74" i="31"/>
  <c r="C74" i="31"/>
  <c r="I63" i="31"/>
  <c r="C76" i="31"/>
  <c r="F74" i="31"/>
  <c r="E74" i="31"/>
  <c r="I64" i="31"/>
  <c r="H27" i="31" s="1"/>
  <c r="I27" i="31" s="1"/>
  <c r="I22" i="31"/>
  <c r="L41" i="24" s="1"/>
  <c r="I18" i="31"/>
  <c r="I20" i="31"/>
  <c r="L19" i="24" s="1"/>
  <c r="I66" i="31"/>
  <c r="H29" i="31" s="1"/>
  <c r="I29" i="31" s="1"/>
  <c r="D76" i="31"/>
  <c r="D74" i="31"/>
  <c r="E10" i="30"/>
  <c r="I78" i="31" l="1"/>
  <c r="H28" i="31"/>
  <c r="I76" i="31"/>
  <c r="I74" i="31"/>
  <c r="H26" i="31"/>
  <c r="K35" i="24"/>
  <c r="F43" i="30"/>
  <c r="E43" i="30"/>
  <c r="D43" i="30"/>
  <c r="C43" i="30"/>
  <c r="K40" i="24" s="1"/>
  <c r="F41" i="30"/>
  <c r="E41" i="30"/>
  <c r="D41" i="30"/>
  <c r="C41" i="30"/>
  <c r="K18" i="24" s="1"/>
  <c r="F39" i="30"/>
  <c r="E39" i="30"/>
  <c r="C39" i="30"/>
  <c r="G36" i="30"/>
  <c r="I36" i="30" s="1"/>
  <c r="G35" i="30"/>
  <c r="G34" i="30"/>
  <c r="G33" i="30"/>
  <c r="G32" i="30"/>
  <c r="D39" i="30"/>
  <c r="G31" i="30"/>
  <c r="G30" i="30"/>
  <c r="G29" i="30"/>
  <c r="G28" i="30"/>
  <c r="G27" i="30"/>
  <c r="G26" i="30"/>
  <c r="G22" i="30"/>
  <c r="F22" i="30"/>
  <c r="E22" i="30"/>
  <c r="C22" i="30"/>
  <c r="G20" i="30"/>
  <c r="F20" i="30"/>
  <c r="E20" i="30"/>
  <c r="C20" i="30"/>
  <c r="K13" i="24" s="1"/>
  <c r="G18" i="30"/>
  <c r="F18" i="30"/>
  <c r="E18" i="30"/>
  <c r="C18" i="30"/>
  <c r="H17" i="30"/>
  <c r="H16" i="30"/>
  <c r="I16" i="30" s="1"/>
  <c r="I15" i="30"/>
  <c r="H14" i="30"/>
  <c r="H13" i="30"/>
  <c r="G71" i="30" s="1"/>
  <c r="H12" i="30"/>
  <c r="H11" i="30"/>
  <c r="I11" i="30" s="1"/>
  <c r="H10" i="30"/>
  <c r="F69" i="30" s="1"/>
  <c r="H9" i="30"/>
  <c r="H8" i="30"/>
  <c r="G67" i="30" s="1"/>
  <c r="H7" i="30"/>
  <c r="D66" i="30" s="1"/>
  <c r="H6" i="30"/>
  <c r="E65" i="30" s="1"/>
  <c r="H5" i="30"/>
  <c r="F64" i="30" s="1"/>
  <c r="I4" i="30"/>
  <c r="H4" i="30"/>
  <c r="G63" i="30" s="1"/>
  <c r="H43" i="31" l="1"/>
  <c r="I28" i="31"/>
  <c r="I43" i="31" s="1"/>
  <c r="L39" i="24" s="1"/>
  <c r="H39" i="31"/>
  <c r="I26" i="31"/>
  <c r="H41" i="31"/>
  <c r="F65" i="30"/>
  <c r="D63" i="30"/>
  <c r="G65" i="30"/>
  <c r="E63" i="30"/>
  <c r="D67" i="30"/>
  <c r="H63" i="30"/>
  <c r="E67" i="30"/>
  <c r="D71" i="30"/>
  <c r="I8" i="30"/>
  <c r="C65" i="30"/>
  <c r="H65" i="30"/>
  <c r="F67" i="30"/>
  <c r="E71" i="30"/>
  <c r="I6" i="30"/>
  <c r="F63" i="30"/>
  <c r="F76" i="30" s="1"/>
  <c r="D65" i="30"/>
  <c r="H67" i="30"/>
  <c r="H71" i="30"/>
  <c r="H68" i="30"/>
  <c r="D68" i="30"/>
  <c r="G68" i="30"/>
  <c r="C68" i="30"/>
  <c r="I9" i="30"/>
  <c r="F68" i="30"/>
  <c r="H72" i="30"/>
  <c r="D72" i="30"/>
  <c r="G72" i="30"/>
  <c r="C72" i="30"/>
  <c r="F72" i="30"/>
  <c r="G43" i="30"/>
  <c r="F66" i="30"/>
  <c r="E66" i="30"/>
  <c r="I7" i="30"/>
  <c r="H66" i="30"/>
  <c r="F70" i="30"/>
  <c r="E70" i="30"/>
  <c r="H70" i="30"/>
  <c r="D70" i="30"/>
  <c r="I14" i="30"/>
  <c r="D73" i="30"/>
  <c r="I17" i="30"/>
  <c r="C73" i="30"/>
  <c r="G39" i="30"/>
  <c r="G66" i="30"/>
  <c r="C70" i="30"/>
  <c r="H64" i="30"/>
  <c r="D64" i="30"/>
  <c r="G64" i="30"/>
  <c r="C64" i="30"/>
  <c r="I5" i="30"/>
  <c r="I20" i="30" s="1"/>
  <c r="K19" i="24" s="1"/>
  <c r="E69" i="30"/>
  <c r="H69" i="30"/>
  <c r="D69" i="30"/>
  <c r="G69" i="30"/>
  <c r="C69" i="30"/>
  <c r="I12" i="30"/>
  <c r="E68" i="30"/>
  <c r="G70" i="30"/>
  <c r="E72" i="30"/>
  <c r="I10" i="30"/>
  <c r="H73" i="30"/>
  <c r="H20" i="30"/>
  <c r="G41" i="30"/>
  <c r="E64" i="30"/>
  <c r="C66" i="30"/>
  <c r="G76" i="30"/>
  <c r="F71" i="30"/>
  <c r="I13" i="30"/>
  <c r="H18" i="30"/>
  <c r="H22" i="30"/>
  <c r="C63" i="30"/>
  <c r="C67" i="30"/>
  <c r="C71" i="30"/>
  <c r="J26" i="24"/>
  <c r="K26" i="24" s="1"/>
  <c r="D32" i="29"/>
  <c r="I39" i="31" l="1"/>
  <c r="I41" i="31"/>
  <c r="L17" i="24" s="1"/>
  <c r="I67" i="30"/>
  <c r="H30" i="30" s="1"/>
  <c r="I30" i="30" s="1"/>
  <c r="G78" i="30"/>
  <c r="E78" i="30"/>
  <c r="I69" i="30"/>
  <c r="H32" i="30" s="1"/>
  <c r="I32" i="30" s="1"/>
  <c r="D74" i="30"/>
  <c r="I65" i="30"/>
  <c r="H28" i="30" s="1"/>
  <c r="I71" i="30"/>
  <c r="H34" i="30" s="1"/>
  <c r="I34" i="30" s="1"/>
  <c r="I66" i="30"/>
  <c r="H29" i="30" s="1"/>
  <c r="I29" i="30" s="1"/>
  <c r="I22" i="30"/>
  <c r="K41" i="24" s="1"/>
  <c r="E74" i="30"/>
  <c r="G74" i="30"/>
  <c r="H74" i="30"/>
  <c r="F74" i="30"/>
  <c r="I72" i="30"/>
  <c r="H35" i="30" s="1"/>
  <c r="I35" i="30" s="1"/>
  <c r="D78" i="30"/>
  <c r="F78" i="30"/>
  <c r="C78" i="30"/>
  <c r="H76" i="30"/>
  <c r="C74" i="30"/>
  <c r="C76" i="30"/>
  <c r="I63" i="30"/>
  <c r="E76" i="30"/>
  <c r="D76" i="30"/>
  <c r="I18" i="30"/>
  <c r="I64" i="30"/>
  <c r="H27" i="30" s="1"/>
  <c r="I27" i="30" s="1"/>
  <c r="I70" i="30"/>
  <c r="H33" i="30" s="1"/>
  <c r="I33" i="30" s="1"/>
  <c r="I68" i="30"/>
  <c r="H31" i="30" s="1"/>
  <c r="I31" i="30" s="1"/>
  <c r="I73" i="30"/>
  <c r="H78" i="30"/>
  <c r="E10" i="29"/>
  <c r="F43" i="29"/>
  <c r="E43" i="29"/>
  <c r="D43" i="29"/>
  <c r="F41" i="29"/>
  <c r="E41" i="29"/>
  <c r="D41" i="29"/>
  <c r="C41" i="29"/>
  <c r="J18" i="24" s="1"/>
  <c r="F39" i="29"/>
  <c r="E39" i="29"/>
  <c r="G36" i="29"/>
  <c r="I36" i="29" s="1"/>
  <c r="G35" i="29"/>
  <c r="G34" i="29"/>
  <c r="G33" i="29"/>
  <c r="G32" i="29"/>
  <c r="D39" i="29"/>
  <c r="G31" i="29"/>
  <c r="G30" i="29"/>
  <c r="G29" i="29"/>
  <c r="G28" i="29"/>
  <c r="C43" i="29"/>
  <c r="J40" i="24" s="1"/>
  <c r="G27" i="29"/>
  <c r="G26" i="29"/>
  <c r="G22" i="29"/>
  <c r="F22" i="29"/>
  <c r="E22" i="29"/>
  <c r="C22" i="29"/>
  <c r="J35" i="24" s="1"/>
  <c r="G20" i="29"/>
  <c r="F20" i="29"/>
  <c r="E20" i="29"/>
  <c r="C20" i="29"/>
  <c r="J13" i="24" s="1"/>
  <c r="G18" i="29"/>
  <c r="F18" i="29"/>
  <c r="C18" i="29"/>
  <c r="H17" i="29"/>
  <c r="I17" i="29" s="1"/>
  <c r="H16" i="29"/>
  <c r="I16" i="29" s="1"/>
  <c r="I15" i="29"/>
  <c r="H14" i="29"/>
  <c r="E72" i="29" s="1"/>
  <c r="H13" i="29"/>
  <c r="G71" i="29" s="1"/>
  <c r="H12" i="29"/>
  <c r="E70" i="29" s="1"/>
  <c r="H11" i="29"/>
  <c r="I11" i="29" s="1"/>
  <c r="H10" i="29"/>
  <c r="H9" i="29"/>
  <c r="H68" i="29" s="1"/>
  <c r="H8" i="29"/>
  <c r="I8" i="29" s="1"/>
  <c r="H7" i="29"/>
  <c r="F66" i="29" s="1"/>
  <c r="H6" i="29"/>
  <c r="E65" i="29" s="1"/>
  <c r="H5" i="29"/>
  <c r="H64" i="29" s="1"/>
  <c r="H4" i="29"/>
  <c r="H63" i="29" s="1"/>
  <c r="I28" i="30" l="1"/>
  <c r="I43" i="30" s="1"/>
  <c r="K39" i="24" s="1"/>
  <c r="H43" i="30"/>
  <c r="I78" i="30"/>
  <c r="I74" i="30"/>
  <c r="I76" i="30"/>
  <c r="H26" i="30"/>
  <c r="G41" i="29"/>
  <c r="D71" i="29"/>
  <c r="G43" i="29"/>
  <c r="E71" i="29"/>
  <c r="C66" i="29"/>
  <c r="I10" i="29"/>
  <c r="G70" i="29"/>
  <c r="E67" i="29"/>
  <c r="E63" i="29"/>
  <c r="F69" i="29"/>
  <c r="H67" i="29"/>
  <c r="E64" i="29"/>
  <c r="D66" i="29"/>
  <c r="E68" i="29"/>
  <c r="G66" i="29"/>
  <c r="F68" i="29"/>
  <c r="F71" i="29"/>
  <c r="E69" i="29"/>
  <c r="I13" i="29"/>
  <c r="F64" i="29"/>
  <c r="H66" i="29"/>
  <c r="H71" i="29"/>
  <c r="E66" i="29"/>
  <c r="H65" i="29"/>
  <c r="D65" i="29"/>
  <c r="G65" i="29"/>
  <c r="C65" i="29"/>
  <c r="H22" i="29"/>
  <c r="H76" i="29"/>
  <c r="G63" i="29"/>
  <c r="C63" i="29"/>
  <c r="F63" i="29"/>
  <c r="H20" i="29"/>
  <c r="I6" i="29"/>
  <c r="H72" i="29"/>
  <c r="D72" i="29"/>
  <c r="G72" i="29"/>
  <c r="C72" i="29"/>
  <c r="I14" i="29"/>
  <c r="F72" i="29"/>
  <c r="F65" i="29"/>
  <c r="I4" i="29"/>
  <c r="F70" i="29"/>
  <c r="I12" i="29"/>
  <c r="H70" i="29"/>
  <c r="D70" i="29"/>
  <c r="H18" i="29"/>
  <c r="C39" i="29"/>
  <c r="G39" i="29"/>
  <c r="D63" i="29"/>
  <c r="G67" i="29"/>
  <c r="C67" i="29"/>
  <c r="F67" i="29"/>
  <c r="H69" i="29"/>
  <c r="D69" i="29"/>
  <c r="G69" i="29"/>
  <c r="C69" i="29"/>
  <c r="H73" i="29"/>
  <c r="D73" i="29"/>
  <c r="C73" i="29"/>
  <c r="E18" i="29"/>
  <c r="D67" i="29"/>
  <c r="C70" i="29"/>
  <c r="C64" i="29"/>
  <c r="G64" i="29"/>
  <c r="C68" i="29"/>
  <c r="G68" i="29"/>
  <c r="I5" i="29"/>
  <c r="I7" i="29"/>
  <c r="I9" i="29"/>
  <c r="D64" i="29"/>
  <c r="D68" i="29"/>
  <c r="C71" i="29"/>
  <c r="E71" i="28"/>
  <c r="E72" i="28"/>
  <c r="E70" i="28"/>
  <c r="E69" i="28"/>
  <c r="E64" i="28"/>
  <c r="E65" i="28"/>
  <c r="E66" i="28"/>
  <c r="E67" i="28"/>
  <c r="E68" i="28"/>
  <c r="E63" i="28"/>
  <c r="I73" i="29" l="1"/>
  <c r="H39" i="30"/>
  <c r="H41" i="30"/>
  <c r="I26" i="30"/>
  <c r="E78" i="29"/>
  <c r="E74" i="29"/>
  <c r="H74" i="29"/>
  <c r="I71" i="29"/>
  <c r="H34" i="29" s="1"/>
  <c r="I34" i="29" s="1"/>
  <c r="E76" i="29"/>
  <c r="I66" i="29"/>
  <c r="H29" i="29" s="1"/>
  <c r="I29" i="29" s="1"/>
  <c r="I67" i="29"/>
  <c r="H30" i="29" s="1"/>
  <c r="I30" i="29" s="1"/>
  <c r="F76" i="29"/>
  <c r="F74" i="29"/>
  <c r="D78" i="29"/>
  <c r="I64" i="29"/>
  <c r="H27" i="29" s="1"/>
  <c r="I27" i="29" s="1"/>
  <c r="I20" i="29"/>
  <c r="J19" i="24" s="1"/>
  <c r="I18" i="29"/>
  <c r="C74" i="29"/>
  <c r="I63" i="29"/>
  <c r="C76" i="29"/>
  <c r="H78" i="29"/>
  <c r="I70" i="29"/>
  <c r="H33" i="29" s="1"/>
  <c r="I33" i="29" s="1"/>
  <c r="F78" i="29"/>
  <c r="I72" i="29"/>
  <c r="H35" i="29" s="1"/>
  <c r="I35" i="29" s="1"/>
  <c r="I22" i="29"/>
  <c r="J41" i="24" s="1"/>
  <c r="G74" i="29"/>
  <c r="G76" i="29"/>
  <c r="C78" i="29"/>
  <c r="I65" i="29"/>
  <c r="I68" i="29"/>
  <c r="H31" i="29" s="1"/>
  <c r="I31" i="29" s="1"/>
  <c r="I69" i="29"/>
  <c r="H32" i="29" s="1"/>
  <c r="I32" i="29" s="1"/>
  <c r="D74" i="29"/>
  <c r="D76" i="29"/>
  <c r="G78" i="29"/>
  <c r="I41" i="30" l="1"/>
  <c r="K17" i="24" s="1"/>
  <c r="I39" i="30"/>
  <c r="H28" i="29"/>
  <c r="I78" i="29"/>
  <c r="I74" i="29"/>
  <c r="I76" i="29"/>
  <c r="H26" i="29"/>
  <c r="D32" i="28"/>
  <c r="G32" i="28" s="1"/>
  <c r="E10" i="28"/>
  <c r="C29" i="28"/>
  <c r="C28" i="28"/>
  <c r="C43" i="28" s="1"/>
  <c r="I40" i="24" s="1"/>
  <c r="C26" i="28"/>
  <c r="F43" i="28"/>
  <c r="E43" i="28"/>
  <c r="D43" i="28"/>
  <c r="F41" i="28"/>
  <c r="E41" i="28"/>
  <c r="D41" i="28"/>
  <c r="F39" i="28"/>
  <c r="E39" i="28"/>
  <c r="G36" i="28"/>
  <c r="I36" i="28" s="1"/>
  <c r="G35" i="28"/>
  <c r="G34" i="28"/>
  <c r="G33" i="28"/>
  <c r="G31" i="28"/>
  <c r="G30" i="28"/>
  <c r="G29" i="28"/>
  <c r="G28" i="28"/>
  <c r="G27" i="28"/>
  <c r="G26" i="28"/>
  <c r="C41" i="28"/>
  <c r="I18" i="24" s="1"/>
  <c r="G22" i="28"/>
  <c r="F22" i="28"/>
  <c r="E22" i="28"/>
  <c r="C22" i="28"/>
  <c r="I35" i="24" s="1"/>
  <c r="G20" i="28"/>
  <c r="F20" i="28"/>
  <c r="E20" i="28"/>
  <c r="C20" i="28"/>
  <c r="I13" i="24" s="1"/>
  <c r="G18" i="28"/>
  <c r="F18" i="28"/>
  <c r="C18" i="28"/>
  <c r="H17" i="28"/>
  <c r="I17" i="28" s="1"/>
  <c r="H16" i="28"/>
  <c r="C73" i="28" s="1"/>
  <c r="I15" i="28"/>
  <c r="H14" i="28"/>
  <c r="F72" i="28" s="1"/>
  <c r="H13" i="28"/>
  <c r="H12" i="28"/>
  <c r="H70" i="28" s="1"/>
  <c r="H11" i="28"/>
  <c r="I11" i="28" s="1"/>
  <c r="H10" i="28"/>
  <c r="G69" i="28" s="1"/>
  <c r="E18" i="28"/>
  <c r="H9" i="28"/>
  <c r="F68" i="28" s="1"/>
  <c r="H8" i="28"/>
  <c r="H7" i="28"/>
  <c r="H66" i="28" s="1"/>
  <c r="H6" i="28"/>
  <c r="G65" i="28" s="1"/>
  <c r="H5" i="28"/>
  <c r="F64" i="28" s="1"/>
  <c r="H4" i="28"/>
  <c r="H39" i="29" l="1"/>
  <c r="H41" i="29"/>
  <c r="I26" i="29"/>
  <c r="I28" i="29"/>
  <c r="I43" i="29" s="1"/>
  <c r="J39" i="24" s="1"/>
  <c r="H43" i="29"/>
  <c r="D39" i="28"/>
  <c r="G43" i="28"/>
  <c r="G41" i="28"/>
  <c r="H71" i="28"/>
  <c r="D69" i="28"/>
  <c r="I14" i="28"/>
  <c r="F69" i="28"/>
  <c r="H69" i="28"/>
  <c r="D71" i="28"/>
  <c r="I10" i="28"/>
  <c r="I12" i="28"/>
  <c r="G70" i="28"/>
  <c r="C72" i="28"/>
  <c r="I13" i="28"/>
  <c r="C70" i="28"/>
  <c r="F71" i="28"/>
  <c r="G72" i="28"/>
  <c r="F63" i="28"/>
  <c r="C64" i="28"/>
  <c r="G64" i="28"/>
  <c r="D65" i="28"/>
  <c r="H65" i="28"/>
  <c r="F67" i="28"/>
  <c r="C68" i="28"/>
  <c r="G68" i="28"/>
  <c r="D73" i="28"/>
  <c r="I73" i="28" s="1"/>
  <c r="I5" i="28"/>
  <c r="I7" i="28"/>
  <c r="I9" i="28"/>
  <c r="C63" i="28"/>
  <c r="G63" i="28"/>
  <c r="D64" i="28"/>
  <c r="H64" i="28"/>
  <c r="F66" i="28"/>
  <c r="C67" i="28"/>
  <c r="G67" i="28"/>
  <c r="D68" i="28"/>
  <c r="H68" i="28"/>
  <c r="F70" i="28"/>
  <c r="C71" i="28"/>
  <c r="G71" i="28"/>
  <c r="D72" i="28"/>
  <c r="H72" i="28"/>
  <c r="H73" i="28"/>
  <c r="H20" i="28"/>
  <c r="C39" i="28"/>
  <c r="G39" i="28"/>
  <c r="H18" i="28"/>
  <c r="H22" i="28"/>
  <c r="D63" i="28"/>
  <c r="H63" i="28"/>
  <c r="F65" i="28"/>
  <c r="C66" i="28"/>
  <c r="G66" i="28"/>
  <c r="D67" i="28"/>
  <c r="H67" i="28"/>
  <c r="I4" i="28"/>
  <c r="I6" i="28"/>
  <c r="I8" i="28"/>
  <c r="I16" i="28"/>
  <c r="C65" i="28"/>
  <c r="D66" i="28"/>
  <c r="C69" i="28"/>
  <c r="D70" i="28"/>
  <c r="H18" i="24"/>
  <c r="F63" i="27"/>
  <c r="F71" i="27"/>
  <c r="F68" i="27"/>
  <c r="F67" i="27"/>
  <c r="C29" i="27"/>
  <c r="C43" i="27" s="1"/>
  <c r="H40" i="24" s="1"/>
  <c r="C28" i="27"/>
  <c r="C26" i="27"/>
  <c r="D32" i="27"/>
  <c r="G32" i="27"/>
  <c r="E10" i="27"/>
  <c r="F43" i="27"/>
  <c r="E43" i="27"/>
  <c r="D43" i="27"/>
  <c r="F41" i="27"/>
  <c r="E41" i="27"/>
  <c r="D41" i="27"/>
  <c r="C41" i="27"/>
  <c r="F39" i="27"/>
  <c r="E39" i="27"/>
  <c r="G36" i="27"/>
  <c r="I36" i="27" s="1"/>
  <c r="G35" i="27"/>
  <c r="G34" i="27"/>
  <c r="G33" i="27"/>
  <c r="D39" i="27"/>
  <c r="G31" i="27"/>
  <c r="G30" i="27"/>
  <c r="G29" i="27"/>
  <c r="G28" i="27"/>
  <c r="G27" i="27"/>
  <c r="G26" i="27"/>
  <c r="G22" i="27"/>
  <c r="F22" i="27"/>
  <c r="E22" i="27"/>
  <c r="C22" i="27"/>
  <c r="H35" i="24" s="1"/>
  <c r="G20" i="27"/>
  <c r="F20" i="27"/>
  <c r="E20" i="27"/>
  <c r="C20" i="27"/>
  <c r="H13" i="24" s="1"/>
  <c r="G18" i="27"/>
  <c r="F18" i="27"/>
  <c r="C18" i="27"/>
  <c r="I17" i="27"/>
  <c r="H17" i="27"/>
  <c r="H16" i="27"/>
  <c r="I16" i="27" s="1"/>
  <c r="I15" i="27"/>
  <c r="E18" i="27"/>
  <c r="H14" i="27"/>
  <c r="C72" i="27" s="1"/>
  <c r="H13" i="27"/>
  <c r="I13" i="27" s="1"/>
  <c r="H12" i="27"/>
  <c r="E70" i="27" s="1"/>
  <c r="H11" i="27"/>
  <c r="I11" i="27" s="1"/>
  <c r="H10" i="27"/>
  <c r="H69" i="27" s="1"/>
  <c r="H9" i="27"/>
  <c r="C68" i="27" s="1"/>
  <c r="H8" i="27"/>
  <c r="E67" i="27" s="1"/>
  <c r="H7" i="27"/>
  <c r="E66" i="27" s="1"/>
  <c r="H6" i="27"/>
  <c r="H65" i="27" s="1"/>
  <c r="H5" i="27"/>
  <c r="C64" i="27" s="1"/>
  <c r="H4" i="27"/>
  <c r="G63" i="27" s="1"/>
  <c r="D73" i="27" l="1"/>
  <c r="F69" i="27"/>
  <c r="G67" i="27"/>
  <c r="G65" i="27"/>
  <c r="G66" i="27"/>
  <c r="G74" i="27" s="1"/>
  <c r="F70" i="27"/>
  <c r="G68" i="27"/>
  <c r="G69" i="27"/>
  <c r="F64" i="27"/>
  <c r="F72" i="27"/>
  <c r="G70" i="27"/>
  <c r="F65" i="27"/>
  <c r="G71" i="27"/>
  <c r="F66" i="27"/>
  <c r="G64" i="27"/>
  <c r="G72" i="27"/>
  <c r="I41" i="29"/>
  <c r="J17" i="24" s="1"/>
  <c r="I39" i="29"/>
  <c r="I70" i="28"/>
  <c r="H33" i="28" s="1"/>
  <c r="I33" i="28" s="1"/>
  <c r="I72" i="28"/>
  <c r="H35" i="28" s="1"/>
  <c r="I35" i="28" s="1"/>
  <c r="I69" i="28"/>
  <c r="H32" i="28" s="1"/>
  <c r="I32" i="28" s="1"/>
  <c r="I22" i="28"/>
  <c r="I41" i="24" s="1"/>
  <c r="E74" i="28"/>
  <c r="E78" i="28"/>
  <c r="G78" i="28"/>
  <c r="C78" i="28"/>
  <c r="I65" i="28"/>
  <c r="G74" i="28"/>
  <c r="G76" i="28"/>
  <c r="E76" i="28"/>
  <c r="I18" i="28"/>
  <c r="I20" i="28"/>
  <c r="I19" i="24" s="1"/>
  <c r="H76" i="28"/>
  <c r="H74" i="28"/>
  <c r="I71" i="28"/>
  <c r="H34" i="28" s="1"/>
  <c r="I34" i="28" s="1"/>
  <c r="C74" i="28"/>
  <c r="I63" i="28"/>
  <c r="C76" i="28"/>
  <c r="I64" i="28"/>
  <c r="H27" i="28" s="1"/>
  <c r="I27" i="28" s="1"/>
  <c r="I66" i="28"/>
  <c r="H29" i="28" s="1"/>
  <c r="I29" i="28" s="1"/>
  <c r="D76" i="28"/>
  <c r="D74" i="28"/>
  <c r="H78" i="28"/>
  <c r="F74" i="28"/>
  <c r="F76" i="28"/>
  <c r="F78" i="28"/>
  <c r="I67" i="28"/>
  <c r="H30" i="28" s="1"/>
  <c r="I30" i="28" s="1"/>
  <c r="I68" i="28"/>
  <c r="H31" i="28" s="1"/>
  <c r="I31" i="28" s="1"/>
  <c r="D78" i="28"/>
  <c r="C39" i="27"/>
  <c r="G43" i="27"/>
  <c r="G39" i="27"/>
  <c r="H20" i="27"/>
  <c r="H64" i="27"/>
  <c r="I6" i="27"/>
  <c r="E65" i="27"/>
  <c r="D64" i="27"/>
  <c r="C67" i="27"/>
  <c r="I4" i="27"/>
  <c r="C63" i="27"/>
  <c r="C76" i="27" s="1"/>
  <c r="D68" i="27"/>
  <c r="I8" i="27"/>
  <c r="H68" i="27"/>
  <c r="C71" i="27"/>
  <c r="F76" i="27"/>
  <c r="E69" i="27"/>
  <c r="D72" i="27"/>
  <c r="H72" i="27"/>
  <c r="I12" i="27"/>
  <c r="H18" i="27"/>
  <c r="H22" i="27"/>
  <c r="G41" i="27"/>
  <c r="D63" i="27"/>
  <c r="H63" i="27"/>
  <c r="E64" i="27"/>
  <c r="C66" i="27"/>
  <c r="D67" i="27"/>
  <c r="H67" i="27"/>
  <c r="E68" i="27"/>
  <c r="C70" i="27"/>
  <c r="D71" i="27"/>
  <c r="H71" i="27"/>
  <c r="E72" i="27"/>
  <c r="H73" i="27"/>
  <c r="I10" i="27"/>
  <c r="I5" i="27"/>
  <c r="E63" i="27"/>
  <c r="C65" i="27"/>
  <c r="D66" i="27"/>
  <c r="H66" i="27"/>
  <c r="C69" i="27"/>
  <c r="D70" i="27"/>
  <c r="H70" i="27"/>
  <c r="E71" i="27"/>
  <c r="C73" i="27"/>
  <c r="G76" i="27"/>
  <c r="I14" i="27"/>
  <c r="I7" i="27"/>
  <c r="I9" i="27"/>
  <c r="D65" i="27"/>
  <c r="D69" i="27"/>
  <c r="G73" i="26"/>
  <c r="G70" i="26"/>
  <c r="G69" i="26"/>
  <c r="G67" i="26"/>
  <c r="G65" i="26"/>
  <c r="G63" i="26"/>
  <c r="F65" i="26"/>
  <c r="F70" i="26"/>
  <c r="J58" i="26"/>
  <c r="G72" i="26" s="1"/>
  <c r="J57" i="26"/>
  <c r="G71" i="26" s="1"/>
  <c r="I56" i="26"/>
  <c r="I58" i="26" s="1"/>
  <c r="F72" i="26" s="1"/>
  <c r="J55" i="26"/>
  <c r="I54" i="26"/>
  <c r="F69" i="26" s="1"/>
  <c r="J52" i="26"/>
  <c r="J53" i="26" s="1"/>
  <c r="G68" i="26" s="1"/>
  <c r="I52" i="26"/>
  <c r="I53" i="26" s="1"/>
  <c r="F68" i="26" s="1"/>
  <c r="J51" i="26"/>
  <c r="G66" i="26" s="1"/>
  <c r="I50" i="26"/>
  <c r="I51" i="26" s="1"/>
  <c r="F66" i="26" s="1"/>
  <c r="J49" i="26"/>
  <c r="G64" i="26" s="1"/>
  <c r="I49" i="26"/>
  <c r="F64" i="26" s="1"/>
  <c r="I48" i="26"/>
  <c r="F63" i="26" s="1"/>
  <c r="I57" i="26" l="1"/>
  <c r="F71" i="26" s="1"/>
  <c r="F67" i="26"/>
  <c r="G78" i="27"/>
  <c r="I73" i="27"/>
  <c r="H26" i="28"/>
  <c r="I74" i="28"/>
  <c r="I76" i="28"/>
  <c r="I78" i="28"/>
  <c r="H28" i="28"/>
  <c r="I64" i="27"/>
  <c r="H27" i="27" s="1"/>
  <c r="I27" i="27" s="1"/>
  <c r="D78" i="27"/>
  <c r="I63" i="27"/>
  <c r="I76" i="27" s="1"/>
  <c r="I72" i="27"/>
  <c r="H35" i="27" s="1"/>
  <c r="I35" i="27" s="1"/>
  <c r="F78" i="27"/>
  <c r="E78" i="27"/>
  <c r="H78" i="27"/>
  <c r="I71" i="27"/>
  <c r="H34" i="27" s="1"/>
  <c r="I34" i="27" s="1"/>
  <c r="I67" i="27"/>
  <c r="H30" i="27" s="1"/>
  <c r="I30" i="27" s="1"/>
  <c r="I22" i="27"/>
  <c r="H41" i="24" s="1"/>
  <c r="I18" i="27"/>
  <c r="I65" i="27"/>
  <c r="C78" i="27"/>
  <c r="C74" i="27"/>
  <c r="F74" i="27"/>
  <c r="I69" i="27"/>
  <c r="H32" i="27" s="1"/>
  <c r="I32" i="27" s="1"/>
  <c r="I68" i="27"/>
  <c r="H31" i="27" s="1"/>
  <c r="I31" i="27" s="1"/>
  <c r="E76" i="27"/>
  <c r="E74" i="27"/>
  <c r="I20" i="27"/>
  <c r="H19" i="24" s="1"/>
  <c r="H76" i="27"/>
  <c r="H74" i="27"/>
  <c r="I70" i="27"/>
  <c r="H33" i="27" s="1"/>
  <c r="I33" i="27" s="1"/>
  <c r="I66" i="27"/>
  <c r="H29" i="27" s="1"/>
  <c r="I29" i="27" s="1"/>
  <c r="D76" i="27"/>
  <c r="D74" i="27"/>
  <c r="D32" i="26"/>
  <c r="C29" i="26"/>
  <c r="C28" i="26"/>
  <c r="E15" i="26"/>
  <c r="E10" i="26"/>
  <c r="C22" i="26"/>
  <c r="H43" i="28" l="1"/>
  <c r="I28" i="28"/>
  <c r="I43" i="28" s="1"/>
  <c r="I39" i="24" s="1"/>
  <c r="H41" i="28"/>
  <c r="H39" i="28"/>
  <c r="I26" i="28"/>
  <c r="H26" i="27"/>
  <c r="H41" i="27" s="1"/>
  <c r="I78" i="27"/>
  <c r="H28" i="27"/>
  <c r="I74" i="27"/>
  <c r="F43" i="26"/>
  <c r="E43" i="26"/>
  <c r="F41" i="26"/>
  <c r="E41" i="26"/>
  <c r="D41" i="26"/>
  <c r="F39" i="26"/>
  <c r="E39" i="26"/>
  <c r="G36" i="26"/>
  <c r="I36" i="26" s="1"/>
  <c r="G35" i="26"/>
  <c r="G34" i="26"/>
  <c r="G33" i="26"/>
  <c r="G32" i="26"/>
  <c r="G31" i="26"/>
  <c r="G30" i="26"/>
  <c r="G29" i="26"/>
  <c r="D43" i="26"/>
  <c r="G27" i="26"/>
  <c r="G26" i="26"/>
  <c r="C41" i="26"/>
  <c r="G18" i="24" s="1"/>
  <c r="G22" i="26"/>
  <c r="F22" i="26"/>
  <c r="G20" i="26"/>
  <c r="F20" i="26"/>
  <c r="G18" i="26"/>
  <c r="F18" i="26"/>
  <c r="H17" i="26"/>
  <c r="I17" i="26" s="1"/>
  <c r="H16" i="26"/>
  <c r="I16" i="26" s="1"/>
  <c r="H15" i="26"/>
  <c r="C73" i="26" s="1"/>
  <c r="H14" i="26"/>
  <c r="H72" i="26" s="1"/>
  <c r="H13" i="26"/>
  <c r="C71" i="26" s="1"/>
  <c r="H12" i="26"/>
  <c r="I12" i="26" s="1"/>
  <c r="H11" i="26"/>
  <c r="H10" i="26"/>
  <c r="I10" i="26" s="1"/>
  <c r="H9" i="26"/>
  <c r="E68" i="26" s="1"/>
  <c r="H8" i="26"/>
  <c r="C67" i="26" s="1"/>
  <c r="I8" i="26"/>
  <c r="H7" i="26"/>
  <c r="E66" i="26" s="1"/>
  <c r="H6" i="26"/>
  <c r="E65" i="26" s="1"/>
  <c r="H5" i="26"/>
  <c r="H64" i="26" s="1"/>
  <c r="I5" i="26"/>
  <c r="H4" i="26"/>
  <c r="C63" i="26" s="1"/>
  <c r="C18" i="26"/>
  <c r="G26" i="24"/>
  <c r="H26" i="24" s="1"/>
  <c r="G48" i="24" l="1"/>
  <c r="H67" i="26"/>
  <c r="I26" i="27"/>
  <c r="I39" i="28"/>
  <c r="I41" i="28"/>
  <c r="I17" i="24" s="1"/>
  <c r="H39" i="27"/>
  <c r="I41" i="27"/>
  <c r="H17" i="24" s="1"/>
  <c r="I28" i="27"/>
  <c r="I43" i="27" s="1"/>
  <c r="H39" i="24" s="1"/>
  <c r="H43" i="27"/>
  <c r="G41" i="26"/>
  <c r="D71" i="26"/>
  <c r="E63" i="26"/>
  <c r="G76" i="26"/>
  <c r="H70" i="26"/>
  <c r="C70" i="26"/>
  <c r="I70" i="26" s="1"/>
  <c r="H33" i="26" s="1"/>
  <c r="I33" i="26" s="1"/>
  <c r="E64" i="26"/>
  <c r="D67" i="26"/>
  <c r="D70" i="26"/>
  <c r="C72" i="26"/>
  <c r="I6" i="26"/>
  <c r="H20" i="26"/>
  <c r="D63" i="26"/>
  <c r="E67" i="26"/>
  <c r="E72" i="26"/>
  <c r="C66" i="26"/>
  <c r="I9" i="26"/>
  <c r="D66" i="26"/>
  <c r="C65" i="26"/>
  <c r="E70" i="26"/>
  <c r="E71" i="26"/>
  <c r="I7" i="26"/>
  <c r="I13" i="26"/>
  <c r="I14" i="26"/>
  <c r="H63" i="26"/>
  <c r="H76" i="26" s="1"/>
  <c r="H66" i="26"/>
  <c r="H71" i="26"/>
  <c r="H69" i="26"/>
  <c r="D69" i="26"/>
  <c r="I11" i="26"/>
  <c r="C69" i="26"/>
  <c r="I4" i="26"/>
  <c r="E20" i="26"/>
  <c r="G28" i="26"/>
  <c r="G39" i="26" s="1"/>
  <c r="G35" i="24"/>
  <c r="E69" i="26"/>
  <c r="H68" i="26"/>
  <c r="D68" i="26"/>
  <c r="C68" i="26"/>
  <c r="H73" i="26"/>
  <c r="D73" i="26"/>
  <c r="I15" i="26"/>
  <c r="E18" i="26"/>
  <c r="C20" i="26"/>
  <c r="G13" i="24" s="1"/>
  <c r="E22" i="26"/>
  <c r="C43" i="26"/>
  <c r="G40" i="24" s="1"/>
  <c r="C39" i="26"/>
  <c r="D39" i="26"/>
  <c r="C64" i="26"/>
  <c r="D65" i="26"/>
  <c r="H65" i="26"/>
  <c r="H18" i="26"/>
  <c r="H22" i="26"/>
  <c r="D64" i="26"/>
  <c r="D76" i="26" s="1"/>
  <c r="D72" i="26"/>
  <c r="A2" i="18"/>
  <c r="G63" i="25"/>
  <c r="G65" i="25"/>
  <c r="G70" i="25"/>
  <c r="I39" i="27" l="1"/>
  <c r="E74" i="26"/>
  <c r="I72" i="26"/>
  <c r="H35" i="26" s="1"/>
  <c r="I35" i="26" s="1"/>
  <c r="E76" i="26"/>
  <c r="I22" i="26"/>
  <c r="G41" i="24" s="1"/>
  <c r="I66" i="26"/>
  <c r="H29" i="26" s="1"/>
  <c r="I29" i="26" s="1"/>
  <c r="I71" i="26"/>
  <c r="H34" i="26" s="1"/>
  <c r="I34" i="26" s="1"/>
  <c r="I73" i="26"/>
  <c r="E78" i="26"/>
  <c r="I69" i="26"/>
  <c r="H32" i="26" s="1"/>
  <c r="I32" i="26" s="1"/>
  <c r="F78" i="26"/>
  <c r="G74" i="26"/>
  <c r="C76" i="26"/>
  <c r="I64" i="26"/>
  <c r="H27" i="26" s="1"/>
  <c r="I27" i="26" s="1"/>
  <c r="C74" i="26"/>
  <c r="F76" i="26"/>
  <c r="F74" i="26"/>
  <c r="I65" i="26"/>
  <c r="D74" i="26"/>
  <c r="G78" i="26"/>
  <c r="H78" i="26"/>
  <c r="I68" i="26"/>
  <c r="H31" i="26" s="1"/>
  <c r="I31" i="26" s="1"/>
  <c r="C78" i="26"/>
  <c r="H74" i="26"/>
  <c r="I20" i="26"/>
  <c r="G19" i="24" s="1"/>
  <c r="I18" i="26"/>
  <c r="D78" i="26"/>
  <c r="I63" i="26"/>
  <c r="I67" i="26"/>
  <c r="H30" i="26" s="1"/>
  <c r="I30" i="26" s="1"/>
  <c r="G43" i="26"/>
  <c r="J58" i="25"/>
  <c r="G72" i="25" s="1"/>
  <c r="J57" i="25"/>
  <c r="G71" i="25" s="1"/>
  <c r="J55" i="25"/>
  <c r="G69" i="25" s="1"/>
  <c r="J53" i="25"/>
  <c r="G68" i="25" s="1"/>
  <c r="J52" i="25"/>
  <c r="G67" i="25" s="1"/>
  <c r="J51" i="25"/>
  <c r="G66" i="25" s="1"/>
  <c r="J49" i="25"/>
  <c r="G64" i="25" s="1"/>
  <c r="I56" i="25"/>
  <c r="F70" i="25" s="1"/>
  <c r="I54" i="25"/>
  <c r="F69" i="25" s="1"/>
  <c r="I53" i="25"/>
  <c r="F68" i="25" s="1"/>
  <c r="I52" i="25"/>
  <c r="F67" i="25" s="1"/>
  <c r="I51" i="25"/>
  <c r="F66" i="25" s="1"/>
  <c r="I50" i="25"/>
  <c r="F65" i="25" s="1"/>
  <c r="I48" i="25"/>
  <c r="F63" i="25" s="1"/>
  <c r="C35" i="25"/>
  <c r="C34" i="25"/>
  <c r="C30" i="25"/>
  <c r="C29" i="25"/>
  <c r="C28" i="25"/>
  <c r="D35" i="25"/>
  <c r="G35" i="25" s="1"/>
  <c r="D34" i="25"/>
  <c r="G34" i="25" s="1"/>
  <c r="D32" i="25"/>
  <c r="G32" i="25" s="1"/>
  <c r="D30" i="25"/>
  <c r="G30" i="25" s="1"/>
  <c r="D29" i="25"/>
  <c r="D28" i="25"/>
  <c r="C32" i="25"/>
  <c r="D27" i="25"/>
  <c r="C27" i="25"/>
  <c r="G29" i="25"/>
  <c r="C26" i="25"/>
  <c r="D26" i="25"/>
  <c r="E14" i="25"/>
  <c r="E13" i="25"/>
  <c r="E8" i="25"/>
  <c r="E7" i="25"/>
  <c r="E6" i="25"/>
  <c r="E10" i="25"/>
  <c r="E5" i="25"/>
  <c r="E20" i="25" s="1"/>
  <c r="E4" i="25"/>
  <c r="C14" i="25"/>
  <c r="C13" i="25"/>
  <c r="C8" i="25"/>
  <c r="C7" i="25"/>
  <c r="C6" i="25"/>
  <c r="C5" i="25"/>
  <c r="C4" i="25"/>
  <c r="G76" i="25"/>
  <c r="F43" i="25"/>
  <c r="E43" i="25"/>
  <c r="F41" i="25"/>
  <c r="E41" i="25"/>
  <c r="D41" i="25"/>
  <c r="E39" i="25"/>
  <c r="F39" i="25"/>
  <c r="G27" i="25"/>
  <c r="G31" i="25"/>
  <c r="G33" i="25"/>
  <c r="G36" i="25"/>
  <c r="I36" i="25" s="1"/>
  <c r="G26" i="25"/>
  <c r="F20" i="25"/>
  <c r="G20" i="25"/>
  <c r="F22" i="25"/>
  <c r="G22" i="25"/>
  <c r="C20" i="25"/>
  <c r="F13" i="24" s="1"/>
  <c r="I17" i="25"/>
  <c r="H5" i="25"/>
  <c r="H6" i="25"/>
  <c r="H7" i="25"/>
  <c r="H8" i="25"/>
  <c r="H9" i="25"/>
  <c r="H10" i="25"/>
  <c r="H11" i="25"/>
  <c r="I11" i="25" s="1"/>
  <c r="H12" i="25"/>
  <c r="H13" i="25"/>
  <c r="H14" i="25"/>
  <c r="H15" i="25"/>
  <c r="H16" i="25"/>
  <c r="I16" i="25" s="1"/>
  <c r="H17" i="25"/>
  <c r="H4" i="25"/>
  <c r="G18" i="25"/>
  <c r="F18" i="25"/>
  <c r="C18" i="25" l="1"/>
  <c r="C22" i="25"/>
  <c r="F35" i="24" s="1"/>
  <c r="I49" i="25"/>
  <c r="F64" i="25" s="1"/>
  <c r="F76" i="25" s="1"/>
  <c r="G74" i="25"/>
  <c r="I74" i="26"/>
  <c r="I76" i="26"/>
  <c r="H26" i="26"/>
  <c r="H28" i="26"/>
  <c r="I78" i="26"/>
  <c r="I12" i="25"/>
  <c r="H70" i="25"/>
  <c r="E70" i="25"/>
  <c r="D70" i="25"/>
  <c r="C70" i="25"/>
  <c r="I70" i="25" s="1"/>
  <c r="H33" i="25" s="1"/>
  <c r="I33" i="25" s="1"/>
  <c r="I8" i="25"/>
  <c r="I58" i="25"/>
  <c r="F72" i="25" s="1"/>
  <c r="I15" i="25"/>
  <c r="H73" i="25"/>
  <c r="D73" i="25"/>
  <c r="C73" i="25"/>
  <c r="G78" i="25"/>
  <c r="I57" i="25"/>
  <c r="F71" i="25" s="1"/>
  <c r="F78" i="25" s="1"/>
  <c r="C72" i="25"/>
  <c r="D72" i="25"/>
  <c r="E72" i="25"/>
  <c r="H72" i="25"/>
  <c r="E71" i="25"/>
  <c r="H71" i="25"/>
  <c r="C71" i="25"/>
  <c r="D71" i="25"/>
  <c r="H69" i="25"/>
  <c r="C69" i="25"/>
  <c r="E69" i="25"/>
  <c r="D69" i="25"/>
  <c r="C68" i="25"/>
  <c r="D68" i="25"/>
  <c r="E68" i="25"/>
  <c r="H68" i="25"/>
  <c r="I9" i="25"/>
  <c r="C67" i="25"/>
  <c r="D67" i="25"/>
  <c r="E67" i="25"/>
  <c r="H67" i="25"/>
  <c r="I7" i="25"/>
  <c r="H66" i="25"/>
  <c r="C66" i="25"/>
  <c r="D66" i="25"/>
  <c r="E66" i="25"/>
  <c r="I6" i="25"/>
  <c r="C65" i="25"/>
  <c r="D65" i="25"/>
  <c r="E65" i="25"/>
  <c r="H65" i="25"/>
  <c r="I5" i="25"/>
  <c r="C64" i="25"/>
  <c r="D64" i="25"/>
  <c r="E64" i="25"/>
  <c r="H64" i="25"/>
  <c r="I4" i="25"/>
  <c r="C63" i="25"/>
  <c r="D63" i="25"/>
  <c r="E63" i="25"/>
  <c r="H63" i="25"/>
  <c r="C43" i="25"/>
  <c r="F40" i="24" s="1"/>
  <c r="D43" i="25"/>
  <c r="D39" i="25"/>
  <c r="G28" i="25"/>
  <c r="G43" i="25" s="1"/>
  <c r="C41" i="25"/>
  <c r="F18" i="24" s="1"/>
  <c r="C39" i="25"/>
  <c r="E22" i="25"/>
  <c r="I14" i="25"/>
  <c r="E18" i="25"/>
  <c r="I13" i="25"/>
  <c r="I10" i="25"/>
  <c r="G41" i="25"/>
  <c r="H22" i="25"/>
  <c r="H20" i="25"/>
  <c r="H18" i="25"/>
  <c r="C53" i="24"/>
  <c r="C51" i="24"/>
  <c r="F48" i="24"/>
  <c r="D40" i="24"/>
  <c r="A40" i="24"/>
  <c r="A36" i="24"/>
  <c r="A37" i="24" s="1"/>
  <c r="S35" i="24"/>
  <c r="D35" i="24"/>
  <c r="D37" i="24" s="1"/>
  <c r="C29" i="24"/>
  <c r="C22" i="24"/>
  <c r="C21" i="24"/>
  <c r="A14" i="24"/>
  <c r="S13" i="24"/>
  <c r="D13" i="24"/>
  <c r="D15" i="24" s="1"/>
  <c r="G7" i="24"/>
  <c r="H7" i="24" s="1"/>
  <c r="I7" i="24" s="1"/>
  <c r="J7" i="24" s="1"/>
  <c r="K7" i="24" s="1"/>
  <c r="L7" i="24" s="1"/>
  <c r="M7" i="24" s="1"/>
  <c r="N7" i="24" s="1"/>
  <c r="O7" i="24" s="1"/>
  <c r="P7" i="24" s="1"/>
  <c r="Q7" i="24" s="1"/>
  <c r="E6" i="24"/>
  <c r="F4" i="24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E26" i="15"/>
  <c r="E27" i="15" s="1"/>
  <c r="D20" i="16"/>
  <c r="D12" i="16"/>
  <c r="E12" i="16"/>
  <c r="E18" i="23"/>
  <c r="E20" i="23" s="1"/>
  <c r="P54" i="20"/>
  <c r="P51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L53" i="20" s="1"/>
  <c r="K43" i="20"/>
  <c r="K53" i="20" s="1"/>
  <c r="K55" i="20" s="1"/>
  <c r="J43" i="20"/>
  <c r="I43" i="20"/>
  <c r="H43" i="20"/>
  <c r="G43" i="20"/>
  <c r="F43" i="20"/>
  <c r="E43" i="20"/>
  <c r="D43" i="20"/>
  <c r="D53" i="20" s="1"/>
  <c r="D13" i="18" s="1"/>
  <c r="O42" i="20"/>
  <c r="O50" i="20" s="1"/>
  <c r="O52" i="20" s="1"/>
  <c r="N42" i="20"/>
  <c r="N50" i="20" s="1"/>
  <c r="N52" i="20" s="1"/>
  <c r="M42" i="20"/>
  <c r="M50" i="20" s="1"/>
  <c r="M52" i="20" s="1"/>
  <c r="L42" i="20"/>
  <c r="K42" i="20"/>
  <c r="K50" i="20" s="1"/>
  <c r="K52" i="20" s="1"/>
  <c r="J42" i="20"/>
  <c r="J50" i="20" s="1"/>
  <c r="J52" i="20" s="1"/>
  <c r="I42" i="20"/>
  <c r="I50" i="20" s="1"/>
  <c r="H42" i="20"/>
  <c r="H48" i="20" s="1"/>
  <c r="G42" i="20"/>
  <c r="G50" i="20" s="1"/>
  <c r="G52" i="20" s="1"/>
  <c r="F42" i="20"/>
  <c r="F50" i="20" s="1"/>
  <c r="F52" i="20" s="1"/>
  <c r="E42" i="20"/>
  <c r="E50" i="20" s="1"/>
  <c r="D42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P38" i="20"/>
  <c r="P37" i="20"/>
  <c r="P36" i="20"/>
  <c r="P35" i="20"/>
  <c r="P34" i="20"/>
  <c r="P33" i="20"/>
  <c r="P30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P21" i="20"/>
  <c r="P20" i="20"/>
  <c r="P19" i="20"/>
  <c r="P18" i="20"/>
  <c r="P17" i="20"/>
  <c r="P16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P12" i="20"/>
  <c r="P11" i="20"/>
  <c r="P10" i="20"/>
  <c r="P9" i="20"/>
  <c r="P8" i="20"/>
  <c r="P7" i="20"/>
  <c r="A21" i="18"/>
  <c r="A22" i="18" s="1"/>
  <c r="A23" i="18" s="1"/>
  <c r="A25" i="18" s="1"/>
  <c r="A26" i="18" s="1"/>
  <c r="A8" i="18"/>
  <c r="A9" i="18" s="1"/>
  <c r="A10" i="18" s="1"/>
  <c r="C14" i="16"/>
  <c r="G33" i="15"/>
  <c r="F33" i="15"/>
  <c r="G31" i="15"/>
  <c r="F31" i="15"/>
  <c r="G30" i="15"/>
  <c r="F30" i="15"/>
  <c r="I21" i="15"/>
  <c r="H21" i="15"/>
  <c r="G21" i="15"/>
  <c r="F21" i="15"/>
  <c r="F32" i="15" s="1"/>
  <c r="E19" i="15"/>
  <c r="E13" i="15"/>
  <c r="K11" i="15"/>
  <c r="J11" i="15"/>
  <c r="I11" i="15"/>
  <c r="H11" i="15"/>
  <c r="G11" i="15"/>
  <c r="F11" i="15"/>
  <c r="E10" i="15"/>
  <c r="E9" i="15"/>
  <c r="K14" i="15" l="1"/>
  <c r="K15" i="15" s="1"/>
  <c r="I14" i="15"/>
  <c r="I15" i="15" s="1"/>
  <c r="O42" i="24"/>
  <c r="O43" i="24" s="1"/>
  <c r="K42" i="24"/>
  <c r="K43" i="24" s="1"/>
  <c r="H20" i="24"/>
  <c r="H21" i="24" s="1"/>
  <c r="G42" i="24"/>
  <c r="G43" i="24" s="1"/>
  <c r="L20" i="24"/>
  <c r="L21" i="24" s="1"/>
  <c r="P20" i="24"/>
  <c r="P21" i="24" s="1"/>
  <c r="P22" i="24" s="1"/>
  <c r="P23" i="24" s="1"/>
  <c r="P45" i="20"/>
  <c r="P47" i="20"/>
  <c r="N9" i="18"/>
  <c r="G53" i="20"/>
  <c r="G55" i="20" s="1"/>
  <c r="O53" i="20"/>
  <c r="O55" i="20" s="1"/>
  <c r="F9" i="18"/>
  <c r="P39" i="20"/>
  <c r="D48" i="20"/>
  <c r="L48" i="20"/>
  <c r="H53" i="20"/>
  <c r="P44" i="20"/>
  <c r="P46" i="20"/>
  <c r="J9" i="18"/>
  <c r="H43" i="26"/>
  <c r="I28" i="26"/>
  <c r="I43" i="26" s="1"/>
  <c r="G39" i="24" s="1"/>
  <c r="G44" i="24" s="1"/>
  <c r="G45" i="24" s="1"/>
  <c r="H39" i="26"/>
  <c r="H41" i="26"/>
  <c r="I26" i="26"/>
  <c r="H55" i="20"/>
  <c r="H13" i="18"/>
  <c r="L55" i="20"/>
  <c r="L13" i="18"/>
  <c r="E52" i="20"/>
  <c r="E9" i="18"/>
  <c r="E13" i="24"/>
  <c r="E35" i="24"/>
  <c r="A15" i="24"/>
  <c r="C24" i="24" s="1"/>
  <c r="C15" i="24"/>
  <c r="I52" i="20"/>
  <c r="I9" i="18"/>
  <c r="G32" i="15"/>
  <c r="C23" i="18"/>
  <c r="E18" i="24"/>
  <c r="F34" i="15"/>
  <c r="F53" i="20"/>
  <c r="J48" i="20"/>
  <c r="N53" i="20"/>
  <c r="J20" i="24"/>
  <c r="J21" i="24" s="1"/>
  <c r="J22" i="24" s="1"/>
  <c r="J23" i="24" s="1"/>
  <c r="N20" i="24"/>
  <c r="N21" i="24" s="1"/>
  <c r="N22" i="24" s="1"/>
  <c r="N23" i="24" s="1"/>
  <c r="I42" i="24"/>
  <c r="I43" i="24" s="1"/>
  <c r="I44" i="24" s="1"/>
  <c r="I45" i="24" s="1"/>
  <c r="M42" i="24"/>
  <c r="M43" i="24" s="1"/>
  <c r="M44" i="24" s="1"/>
  <c r="M45" i="24" s="1"/>
  <c r="Q42" i="24"/>
  <c r="Q43" i="24" s="1"/>
  <c r="Q44" i="24" s="1"/>
  <c r="Q45" i="24" s="1"/>
  <c r="I69" i="25"/>
  <c r="H32" i="25" s="1"/>
  <c r="I32" i="25" s="1"/>
  <c r="I73" i="25"/>
  <c r="P13" i="20"/>
  <c r="O9" i="18"/>
  <c r="K9" i="18"/>
  <c r="G9" i="18"/>
  <c r="K13" i="18"/>
  <c r="G13" i="18"/>
  <c r="G20" i="24"/>
  <c r="G21" i="24" s="1"/>
  <c r="K20" i="24"/>
  <c r="K21" i="24" s="1"/>
  <c r="K22" i="24" s="1"/>
  <c r="K23" i="24" s="1"/>
  <c r="O20" i="24"/>
  <c r="C37" i="24"/>
  <c r="E42" i="24"/>
  <c r="F42" i="24" s="1"/>
  <c r="J42" i="24"/>
  <c r="J43" i="24" s="1"/>
  <c r="N42" i="24"/>
  <c r="N43" i="24" s="1"/>
  <c r="I20" i="25"/>
  <c r="I64" i="25"/>
  <c r="H27" i="25" s="1"/>
  <c r="I27" i="25" s="1"/>
  <c r="I72" i="25"/>
  <c r="H35" i="25" s="1"/>
  <c r="I35" i="25" s="1"/>
  <c r="P22" i="20"/>
  <c r="E48" i="20"/>
  <c r="I53" i="20"/>
  <c r="M48" i="20"/>
  <c r="M9" i="18"/>
  <c r="E20" i="24"/>
  <c r="F20" i="24" s="1"/>
  <c r="I20" i="24"/>
  <c r="I21" i="24" s="1"/>
  <c r="I22" i="24" s="1"/>
  <c r="I23" i="24" s="1"/>
  <c r="M20" i="24"/>
  <c r="M21" i="24" s="1"/>
  <c r="M22" i="24" s="1"/>
  <c r="M23" i="24" s="1"/>
  <c r="Q20" i="24"/>
  <c r="Q21" i="24" s="1"/>
  <c r="Q22" i="24" s="1"/>
  <c r="Q23" i="24" s="1"/>
  <c r="H42" i="24"/>
  <c r="H43" i="24" s="1"/>
  <c r="H44" i="24" s="1"/>
  <c r="H45" i="24" s="1"/>
  <c r="L42" i="24"/>
  <c r="L43" i="24" s="1"/>
  <c r="L44" i="24" s="1"/>
  <c r="L45" i="24" s="1"/>
  <c r="P42" i="24"/>
  <c r="P43" i="24" s="1"/>
  <c r="P44" i="24" s="1"/>
  <c r="P45" i="24" s="1"/>
  <c r="F74" i="25"/>
  <c r="G39" i="25"/>
  <c r="H78" i="25"/>
  <c r="I71" i="25"/>
  <c r="H34" i="25" s="1"/>
  <c r="I34" i="25" s="1"/>
  <c r="I68" i="25"/>
  <c r="H31" i="25" s="1"/>
  <c r="I31" i="25" s="1"/>
  <c r="E78" i="25"/>
  <c r="I67" i="25"/>
  <c r="H30" i="25" s="1"/>
  <c r="I30" i="25" s="1"/>
  <c r="D78" i="25"/>
  <c r="I66" i="25"/>
  <c r="H29" i="25" s="1"/>
  <c r="I29" i="25" s="1"/>
  <c r="C78" i="25"/>
  <c r="I65" i="25"/>
  <c r="I22" i="25"/>
  <c r="H76" i="25"/>
  <c r="H74" i="25"/>
  <c r="I63" i="25"/>
  <c r="C76" i="25"/>
  <c r="C74" i="25"/>
  <c r="D76" i="25"/>
  <c r="D74" i="25"/>
  <c r="E76" i="25"/>
  <c r="E74" i="25"/>
  <c r="I18" i="25"/>
  <c r="J44" i="24"/>
  <c r="J45" i="24" s="1"/>
  <c r="N44" i="24"/>
  <c r="N45" i="24" s="1"/>
  <c r="H22" i="24"/>
  <c r="H23" i="24" s="1"/>
  <c r="L22" i="24"/>
  <c r="L23" i="24" s="1"/>
  <c r="K44" i="24"/>
  <c r="K45" i="24" s="1"/>
  <c r="O44" i="24"/>
  <c r="O45" i="24" s="1"/>
  <c r="R13" i="24"/>
  <c r="D18" i="24"/>
  <c r="R35" i="24"/>
  <c r="A41" i="24"/>
  <c r="R40" i="24"/>
  <c r="R18" i="24"/>
  <c r="E40" i="24"/>
  <c r="F14" i="15"/>
  <c r="F15" i="15" s="1"/>
  <c r="D21" i="16" s="1"/>
  <c r="I17" i="15"/>
  <c r="I23" i="15" s="1"/>
  <c r="I37" i="15" s="1"/>
  <c r="I38" i="15" s="1"/>
  <c r="E14" i="15"/>
  <c r="J14" i="15"/>
  <c r="J15" i="15" s="1"/>
  <c r="H14" i="15"/>
  <c r="H15" i="15" s="1"/>
  <c r="E22" i="23"/>
  <c r="E24" i="23"/>
  <c r="D55" i="20"/>
  <c r="F48" i="20"/>
  <c r="N48" i="20"/>
  <c r="J53" i="20"/>
  <c r="I48" i="20"/>
  <c r="D50" i="20"/>
  <c r="D9" i="18" s="1"/>
  <c r="L50" i="20"/>
  <c r="E53" i="20"/>
  <c r="M53" i="20"/>
  <c r="P43" i="20"/>
  <c r="G48" i="20"/>
  <c r="K48" i="20"/>
  <c r="O48" i="20"/>
  <c r="P42" i="20"/>
  <c r="P48" i="20" s="1"/>
  <c r="J57" i="20" s="1"/>
  <c r="H50" i="20"/>
  <c r="C27" i="18"/>
  <c r="A27" i="18"/>
  <c r="E11" i="15"/>
  <c r="E21" i="15"/>
  <c r="G14" i="15"/>
  <c r="G15" i="15" s="1"/>
  <c r="G17" i="15" s="1"/>
  <c r="G23" i="15" s="1"/>
  <c r="O22" i="24" l="1"/>
  <c r="O23" i="24" s="1"/>
  <c r="O21" i="24"/>
  <c r="D41" i="24"/>
  <c r="D43" i="24" s="1"/>
  <c r="F41" i="24"/>
  <c r="F19" i="24"/>
  <c r="M57" i="20"/>
  <c r="O13" i="18"/>
  <c r="I39" i="26"/>
  <c r="I41" i="26"/>
  <c r="G17" i="24" s="1"/>
  <c r="G22" i="24" s="1"/>
  <c r="G23" i="24" s="1"/>
  <c r="E55" i="20"/>
  <c r="E13" i="18"/>
  <c r="J55" i="20"/>
  <c r="J13" i="18"/>
  <c r="E57" i="20"/>
  <c r="N55" i="20"/>
  <c r="N13" i="18"/>
  <c r="H52" i="20"/>
  <c r="H9" i="18"/>
  <c r="L52" i="20"/>
  <c r="L9" i="18"/>
  <c r="F55" i="20"/>
  <c r="F13" i="18"/>
  <c r="G34" i="15"/>
  <c r="E20" i="16"/>
  <c r="O57" i="20"/>
  <c r="M55" i="20"/>
  <c r="M13" i="18"/>
  <c r="I57" i="20"/>
  <c r="F17" i="15"/>
  <c r="F23" i="15" s="1"/>
  <c r="D10" i="16" s="1"/>
  <c r="D14" i="16" s="1"/>
  <c r="D19" i="16" s="1"/>
  <c r="D22" i="16" s="1"/>
  <c r="R19" i="24"/>
  <c r="I55" i="20"/>
  <c r="I13" i="18"/>
  <c r="R41" i="24"/>
  <c r="E41" i="24"/>
  <c r="E43" i="24" s="1"/>
  <c r="F43" i="24"/>
  <c r="R43" i="24" s="1"/>
  <c r="H28" i="25"/>
  <c r="I78" i="25"/>
  <c r="I74" i="25"/>
  <c r="I76" i="25"/>
  <c r="H26" i="25"/>
  <c r="A42" i="24"/>
  <c r="A43" i="24" s="1"/>
  <c r="H48" i="24"/>
  <c r="G37" i="15"/>
  <c r="G38" i="15" s="1"/>
  <c r="H17" i="15"/>
  <c r="H23" i="15" s="1"/>
  <c r="H37" i="15" s="1"/>
  <c r="H38" i="15" s="1"/>
  <c r="E21" i="16"/>
  <c r="P50" i="20"/>
  <c r="P52" i="20" s="1"/>
  <c r="D52" i="20"/>
  <c r="F57" i="20"/>
  <c r="D57" i="20"/>
  <c r="P53" i="20"/>
  <c r="P55" i="20" s="1"/>
  <c r="G57" i="20"/>
  <c r="N57" i="20"/>
  <c r="H57" i="20"/>
  <c r="K57" i="20"/>
  <c r="L57" i="20"/>
  <c r="E15" i="15"/>
  <c r="F37" i="15"/>
  <c r="F38" i="15" s="1"/>
  <c r="E17" i="15"/>
  <c r="L10" i="18" l="1"/>
  <c r="E10" i="16"/>
  <c r="E14" i="16" s="1"/>
  <c r="F21" i="24"/>
  <c r="E19" i="24"/>
  <c r="E21" i="24" s="1"/>
  <c r="P9" i="18"/>
  <c r="D19" i="24"/>
  <c r="D21" i="24" s="1"/>
  <c r="S43" i="24"/>
  <c r="P13" i="18"/>
  <c r="E23" i="15"/>
  <c r="P22" i="18"/>
  <c r="H43" i="25"/>
  <c r="I28" i="25"/>
  <c r="I43" i="25" s="1"/>
  <c r="H41" i="25"/>
  <c r="I26" i="25"/>
  <c r="H39" i="25"/>
  <c r="A44" i="24"/>
  <c r="C46" i="24" s="1"/>
  <c r="C44" i="24"/>
  <c r="I48" i="24"/>
  <c r="C43" i="24"/>
  <c r="P26" i="18"/>
  <c r="E19" i="16"/>
  <c r="E22" i="16" s="1"/>
  <c r="L23" i="18"/>
  <c r="N14" i="24" s="1"/>
  <c r="N15" i="24" s="1"/>
  <c r="N24" i="24" s="1"/>
  <c r="P57" i="20"/>
  <c r="F39" i="24" l="1"/>
  <c r="F44" i="24" s="1"/>
  <c r="O10" i="18"/>
  <c r="J10" i="18"/>
  <c r="J23" i="18" s="1"/>
  <c r="L14" i="24" s="1"/>
  <c r="L15" i="24" s="1"/>
  <c r="L24" i="24" s="1"/>
  <c r="D10" i="18"/>
  <c r="G10" i="18"/>
  <c r="G23" i="18" s="1"/>
  <c r="I14" i="24" s="1"/>
  <c r="I15" i="24" s="1"/>
  <c r="I24" i="24" s="1"/>
  <c r="N10" i="18"/>
  <c r="M10" i="18"/>
  <c r="M23" i="18" s="1"/>
  <c r="O14" i="24" s="1"/>
  <c r="O15" i="24" s="1"/>
  <c r="O24" i="24" s="1"/>
  <c r="O25" i="24" s="1"/>
  <c r="O57" i="24" s="1"/>
  <c r="H10" i="18"/>
  <c r="H23" i="18" s="1"/>
  <c r="J14" i="24" s="1"/>
  <c r="J15" i="24" s="1"/>
  <c r="J24" i="24" s="1"/>
  <c r="E10" i="18"/>
  <c r="E23" i="18" s="1"/>
  <c r="G14" i="24" s="1"/>
  <c r="G15" i="24" s="1"/>
  <c r="G24" i="24" s="1"/>
  <c r="F10" i="18"/>
  <c r="I10" i="18"/>
  <c r="I23" i="18" s="1"/>
  <c r="K14" i="24" s="1"/>
  <c r="K15" i="24" s="1"/>
  <c r="K24" i="24" s="1"/>
  <c r="K10" i="18"/>
  <c r="K23" i="18" s="1"/>
  <c r="M14" i="24" s="1"/>
  <c r="M15" i="24" s="1"/>
  <c r="M24" i="24" s="1"/>
  <c r="O23" i="18"/>
  <c r="Q14" i="24" s="1"/>
  <c r="Q15" i="24" s="1"/>
  <c r="Q24" i="24" s="1"/>
  <c r="Q25" i="24" s="1"/>
  <c r="Q57" i="24" s="1"/>
  <c r="N23" i="18"/>
  <c r="P14" i="24" s="1"/>
  <c r="P15" i="24" s="1"/>
  <c r="P24" i="24" s="1"/>
  <c r="P25" i="24" s="1"/>
  <c r="P57" i="24" s="1"/>
  <c r="R21" i="24"/>
  <c r="S21" i="24"/>
  <c r="N25" i="24"/>
  <c r="N57" i="24" s="1"/>
  <c r="I14" i="18"/>
  <c r="I27" i="18" s="1"/>
  <c r="K36" i="24" s="1"/>
  <c r="K37" i="24" s="1"/>
  <c r="K46" i="24" s="1"/>
  <c r="G14" i="18"/>
  <c r="O14" i="18"/>
  <c r="O27" i="18" s="1"/>
  <c r="Q36" i="24" s="1"/>
  <c r="Q37" i="24" s="1"/>
  <c r="Q46" i="24" s="1"/>
  <c r="K14" i="18"/>
  <c r="K27" i="18" s="1"/>
  <c r="M36" i="24" s="1"/>
  <c r="M37" i="24" s="1"/>
  <c r="M46" i="24" s="1"/>
  <c r="L14" i="18"/>
  <c r="E14" i="18"/>
  <c r="H14" i="18"/>
  <c r="J14" i="18"/>
  <c r="J27" i="18" s="1"/>
  <c r="L36" i="24" s="1"/>
  <c r="L37" i="24" s="1"/>
  <c r="L46" i="24" s="1"/>
  <c r="D14" i="18"/>
  <c r="F14" i="18"/>
  <c r="F27" i="18" s="1"/>
  <c r="H36" i="24" s="1"/>
  <c r="H37" i="24" s="1"/>
  <c r="H46" i="24" s="1"/>
  <c r="N14" i="18"/>
  <c r="N27" i="18" s="1"/>
  <c r="P36" i="24" s="1"/>
  <c r="P37" i="24" s="1"/>
  <c r="P46" i="24" s="1"/>
  <c r="P47" i="24" s="1"/>
  <c r="P62" i="24" s="1"/>
  <c r="M14" i="18"/>
  <c r="M27" i="18" s="1"/>
  <c r="O36" i="24" s="1"/>
  <c r="O37" i="24" s="1"/>
  <c r="O46" i="24" s="1"/>
  <c r="O47" i="24" s="1"/>
  <c r="O62" i="24" s="1"/>
  <c r="F23" i="18"/>
  <c r="H14" i="24" s="1"/>
  <c r="H15" i="24" s="1"/>
  <c r="H24" i="24" s="1"/>
  <c r="E39" i="24"/>
  <c r="E44" i="24" s="1"/>
  <c r="E45" i="24" s="1"/>
  <c r="R39" i="24"/>
  <c r="D39" i="24"/>
  <c r="D44" i="24" s="1"/>
  <c r="D45" i="24" s="1"/>
  <c r="I41" i="25"/>
  <c r="F17" i="24" s="1"/>
  <c r="I39" i="25"/>
  <c r="J48" i="24"/>
  <c r="G27" i="18"/>
  <c r="I36" i="24" s="1"/>
  <c r="I37" i="24" s="1"/>
  <c r="I46" i="24" s="1"/>
  <c r="L27" i="18"/>
  <c r="N36" i="24" s="1"/>
  <c r="N37" i="24" s="1"/>
  <c r="N46" i="24" s="1"/>
  <c r="D27" i="18"/>
  <c r="E27" i="18"/>
  <c r="G36" i="24" s="1"/>
  <c r="G37" i="24" s="1"/>
  <c r="G46" i="24" s="1"/>
  <c r="H27" i="18"/>
  <c r="J36" i="24" s="1"/>
  <c r="J37" i="24" s="1"/>
  <c r="J46" i="24" s="1"/>
  <c r="K47" i="24" l="1"/>
  <c r="K62" i="24" s="1"/>
  <c r="F45" i="24"/>
  <c r="R44" i="24"/>
  <c r="S44" i="24" s="1"/>
  <c r="G47" i="24"/>
  <c r="G62" i="24"/>
  <c r="I25" i="24"/>
  <c r="I57" i="24" s="1"/>
  <c r="N47" i="24"/>
  <c r="N62" i="24" s="1"/>
  <c r="M25" i="24"/>
  <c r="M57" i="24" s="1"/>
  <c r="D23" i="18"/>
  <c r="P10" i="18"/>
  <c r="L47" i="24"/>
  <c r="L62" i="24" s="1"/>
  <c r="L25" i="24"/>
  <c r="L57" i="24" s="1"/>
  <c r="K25" i="24"/>
  <c r="K57" i="24" s="1"/>
  <c r="M47" i="24"/>
  <c r="M62" i="24"/>
  <c r="J47" i="24"/>
  <c r="J62" i="24" s="1"/>
  <c r="G25" i="24"/>
  <c r="G57" i="24" s="1"/>
  <c r="I47" i="24"/>
  <c r="I62" i="24" s="1"/>
  <c r="H25" i="24"/>
  <c r="H57" i="24"/>
  <c r="J25" i="24"/>
  <c r="J57" i="24" s="1"/>
  <c r="Q47" i="24"/>
  <c r="Q62" i="24" s="1"/>
  <c r="D46" i="24"/>
  <c r="D47" i="24" s="1"/>
  <c r="P14" i="18"/>
  <c r="H47" i="24"/>
  <c r="H62" i="24" s="1"/>
  <c r="E36" i="24"/>
  <c r="E17" i="24"/>
  <c r="E22" i="24" s="1"/>
  <c r="F22" i="24"/>
  <c r="R17" i="24"/>
  <c r="D17" i="24"/>
  <c r="D22" i="24" s="1"/>
  <c r="K48" i="24"/>
  <c r="P27" i="18"/>
  <c r="E14" i="24" l="1"/>
  <c r="P23" i="18"/>
  <c r="F36" i="24"/>
  <c r="E37" i="24"/>
  <c r="E46" i="24" s="1"/>
  <c r="E47" i="24" s="1"/>
  <c r="F47" i="24" s="1"/>
  <c r="R47" i="24" s="1"/>
  <c r="D24" i="24"/>
  <c r="D25" i="24" s="1"/>
  <c r="D23" i="24"/>
  <c r="E23" i="24"/>
  <c r="R22" i="24"/>
  <c r="S22" i="24" s="1"/>
  <c r="F23" i="24"/>
  <c r="L48" i="24"/>
  <c r="F14" i="24" l="1"/>
  <c r="E15" i="24"/>
  <c r="E24" i="24" s="1"/>
  <c r="E25" i="24" s="1"/>
  <c r="S36" i="24"/>
  <c r="S37" i="24" s="1"/>
  <c r="F37" i="24"/>
  <c r="R36" i="24"/>
  <c r="F25" i="24"/>
  <c r="R25" i="24" s="1"/>
  <c r="M48" i="24"/>
  <c r="R14" i="24" l="1"/>
  <c r="F15" i="24"/>
  <c r="S14" i="24"/>
  <c r="S15" i="24" s="1"/>
  <c r="R37" i="24"/>
  <c r="T37" i="24" s="1"/>
  <c r="F46" i="24"/>
  <c r="F62" i="24" s="1"/>
  <c r="N48" i="24"/>
  <c r="T15" i="24" l="1"/>
  <c r="R15" i="24"/>
  <c r="F24" i="24"/>
  <c r="R46" i="24"/>
  <c r="F49" i="24"/>
  <c r="O48" i="24"/>
  <c r="F51" i="24" l="1"/>
  <c r="F64" i="24"/>
  <c r="F63" i="24"/>
  <c r="R24" i="24"/>
  <c r="F57" i="24"/>
  <c r="F27" i="24"/>
  <c r="G49" i="24"/>
  <c r="F50" i="24"/>
  <c r="F65" i="24" s="1"/>
  <c r="Q48" i="24"/>
  <c r="P48" i="24"/>
  <c r="F29" i="24" l="1"/>
  <c r="F59" i="24"/>
  <c r="F58" i="24"/>
  <c r="F28" i="24"/>
  <c r="F60" i="24" s="1"/>
  <c r="G51" i="24"/>
  <c r="H49" i="24" s="1"/>
  <c r="G64" i="24"/>
  <c r="G63" i="24"/>
  <c r="G50" i="24"/>
  <c r="G65" i="24" s="1"/>
  <c r="H63" i="24" l="1"/>
  <c r="H64" i="24"/>
  <c r="G27" i="24"/>
  <c r="G29" i="24" s="1"/>
  <c r="F53" i="24"/>
  <c r="H51" i="24"/>
  <c r="H50" i="24"/>
  <c r="H65" i="24" s="1"/>
  <c r="H27" i="24" l="1"/>
  <c r="G53" i="24"/>
  <c r="G59" i="24"/>
  <c r="G58" i="24"/>
  <c r="G28" i="24"/>
  <c r="G60" i="24" s="1"/>
  <c r="I49" i="24"/>
  <c r="I63" i="24" l="1"/>
  <c r="I64" i="24"/>
  <c r="H29" i="24"/>
  <c r="H59" i="24"/>
  <c r="H58" i="24"/>
  <c r="H28" i="24"/>
  <c r="H60" i="24" s="1"/>
  <c r="I51" i="24"/>
  <c r="I50" i="24"/>
  <c r="I65" i="24" s="1"/>
  <c r="I27" i="24" l="1"/>
  <c r="I29" i="24"/>
  <c r="J27" i="24" s="1"/>
  <c r="H53" i="24"/>
  <c r="J49" i="24"/>
  <c r="I53" i="24"/>
  <c r="J64" i="24" l="1"/>
  <c r="J63" i="24"/>
  <c r="J29" i="24"/>
  <c r="J59" i="24"/>
  <c r="J58" i="24"/>
  <c r="J28" i="24"/>
  <c r="J60" i="24" s="1"/>
  <c r="I28" i="24"/>
  <c r="I60" i="24" s="1"/>
  <c r="I59" i="24"/>
  <c r="I58" i="24"/>
  <c r="J51" i="24"/>
  <c r="J50" i="24"/>
  <c r="J65" i="24" s="1"/>
  <c r="K27" i="24" l="1"/>
  <c r="K29" i="24" s="1"/>
  <c r="J53" i="24"/>
  <c r="K49" i="24"/>
  <c r="L27" i="24" l="1"/>
  <c r="L29" i="24" s="1"/>
  <c r="M27" i="24" s="1"/>
  <c r="K51" i="24"/>
  <c r="K53" i="24" s="1"/>
  <c r="K64" i="24"/>
  <c r="K63" i="24"/>
  <c r="K59" i="24"/>
  <c r="K58" i="24"/>
  <c r="K28" i="24"/>
  <c r="K60" i="24" s="1"/>
  <c r="K50" i="24"/>
  <c r="K65" i="24" s="1"/>
  <c r="M29" i="24" l="1"/>
  <c r="N27" i="24" s="1"/>
  <c r="M58" i="24"/>
  <c r="M59" i="24"/>
  <c r="M28" i="24"/>
  <c r="M60" i="24" s="1"/>
  <c r="L49" i="24"/>
  <c r="L58" i="24"/>
  <c r="L59" i="24"/>
  <c r="L28" i="24"/>
  <c r="L60" i="24" s="1"/>
  <c r="N29" i="24" l="1"/>
  <c r="O27" i="24" s="1"/>
  <c r="N59" i="24"/>
  <c r="N58" i="24"/>
  <c r="N28" i="24"/>
  <c r="N60" i="24" s="1"/>
  <c r="L51" i="24"/>
  <c r="L64" i="24"/>
  <c r="L63" i="24"/>
  <c r="L50" i="24"/>
  <c r="L65" i="24" s="1"/>
  <c r="M49" i="24" l="1"/>
  <c r="L53" i="24"/>
  <c r="M51" i="24"/>
  <c r="N49" i="24" s="1"/>
  <c r="O29" i="24"/>
  <c r="O58" i="24"/>
  <c r="O28" i="24"/>
  <c r="O60" i="24" s="1"/>
  <c r="O59" i="24"/>
  <c r="M53" i="24"/>
  <c r="N64" i="24" l="1"/>
  <c r="N63" i="24"/>
  <c r="P27" i="24"/>
  <c r="P29" i="24"/>
  <c r="Q27" i="24" s="1"/>
  <c r="M64" i="24"/>
  <c r="M63" i="24"/>
  <c r="M50" i="24"/>
  <c r="M65" i="24" s="1"/>
  <c r="N50" i="24"/>
  <c r="N65" i="24" s="1"/>
  <c r="N51" i="24"/>
  <c r="P59" i="24" l="1"/>
  <c r="P58" i="24"/>
  <c r="P28" i="24"/>
  <c r="R27" i="24"/>
  <c r="Q29" i="24"/>
  <c r="Q28" i="24"/>
  <c r="Q60" i="24" s="1"/>
  <c r="Q59" i="24"/>
  <c r="Q58" i="24"/>
  <c r="N53" i="24"/>
  <c r="O49" i="24"/>
  <c r="P60" i="24" l="1"/>
  <c r="R28" i="24"/>
  <c r="O51" i="24"/>
  <c r="O64" i="24"/>
  <c r="O63" i="24"/>
  <c r="O50" i="24"/>
  <c r="O65" i="24" s="1"/>
  <c r="P49" i="24" l="1"/>
  <c r="O53" i="24"/>
  <c r="P51" i="24" l="1"/>
  <c r="P64" i="24"/>
  <c r="P63" i="24"/>
  <c r="P50" i="24"/>
  <c r="P65" i="24" s="1"/>
  <c r="P53" i="24" l="1"/>
  <c r="Q49" i="24"/>
  <c r="Q51" i="24" l="1"/>
  <c r="Q53" i="24" s="1"/>
  <c r="Q64" i="24"/>
  <c r="Q63" i="24"/>
  <c r="Q50" i="24"/>
  <c r="Q65" i="24" s="1"/>
  <c r="R49" i="24"/>
  <c r="R50" i="24" s="1"/>
</calcChain>
</file>

<file path=xl/sharedStrings.xml><?xml version="1.0" encoding="utf-8"?>
<sst xmlns="http://schemas.openxmlformats.org/spreadsheetml/2006/main" count="1382" uniqueCount="252">
  <si>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</si>
  <si>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</si>
  <si>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</si>
  <si>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</si>
  <si>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</si>
  <si>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</si>
  <si>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</si>
  <si>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</si>
  <si>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</si>
  <si>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</si>
  <si>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</si>
  <si>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</si>
  <si>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</si>
  <si>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</si>
  <si>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</si>
  <si>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</si>
  <si>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</si>
  <si>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</si>
  <si>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</si>
  <si>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</si>
  <si>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</si>
  <si>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</si>
  <si>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</si>
  <si>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</si>
  <si>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</si>
  <si>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</si>
  <si>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</si>
  <si>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</si>
  <si>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</si>
  <si>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</si>
  <si>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</si>
  <si>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</si>
  <si>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</si>
  <si>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</si>
  <si>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</si>
  <si>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</si>
  <si>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</si>
  <si>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</si>
  <si>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</si>
  <si>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</si>
  <si>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</si>
  <si>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</si>
  <si>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</si>
  <si>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</si>
  <si>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</si>
  <si>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</si>
  <si>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</si>
  <si>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</si>
  <si>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</si>
  <si>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</si>
  <si>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</si>
  <si>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</si>
  <si>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</si>
  <si>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</si>
  <si>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</si>
  <si>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</si>
  <si>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</si>
  <si>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</si>
  <si>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</si>
  <si>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</si>
  <si>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</si>
  <si>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</si>
  <si>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</si>
  <si>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</si>
  <si>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</si>
  <si>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</si>
  <si>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</si>
  <si>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</si>
  <si>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</si>
  <si>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</si>
  <si>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</si>
  <si>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</si>
  <si>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</si>
  <si>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</si>
  <si>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</si>
  <si>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</si>
  <si>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</si>
  <si>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</si>
  <si>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</si>
  <si>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</si>
  <si>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Normalized kWhs (12ME Sept 2014 Test Year)</t>
  </si>
  <si>
    <t>Customer Bills (12ME Sept 2014 Test Year)</t>
  </si>
  <si>
    <t>Test Year # of Customers 12 ME 09.2014</t>
  </si>
  <si>
    <t>Normalized Usage by Month</t>
  </si>
  <si>
    <t>Twelve Months Ended September 30, 2014</t>
  </si>
  <si>
    <t>WASHINGTON ELECTRIC SYSTEM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</si>
  <si>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</si>
  <si>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</si>
  <si>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</si>
  <si>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</si>
  <si>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</si>
  <si>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</si>
  <si>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</si>
  <si>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</si>
  <si>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</si>
  <si>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</si>
  <si>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</si>
  <si>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Revenue Run Billed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</si>
  <si>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</si>
  <si>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</si>
  <si>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</si>
  <si>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</si>
  <si>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</si>
  <si>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</si>
  <si>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</si>
  <si>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</si>
  <si>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</si>
  <si>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</si>
  <si>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</si>
  <si>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</si>
  <si>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</si>
  <si>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</si>
  <si>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</si>
  <si>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</si>
  <si>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</si>
  <si>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</si>
  <si>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</si>
  <si>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</si>
  <si>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</si>
  <si>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</si>
  <si>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</si>
  <si>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</si>
  <si>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</si>
  <si>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</si>
  <si>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</si>
  <si>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</si>
  <si>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Average Customer True-Up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</si>
  <si>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</si>
  <si>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</si>
  <si>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</si>
  <si>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</si>
  <si>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</si>
  <si>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</si>
  <si>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</si>
  <si>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</si>
  <si>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</si>
  <si>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</si>
  <si>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</si>
  <si>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</si>
  <si>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</si>
  <si>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</si>
  <si>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</si>
  <si>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</si>
  <si>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</si>
  <si>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</si>
  <si>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</si>
  <si>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</si>
  <si>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</si>
  <si>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</si>
  <si>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</si>
  <si>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</si>
  <si>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</si>
  <si>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</si>
  <si>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</si>
  <si>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</si>
  <si>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</si>
  <si>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</si>
  <si>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Debit/(Credit)</t>
  </si>
  <si>
    <t>431605 Interest Expense</t>
  </si>
  <si>
    <t>419605 Interest Income</t>
  </si>
  <si>
    <t>186328 Residential Decoupled Deferred Revenue</t>
  </si>
  <si>
    <t>186338 Non-Residential Decoupled Deferred Revenue</t>
  </si>
  <si>
    <t>EDWA</t>
  </si>
  <si>
    <t>Development of WA Electric Deferrals (Calendar Year 2016)</t>
  </si>
  <si>
    <t>Old Base</t>
  </si>
  <si>
    <t>New Base</t>
  </si>
  <si>
    <t>Pro Rated</t>
  </si>
  <si>
    <t>Total Normalized 12 ME Sept 2014 Revenue</t>
  </si>
  <si>
    <t>Allowed Revenue Increase (Attachment 1)</t>
  </si>
  <si>
    <t>Total Rate Revenue (January 11, 2016)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</si>
  <si>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</si>
  <si>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</si>
  <si>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</si>
  <si>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</si>
  <si>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</si>
  <si>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</si>
  <si>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</si>
  <si>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</si>
  <si>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</si>
  <si>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</si>
  <si>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</si>
  <si>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WUTC Docket No. UE-150204</t>
  </si>
  <si>
    <t>Copied From EMA-6, Page 3</t>
  </si>
  <si>
    <t>Revenue Conversion Factor</t>
  </si>
  <si>
    <t>Washington - Electric System</t>
  </si>
  <si>
    <t>Twelve Months Ended December 31, 2014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</si>
  <si>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</si>
  <si>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</si>
  <si>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</si>
  <si>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</si>
  <si>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</si>
  <si>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</si>
  <si>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</si>
  <si>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</si>
  <si>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</si>
  <si>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</si>
  <si>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</si>
  <si>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</si>
  <si>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Decoupling Mechanism - UE-150204 Base effective 1/11/2016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</si>
  <si>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</si>
  <si>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</si>
  <si>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</si>
  <si>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</si>
  <si>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</si>
  <si>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</si>
  <si>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</si>
  <si>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</si>
  <si>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</si>
  <si>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</si>
  <si>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</si>
  <si>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</si>
  <si>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</si>
  <si>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</si>
  <si>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</si>
  <si>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</si>
  <si>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</si>
  <si>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</si>
  <si>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</si>
  <si>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</si>
  <si>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</si>
  <si>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</si>
  <si>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</si>
  <si>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</si>
  <si>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</si>
  <si>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</si>
  <si>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</si>
  <si>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</si>
  <si>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</si>
  <si>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</si>
  <si>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</si>
  <si>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</si>
  <si>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2.40% of base revenue</t>
  </si>
  <si>
    <t>1.04% of base revenue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</si>
  <si>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</si>
  <si>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</si>
  <si>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</si>
  <si>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</si>
  <si>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</si>
  <si>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</si>
  <si>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</si>
  <si>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</si>
  <si>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1.13% of base revenue</t>
  </si>
  <si>
    <t>Pro-rated unbilled rates</t>
  </si>
  <si>
    <t>Prior Rate</t>
  </si>
  <si>
    <t>2.36% of base revenue</t>
  </si>
  <si>
    <t>New Rate</t>
  </si>
  <si>
    <t>Adder Schedule Change Template</t>
  </si>
  <si>
    <t>456328 Res Decoupling Deferral</t>
  </si>
  <si>
    <t xml:space="preserve">456338 Non-Res Decoupling Deferral </t>
  </si>
  <si>
    <t>1.21% of base revenue</t>
  </si>
  <si>
    <t>Actual Usage (kWhs)</t>
  </si>
  <si>
    <t>Sch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</si>
</sst>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234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166" fontId="109" fillId="33" borderId="0" xfId="6" applyNumberFormat="1" applyFont="1" applyFill="1"/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44" fontId="118" fillId="0" borderId="0" xfId="4" applyNumberFormat="1" applyFont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164" fontId="118" fillId="0" borderId="0" xfId="4" applyNumberFormat="1" applyFont="1"/>
    <xf numFmtId="0" fontId="118" fillId="33" borderId="0" xfId="4" applyFont="1" applyFill="1" applyAlignment="1">
      <alignment horizontal="left"/>
    </xf>
    <xf numFmtId="166" fontId="109" fillId="33" borderId="0" xfId="1" applyNumberFormat="1" applyFont="1" applyFill="1"/>
    <xf numFmtId="166" fontId="118" fillId="0" borderId="0" xfId="1" applyNumberFormat="1" applyFont="1"/>
    <xf numFmtId="43" fontId="118" fillId="0" borderId="0" xfId="1" applyNumberFormat="1" applyFont="1"/>
    <xf numFmtId="165" fontId="118" fillId="33" borderId="0" xfId="4" applyNumberFormat="1" applyFont="1" applyFill="1"/>
    <xf numFmtId="44" fontId="18" fillId="103" borderId="0" xfId="2" applyNumberFormat="1" applyFont="1" applyFill="1"/>
    <xf numFmtId="0" fontId="118" fillId="33" borderId="0" xfId="4" applyFont="1" applyFill="1" applyAlignment="1"/>
    <xf numFmtId="0" fontId="18" fillId="0" borderId="0" xfId="4" applyFill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6" fontId="18" fillId="0" borderId="0" xfId="1" applyNumberFormat="1" applyFont="1" applyFill="1"/>
    <xf numFmtId="164" fontId="117" fillId="33" borderId="44" xfId="4" applyNumberFormat="1" applyFont="1" applyFill="1" applyBorder="1"/>
    <xf numFmtId="166" fontId="18" fillId="0" borderId="0" xfId="4" applyNumberFormat="1" applyFill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25" fillId="0" borderId="0" xfId="4" applyFont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43" fontId="118" fillId="33" borderId="0" xfId="4" applyNumberFormat="1" applyFont="1" applyFill="1" applyAlignment="1">
      <alignment horizontal="center"/>
    </xf>
    <xf numFmtId="164" fontId="109" fillId="0" borderId="0" xfId="4" applyNumberFormat="1" applyFont="1" applyFill="1"/>
    <xf numFmtId="0" fontId="21" fillId="33" borderId="45" xfId="0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4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29" fillId="33" borderId="0" xfId="6" applyNumberFormat="1" applyFont="1" applyFill="1"/>
    <xf numFmtId="164" fontId="129" fillId="33" borderId="0" xfId="4" applyNumberFormat="1" applyFont="1" applyFill="1"/>
    <xf numFmtId="166" fontId="129" fillId="33" borderId="0" xfId="1" applyNumberFormat="1" applyFont="1" applyFill="1"/>
    <xf numFmtId="44" fontId="0" fillId="0" borderId="0" xfId="0" applyNumberFormat="1"/>
    <xf numFmtId="14" fontId="0" fillId="0" borderId="0" xfId="0" applyNumberFormat="1"/>
    <xf numFmtId="0" fontId="0" fillId="0" borderId="0" xfId="0"/>
    <xf numFmtId="166" fontId="0" fillId="0" borderId="0" xfId="0" applyNumberFormat="1"/>
    <xf numFmtId="0" fontId="118" fillId="0" borderId="0" xfId="0" applyFont="1" applyFill="1"/>
    <xf numFmtId="0" fontId="117" fillId="104" borderId="0" xfId="0" applyFont="1" applyFill="1"/>
    <xf numFmtId="0" fontId="118" fillId="104" borderId="0" xfId="0" applyFont="1" applyFill="1"/>
    <xf numFmtId="204" fontId="118" fillId="104" borderId="0" xfId="0" applyNumberFormat="1" applyFont="1" applyFill="1" applyAlignment="1">
      <alignment horizontal="center"/>
    </xf>
    <xf numFmtId="204" fontId="118" fillId="104" borderId="0" xfId="0" applyNumberFormat="1" applyFont="1" applyFill="1" applyAlignment="1">
      <alignment horizontal="center" wrapText="1"/>
    </xf>
    <xf numFmtId="3" fontId="129" fillId="0" borderId="0" xfId="4" applyNumberFormat="1" applyFont="1" applyFill="1" applyAlignment="1">
      <alignment horizontal="left" indent="1"/>
    </xf>
    <xf numFmtId="166" fontId="131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16" fillId="0" borderId="49" xfId="0" applyFont="1" applyBorder="1"/>
    <xf numFmtId="0" fontId="0" fillId="0" borderId="0" xfId="0" applyFill="1"/>
    <xf numFmtId="165" fontId="118" fillId="0" borderId="0" xfId="2" applyNumberFormat="1" applyFont="1" applyFill="1"/>
    <xf numFmtId="14" fontId="0" fillId="0" borderId="0" xfId="0" applyNumberFormat="1" applyAlignment="1">
      <alignment horizontal="center"/>
    </xf>
    <xf numFmtId="0" fontId="118" fillId="104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14" fontId="0" fillId="0" borderId="0" xfId="0" applyNumberForma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4" borderId="0" xfId="0" applyFont="1" applyFill="1" applyAlignment="1">
      <alignment horizontal="center" wrapText="1"/>
    </xf>
    <xf numFmtId="44" fontId="0" fillId="0" borderId="36" xfId="0" applyNumberFormat="1" applyBorder="1"/>
    <xf numFmtId="3" fontId="109" fillId="0" borderId="0" xfId="4" applyNumberFormat="1" applyFont="1" applyFill="1" applyAlignment="1">
      <alignment horizontal="left" indent="1"/>
    </xf>
    <xf numFmtId="44" fontId="133" fillId="0" borderId="0" xfId="2" applyFont="1" applyFill="1"/>
    <xf numFmtId="0" fontId="118" fillId="0" borderId="0" xfId="0" applyFont="1" applyFill="1" applyAlignment="1">
      <alignment horizontal="center"/>
    </xf>
    <xf numFmtId="166" fontId="132" fillId="0" borderId="0" xfId="1" applyNumberFormat="1" applyFont="1" applyFill="1"/>
    <xf numFmtId="44" fontId="132" fillId="0" borderId="0" xfId="2" applyFont="1" applyFill="1"/>
    <xf numFmtId="44" fontId="118" fillId="105" borderId="0" xfId="2" applyFont="1" applyFill="1"/>
    <xf numFmtId="44" fontId="132" fillId="105" borderId="0" xfId="2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wrapText="1"/>
    </xf>
    <xf numFmtId="44" fontId="130" fillId="0" borderId="0" xfId="0" applyNumberFormat="1" applyFont="1" applyFill="1"/>
    <xf numFmtId="44" fontId="0" fillId="0" borderId="0" xfId="0" applyNumberFormat="1" applyFill="1"/>
    <xf numFmtId="165" fontId="118" fillId="106" borderId="0" xfId="2" applyNumberFormat="1" applyFont="1" applyFill="1"/>
    <xf numFmtId="165" fontId="118" fillId="106" borderId="0" xfId="2" applyNumberFormat="1" applyFont="1" applyFill="1" applyAlignment="1">
      <alignment wrapText="1"/>
    </xf>
    <xf numFmtId="44" fontId="118" fillId="106" borderId="0" xfId="2" applyFon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0" fontId="0" fillId="0" borderId="35" xfId="0" applyFill="1" applyBorder="1"/>
    <xf numFmtId="0" fontId="118" fillId="0" borderId="0" xfId="0" applyFont="1" applyFill="1" applyAlignment="1">
      <alignment horizontal="center"/>
    </xf>
    <xf numFmtId="44" fontId="125" fillId="0" borderId="0" xfId="2" applyFont="1" applyFill="1" applyBorder="1"/>
    <xf numFmtId="0" fontId="118" fillId="0" borderId="0" xfId="0" applyFont="1" applyFill="1" applyAlignment="1">
      <alignment horizontal="center"/>
    </xf>
    <xf numFmtId="0" fontId="117" fillId="0" borderId="0" xfId="0" applyFont="1" applyAlignment="1">
      <alignment horizontal="center"/>
    </xf>
    <xf numFmtId="0" fontId="117" fillId="104" borderId="0" xfId="0" applyFont="1" applyFill="1" applyAlignment="1">
      <alignment horizontal="center"/>
    </xf>
    <xf numFmtId="0" fontId="21" fillId="104" borderId="0" xfId="0" applyFont="1" applyFill="1" applyAlignment="1">
      <alignment horizont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4" applyFont="1" applyAlignment="1">
      <alignment horizontal="center" vertic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</cellXfs>
  <cellStyles count="9555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2 2" xfId="9551" xr:uid="{00000000-0005-0000-0000-00006D1F0000}"/>
    <cellStyle name="Normal 152 3" xfId="9549" xr:uid="{00000000-0005-0000-0000-00006E1F0000}"/>
    <cellStyle name="Normal 153" xfId="9520" xr:uid="{00000000-0005-0000-0000-00006F1F0000}"/>
    <cellStyle name="Normal 153 2" xfId="9552" xr:uid="{00000000-0005-0000-0000-0000701F0000}"/>
    <cellStyle name="Normal 153 3" xfId="9550" xr:uid="{00000000-0005-0000-0000-0000711F0000}"/>
    <cellStyle name="Normal 154" xfId="9512" xr:uid="{00000000-0005-0000-0000-0000721F0000}"/>
    <cellStyle name="Normal 154 2" xfId="9553" xr:uid="{00000000-0005-0000-0000-0000731F0000}"/>
    <cellStyle name="Normal 154 3" xfId="9548" xr:uid="{00000000-0005-0000-0000-0000741F0000}"/>
    <cellStyle name="Normal 155" xfId="9506" xr:uid="{00000000-0005-0000-0000-0000751F0000}"/>
    <cellStyle name="Normal 155 2" xfId="9554" xr:uid="{00000000-0005-0000-0000-0000761F0000}"/>
    <cellStyle name="Normal 155 3" xfId="9547" xr:uid="{00000000-0005-0000-0000-0000771F0000}"/>
    <cellStyle name="Normal 156" xfId="9536" xr:uid="{00000000-0005-0000-0000-0000781F0000}"/>
    <cellStyle name="Normal 16" xfId="8032" xr:uid="{00000000-0005-0000-0000-0000791F0000}"/>
    <cellStyle name="Normal 16 2" xfId="8033" xr:uid="{00000000-0005-0000-0000-00007A1F0000}"/>
    <cellStyle name="Normal 16 3" xfId="8034" xr:uid="{00000000-0005-0000-0000-00007B1F0000}"/>
    <cellStyle name="Normal 16 3 2" xfId="8035" xr:uid="{00000000-0005-0000-0000-00007C1F0000}"/>
    <cellStyle name="Normal 16 3 3" xfId="8036" xr:uid="{00000000-0005-0000-0000-00007D1F0000}"/>
    <cellStyle name="Normal 16 4" xfId="8037" xr:uid="{00000000-0005-0000-0000-00007E1F0000}"/>
    <cellStyle name="Normal 16 4 2" xfId="8038" xr:uid="{00000000-0005-0000-0000-00007F1F0000}"/>
    <cellStyle name="Normal 16 5" xfId="8039" xr:uid="{00000000-0005-0000-0000-0000801F0000}"/>
    <cellStyle name="Normal 16 6" xfId="8040" xr:uid="{00000000-0005-0000-0000-0000811F0000}"/>
    <cellStyle name="Normal 16 7" xfId="8041" xr:uid="{00000000-0005-0000-0000-0000821F0000}"/>
    <cellStyle name="Normal 16_2011 CBR Rev Calc by schedule" xfId="8042" xr:uid="{00000000-0005-0000-0000-0000831F0000}"/>
    <cellStyle name="Normal 17" xfId="8043" xr:uid="{00000000-0005-0000-0000-0000841F0000}"/>
    <cellStyle name="Normal 17 2" xfId="8044" xr:uid="{00000000-0005-0000-0000-0000851F0000}"/>
    <cellStyle name="Normal 17 3" xfId="8045" xr:uid="{00000000-0005-0000-0000-0000861F0000}"/>
    <cellStyle name="Normal 17 3 2" xfId="8046" xr:uid="{00000000-0005-0000-0000-0000871F0000}"/>
    <cellStyle name="Normal 17 4" xfId="8047" xr:uid="{00000000-0005-0000-0000-0000881F0000}"/>
    <cellStyle name="Normal 17 5" xfId="8048" xr:uid="{00000000-0005-0000-0000-0000891F0000}"/>
    <cellStyle name="Normal 18" xfId="8049" xr:uid="{00000000-0005-0000-0000-00008A1F0000}"/>
    <cellStyle name="Normal 18 2" xfId="8050" xr:uid="{00000000-0005-0000-0000-00008B1F0000}"/>
    <cellStyle name="Normal 18 3" xfId="8051" xr:uid="{00000000-0005-0000-0000-00008C1F0000}"/>
    <cellStyle name="Normal 18 3 2" xfId="8052" xr:uid="{00000000-0005-0000-0000-00008D1F0000}"/>
    <cellStyle name="Normal 18 4" xfId="8053" xr:uid="{00000000-0005-0000-0000-00008E1F0000}"/>
    <cellStyle name="Normal 18 5" xfId="8054" xr:uid="{00000000-0005-0000-0000-00008F1F0000}"/>
    <cellStyle name="Normal 19" xfId="8055" xr:uid="{00000000-0005-0000-0000-0000901F0000}"/>
    <cellStyle name="Normal 19 2" xfId="8056" xr:uid="{00000000-0005-0000-0000-0000911F0000}"/>
    <cellStyle name="Normal 19 3" xfId="8057" xr:uid="{00000000-0005-0000-0000-0000921F0000}"/>
    <cellStyle name="Normal 19 3 2" xfId="8058" xr:uid="{00000000-0005-0000-0000-0000931F0000}"/>
    <cellStyle name="Normal 19 4" xfId="8059" xr:uid="{00000000-0005-0000-0000-0000941F0000}"/>
    <cellStyle name="Normal 2" xfId="4" xr:uid="{00000000-0005-0000-0000-0000951F0000}"/>
    <cellStyle name="Normal 2 10" xfId="8060" xr:uid="{00000000-0005-0000-0000-0000961F0000}"/>
    <cellStyle name="Normal 2 10 2" xfId="8061" xr:uid="{00000000-0005-0000-0000-0000971F0000}"/>
    <cellStyle name="Normal 2 10 2 2" xfId="8062" xr:uid="{00000000-0005-0000-0000-0000981F0000}"/>
    <cellStyle name="Normal 2 10 3" xfId="8063" xr:uid="{00000000-0005-0000-0000-0000991F0000}"/>
    <cellStyle name="Normal 2 11" xfId="8064" xr:uid="{00000000-0005-0000-0000-00009A1F0000}"/>
    <cellStyle name="Normal 2 11 2" xfId="8065" xr:uid="{00000000-0005-0000-0000-00009B1F0000}"/>
    <cellStyle name="Normal 2 12" xfId="8066" xr:uid="{00000000-0005-0000-0000-00009C1F0000}"/>
    <cellStyle name="Normal 2 13" xfId="9542" xr:uid="{00000000-0005-0000-0000-00009D1F0000}"/>
    <cellStyle name="Normal 2 2" xfId="8067" xr:uid="{00000000-0005-0000-0000-00009E1F0000}"/>
    <cellStyle name="Normal 2 2 10" xfId="8068" xr:uid="{00000000-0005-0000-0000-00009F1F0000}"/>
    <cellStyle name="Normal 2 2 11" xfId="8069" xr:uid="{00000000-0005-0000-0000-0000A01F0000}"/>
    <cellStyle name="Normal 2 2 2" xfId="8070" xr:uid="{00000000-0005-0000-0000-0000A11F0000}"/>
    <cellStyle name="Normal 2 2 2 2" xfId="8071" xr:uid="{00000000-0005-0000-0000-0000A21F0000}"/>
    <cellStyle name="Normal 2 2 2 2 2" xfId="8072" xr:uid="{00000000-0005-0000-0000-0000A31F0000}"/>
    <cellStyle name="Normal 2 2 2 3" xfId="8073" xr:uid="{00000000-0005-0000-0000-0000A41F0000}"/>
    <cellStyle name="Normal 2 2 2 3 2" xfId="8074" xr:uid="{00000000-0005-0000-0000-0000A51F0000}"/>
    <cellStyle name="Normal 2 2 2 4" xfId="8075" xr:uid="{00000000-0005-0000-0000-0000A61F0000}"/>
    <cellStyle name="Normal 2 2 2 5" xfId="8076" xr:uid="{00000000-0005-0000-0000-0000A71F0000}"/>
    <cellStyle name="Normal 2 2 2 6" xfId="8077" xr:uid="{00000000-0005-0000-0000-0000A81F0000}"/>
    <cellStyle name="Normal 2 2 2 7" xfId="8078" xr:uid="{00000000-0005-0000-0000-0000A91F0000}"/>
    <cellStyle name="Normal 2 2 2_Chelan PUD Power Costs (8-10)" xfId="8079" xr:uid="{00000000-0005-0000-0000-0000AA1F0000}"/>
    <cellStyle name="Normal 2 2 3" xfId="8080" xr:uid="{00000000-0005-0000-0000-0000AB1F0000}"/>
    <cellStyle name="Normal 2 2 3 2" xfId="8081" xr:uid="{00000000-0005-0000-0000-0000AC1F0000}"/>
    <cellStyle name="Normal 2 2 3 3" xfId="8082" xr:uid="{00000000-0005-0000-0000-0000AD1F0000}"/>
    <cellStyle name="Normal 2 2 4" xfId="8083" xr:uid="{00000000-0005-0000-0000-0000AE1F0000}"/>
    <cellStyle name="Normal 2 2 4 2" xfId="8084" xr:uid="{00000000-0005-0000-0000-0000AF1F0000}"/>
    <cellStyle name="Normal 2 2 5" xfId="8085" xr:uid="{00000000-0005-0000-0000-0000B01F0000}"/>
    <cellStyle name="Normal 2 2 6" xfId="8086" xr:uid="{00000000-0005-0000-0000-0000B11F0000}"/>
    <cellStyle name="Normal 2 2 7" xfId="8087" xr:uid="{00000000-0005-0000-0000-0000B21F0000}"/>
    <cellStyle name="Normal 2 2 8" xfId="8088" xr:uid="{00000000-0005-0000-0000-0000B31F0000}"/>
    <cellStyle name="Normal 2 2 9" xfId="8089" xr:uid="{00000000-0005-0000-0000-0000B41F0000}"/>
    <cellStyle name="Normal 2 2_ Price Inputs" xfId="8090" xr:uid="{00000000-0005-0000-0000-0000B51F0000}"/>
    <cellStyle name="Normal 2 23" xfId="9546" xr:uid="{00000000-0005-0000-0000-0000B61F0000}"/>
    <cellStyle name="Normal 2 3" xfId="8091" xr:uid="{00000000-0005-0000-0000-0000B71F0000}"/>
    <cellStyle name="Normal 2 3 2" xfId="8092" xr:uid="{00000000-0005-0000-0000-0000B81F0000}"/>
    <cellStyle name="Normal 2 3 3" xfId="8093" xr:uid="{00000000-0005-0000-0000-0000B91F0000}"/>
    <cellStyle name="Normal 2 3 4" xfId="8094" xr:uid="{00000000-0005-0000-0000-0000BA1F0000}"/>
    <cellStyle name="Normal 2 3 5" xfId="9540" xr:uid="{00000000-0005-0000-0000-0000BB1F0000}"/>
    <cellStyle name="Normal 2 4" xfId="8095" xr:uid="{00000000-0005-0000-0000-0000BC1F0000}"/>
    <cellStyle name="Normal 2 4 2" xfId="8096" xr:uid="{00000000-0005-0000-0000-0000BD1F0000}"/>
    <cellStyle name="Normal 2 4 3" xfId="8097" xr:uid="{00000000-0005-0000-0000-0000BE1F0000}"/>
    <cellStyle name="Normal 2 5" xfId="8098" xr:uid="{00000000-0005-0000-0000-0000BF1F0000}"/>
    <cellStyle name="Normal 2 5 2" xfId="8099" xr:uid="{00000000-0005-0000-0000-0000C01F0000}"/>
    <cellStyle name="Normal 2 5 3" xfId="8100" xr:uid="{00000000-0005-0000-0000-0000C11F0000}"/>
    <cellStyle name="Normal 2 6" xfId="8101" xr:uid="{00000000-0005-0000-0000-0000C21F0000}"/>
    <cellStyle name="Normal 2 6 2" xfId="8102" xr:uid="{00000000-0005-0000-0000-0000C31F0000}"/>
    <cellStyle name="Normal 2 6 2 2" xfId="8103" xr:uid="{00000000-0005-0000-0000-0000C41F0000}"/>
    <cellStyle name="Normal 2 6 3" xfId="8104" xr:uid="{00000000-0005-0000-0000-0000C51F0000}"/>
    <cellStyle name="Normal 2 6 4" xfId="8105" xr:uid="{00000000-0005-0000-0000-0000C61F0000}"/>
    <cellStyle name="Normal 2 6 5" xfId="8106" xr:uid="{00000000-0005-0000-0000-0000C71F0000}"/>
    <cellStyle name="Normal 2 6 6" xfId="8107" xr:uid="{00000000-0005-0000-0000-0000C81F0000}"/>
    <cellStyle name="Normal 2 7" xfId="8108" xr:uid="{00000000-0005-0000-0000-0000C91F0000}"/>
    <cellStyle name="Normal 2 7 2" xfId="8109" xr:uid="{00000000-0005-0000-0000-0000CA1F0000}"/>
    <cellStyle name="Normal 2 7 2 2" xfId="8110" xr:uid="{00000000-0005-0000-0000-0000CB1F0000}"/>
    <cellStyle name="Normal 2 7 3" xfId="8111" xr:uid="{00000000-0005-0000-0000-0000CC1F0000}"/>
    <cellStyle name="Normal 2 7 4" xfId="8112" xr:uid="{00000000-0005-0000-0000-0000CD1F0000}"/>
    <cellStyle name="Normal 2 8" xfId="8113" xr:uid="{00000000-0005-0000-0000-0000CE1F0000}"/>
    <cellStyle name="Normal 2 8 2" xfId="8114" xr:uid="{00000000-0005-0000-0000-0000CF1F0000}"/>
    <cellStyle name="Normal 2 8 2 2" xfId="8115" xr:uid="{00000000-0005-0000-0000-0000D01F0000}"/>
    <cellStyle name="Normal 2 8 2 2 2" xfId="8116" xr:uid="{00000000-0005-0000-0000-0000D11F0000}"/>
    <cellStyle name="Normal 2 8 2 3" xfId="8117" xr:uid="{00000000-0005-0000-0000-0000D21F0000}"/>
    <cellStyle name="Normal 2 8 3" xfId="8118" xr:uid="{00000000-0005-0000-0000-0000D31F0000}"/>
    <cellStyle name="Normal 2 8 3 2" xfId="8119" xr:uid="{00000000-0005-0000-0000-0000D41F0000}"/>
    <cellStyle name="Normal 2 8 4" xfId="8120" xr:uid="{00000000-0005-0000-0000-0000D51F0000}"/>
    <cellStyle name="Normal 2 8 5" xfId="8121" xr:uid="{00000000-0005-0000-0000-0000D61F0000}"/>
    <cellStyle name="Normal 2 9" xfId="8122" xr:uid="{00000000-0005-0000-0000-0000D71F0000}"/>
    <cellStyle name="Normal 2 9 2" xfId="8123" xr:uid="{00000000-0005-0000-0000-0000D81F0000}"/>
    <cellStyle name="Normal 2 9 2 2" xfId="8124" xr:uid="{00000000-0005-0000-0000-0000D91F0000}"/>
    <cellStyle name="Normal 2 9 3" xfId="8125" xr:uid="{00000000-0005-0000-0000-0000DA1F0000}"/>
    <cellStyle name="Normal 2 9 4" xfId="8126" xr:uid="{00000000-0005-0000-0000-0000DB1F0000}"/>
    <cellStyle name="Normal 2_16.37E Wild Horse Expansion DeferralRevwrkingfile SF" xfId="8127" xr:uid="{00000000-0005-0000-0000-0000DC1F0000}"/>
    <cellStyle name="Normal 20" xfId="8128" xr:uid="{00000000-0005-0000-0000-0000DD1F0000}"/>
    <cellStyle name="Normal 20 2" xfId="8129" xr:uid="{00000000-0005-0000-0000-0000DE1F0000}"/>
    <cellStyle name="Normal 20 2 2" xfId="8130" xr:uid="{00000000-0005-0000-0000-0000DF1F0000}"/>
    <cellStyle name="Normal 20 3" xfId="8131" xr:uid="{00000000-0005-0000-0000-0000E01F0000}"/>
    <cellStyle name="Normal 20 3 2" xfId="8132" xr:uid="{00000000-0005-0000-0000-0000E11F0000}"/>
    <cellStyle name="Normal 20 4" xfId="8133" xr:uid="{00000000-0005-0000-0000-0000E21F0000}"/>
    <cellStyle name="Normal 20 4 2" xfId="8134" xr:uid="{00000000-0005-0000-0000-0000E31F0000}"/>
    <cellStyle name="Normal 20 5" xfId="8135" xr:uid="{00000000-0005-0000-0000-0000E41F0000}"/>
    <cellStyle name="Normal 20 6" xfId="8136" xr:uid="{00000000-0005-0000-0000-0000E51F0000}"/>
    <cellStyle name="Normal 21" xfId="8137" xr:uid="{00000000-0005-0000-0000-0000E61F0000}"/>
    <cellStyle name="Normal 21 2" xfId="8138" xr:uid="{00000000-0005-0000-0000-0000E71F0000}"/>
    <cellStyle name="Normal 21 2 2" xfId="8139" xr:uid="{00000000-0005-0000-0000-0000E81F0000}"/>
    <cellStyle name="Normal 21 2 3" xfId="8140" xr:uid="{00000000-0005-0000-0000-0000E91F0000}"/>
    <cellStyle name="Normal 21 3" xfId="8141" xr:uid="{00000000-0005-0000-0000-0000EA1F0000}"/>
    <cellStyle name="Normal 21 3 2" xfId="8142" xr:uid="{00000000-0005-0000-0000-0000EB1F0000}"/>
    <cellStyle name="Normal 21 4" xfId="8143" xr:uid="{00000000-0005-0000-0000-0000EC1F0000}"/>
    <cellStyle name="Normal 21 5" xfId="8144" xr:uid="{00000000-0005-0000-0000-0000ED1F0000}"/>
    <cellStyle name="Normal 21 6" xfId="8145" xr:uid="{00000000-0005-0000-0000-0000EE1F0000}"/>
    <cellStyle name="Normal 22" xfId="8146" xr:uid="{00000000-0005-0000-0000-0000EF1F0000}"/>
    <cellStyle name="Normal 22 2" xfId="8147" xr:uid="{00000000-0005-0000-0000-0000F01F0000}"/>
    <cellStyle name="Normal 22 2 2" xfId="8148" xr:uid="{00000000-0005-0000-0000-0000F11F0000}"/>
    <cellStyle name="Normal 22 2 3" xfId="8149" xr:uid="{00000000-0005-0000-0000-0000F21F0000}"/>
    <cellStyle name="Normal 22 3" xfId="8150" xr:uid="{00000000-0005-0000-0000-0000F31F0000}"/>
    <cellStyle name="Normal 22 3 2" xfId="8151" xr:uid="{00000000-0005-0000-0000-0000F41F0000}"/>
    <cellStyle name="Normal 22 4" xfId="8152" xr:uid="{00000000-0005-0000-0000-0000F51F0000}"/>
    <cellStyle name="Normal 22 5" xfId="8153" xr:uid="{00000000-0005-0000-0000-0000F61F0000}"/>
    <cellStyle name="Normal 22 6" xfId="8154" xr:uid="{00000000-0005-0000-0000-0000F71F0000}"/>
    <cellStyle name="Normal 23" xfId="8155" xr:uid="{00000000-0005-0000-0000-0000F81F0000}"/>
    <cellStyle name="Normal 23 2" xfId="8156" xr:uid="{00000000-0005-0000-0000-0000F91F0000}"/>
    <cellStyle name="Normal 23 2 2" xfId="8157" xr:uid="{00000000-0005-0000-0000-0000FA1F0000}"/>
    <cellStyle name="Normal 23 2 3" xfId="8158" xr:uid="{00000000-0005-0000-0000-0000FB1F0000}"/>
    <cellStyle name="Normal 23 3" xfId="8159" xr:uid="{00000000-0005-0000-0000-0000FC1F0000}"/>
    <cellStyle name="Normal 23 3 2" xfId="8160" xr:uid="{00000000-0005-0000-0000-0000FD1F0000}"/>
    <cellStyle name="Normal 23 4" xfId="8161" xr:uid="{00000000-0005-0000-0000-0000FE1F0000}"/>
    <cellStyle name="Normal 23 5" xfId="8162" xr:uid="{00000000-0005-0000-0000-0000FF1F0000}"/>
    <cellStyle name="Normal 23 6" xfId="8163" xr:uid="{00000000-0005-0000-0000-000000200000}"/>
    <cellStyle name="Normal 24" xfId="8164" xr:uid="{00000000-0005-0000-0000-000001200000}"/>
    <cellStyle name="Normal 24 2" xfId="8165" xr:uid="{00000000-0005-0000-0000-000002200000}"/>
    <cellStyle name="Normal 24 2 2" xfId="8166" xr:uid="{00000000-0005-0000-0000-000003200000}"/>
    <cellStyle name="Normal 24 2 3" xfId="8167" xr:uid="{00000000-0005-0000-0000-000004200000}"/>
    <cellStyle name="Normal 24 3" xfId="8168" xr:uid="{00000000-0005-0000-0000-000005200000}"/>
    <cellStyle name="Normal 24 3 2" xfId="8169" xr:uid="{00000000-0005-0000-0000-000006200000}"/>
    <cellStyle name="Normal 24 4" xfId="8170" xr:uid="{00000000-0005-0000-0000-000007200000}"/>
    <cellStyle name="Normal 24 5" xfId="8171" xr:uid="{00000000-0005-0000-0000-000008200000}"/>
    <cellStyle name="Normal 25" xfId="8172" xr:uid="{00000000-0005-0000-0000-000009200000}"/>
    <cellStyle name="Normal 25 2" xfId="8173" xr:uid="{00000000-0005-0000-0000-00000A200000}"/>
    <cellStyle name="Normal 25 2 2" xfId="8174" xr:uid="{00000000-0005-0000-0000-00000B200000}"/>
    <cellStyle name="Normal 25 2 3" xfId="8175" xr:uid="{00000000-0005-0000-0000-00000C200000}"/>
    <cellStyle name="Normal 25 3" xfId="8176" xr:uid="{00000000-0005-0000-0000-00000D200000}"/>
    <cellStyle name="Normal 25 3 2" xfId="8177" xr:uid="{00000000-0005-0000-0000-00000E200000}"/>
    <cellStyle name="Normal 25 4" xfId="8178" xr:uid="{00000000-0005-0000-0000-00000F200000}"/>
    <cellStyle name="Normal 25 5" xfId="8179" xr:uid="{00000000-0005-0000-0000-000010200000}"/>
    <cellStyle name="Normal 26" xfId="8180" xr:uid="{00000000-0005-0000-0000-000011200000}"/>
    <cellStyle name="Normal 26 2" xfId="8181" xr:uid="{00000000-0005-0000-0000-000012200000}"/>
    <cellStyle name="Normal 26 2 2" xfId="8182" xr:uid="{00000000-0005-0000-0000-000013200000}"/>
    <cellStyle name="Normal 26 2 3" xfId="8183" xr:uid="{00000000-0005-0000-0000-000014200000}"/>
    <cellStyle name="Normal 26 3" xfId="8184" xr:uid="{00000000-0005-0000-0000-000015200000}"/>
    <cellStyle name="Normal 26 3 2" xfId="8185" xr:uid="{00000000-0005-0000-0000-000016200000}"/>
    <cellStyle name="Normal 26 4" xfId="8186" xr:uid="{00000000-0005-0000-0000-000017200000}"/>
    <cellStyle name="Normal 26 5" xfId="8187" xr:uid="{00000000-0005-0000-0000-000018200000}"/>
    <cellStyle name="Normal 27" xfId="8188" xr:uid="{00000000-0005-0000-0000-000019200000}"/>
    <cellStyle name="Normal 27 2" xfId="8189" xr:uid="{00000000-0005-0000-0000-00001A200000}"/>
    <cellStyle name="Normal 27 2 2" xfId="8190" xr:uid="{00000000-0005-0000-0000-00001B200000}"/>
    <cellStyle name="Normal 27 2 3" xfId="8191" xr:uid="{00000000-0005-0000-0000-00001C200000}"/>
    <cellStyle name="Normal 27 3" xfId="8192" xr:uid="{00000000-0005-0000-0000-00001D200000}"/>
    <cellStyle name="Normal 27 3 2" xfId="8193" xr:uid="{00000000-0005-0000-0000-00001E200000}"/>
    <cellStyle name="Normal 27 4" xfId="8194" xr:uid="{00000000-0005-0000-0000-00001F200000}"/>
    <cellStyle name="Normal 27 5" xfId="8195" xr:uid="{00000000-0005-0000-0000-000020200000}"/>
    <cellStyle name="Normal 28" xfId="8196" xr:uid="{00000000-0005-0000-0000-000021200000}"/>
    <cellStyle name="Normal 28 2" xfId="8197" xr:uid="{00000000-0005-0000-0000-000022200000}"/>
    <cellStyle name="Normal 28 2 2" xfId="8198" xr:uid="{00000000-0005-0000-0000-000023200000}"/>
    <cellStyle name="Normal 28 2 3" xfId="8199" xr:uid="{00000000-0005-0000-0000-000024200000}"/>
    <cellStyle name="Normal 28 3" xfId="8200" xr:uid="{00000000-0005-0000-0000-000025200000}"/>
    <cellStyle name="Normal 28 3 2" xfId="8201" xr:uid="{00000000-0005-0000-0000-000026200000}"/>
    <cellStyle name="Normal 28 4" xfId="8202" xr:uid="{00000000-0005-0000-0000-000027200000}"/>
    <cellStyle name="Normal 28 5" xfId="8203" xr:uid="{00000000-0005-0000-0000-000028200000}"/>
    <cellStyle name="Normal 29" xfId="8204" xr:uid="{00000000-0005-0000-0000-000029200000}"/>
    <cellStyle name="Normal 29 2" xfId="8205" xr:uid="{00000000-0005-0000-0000-00002A200000}"/>
    <cellStyle name="Normal 29 2 2" xfId="8206" xr:uid="{00000000-0005-0000-0000-00002B200000}"/>
    <cellStyle name="Normal 29 2 3" xfId="8207" xr:uid="{00000000-0005-0000-0000-00002C200000}"/>
    <cellStyle name="Normal 29 3" xfId="8208" xr:uid="{00000000-0005-0000-0000-00002D200000}"/>
    <cellStyle name="Normal 29 3 2" xfId="8209" xr:uid="{00000000-0005-0000-0000-00002E200000}"/>
    <cellStyle name="Normal 29 4" xfId="8210" xr:uid="{00000000-0005-0000-0000-00002F200000}"/>
    <cellStyle name="Normal 29 5" xfId="8211" xr:uid="{00000000-0005-0000-0000-000030200000}"/>
    <cellStyle name="Normal 3" xfId="8212" xr:uid="{00000000-0005-0000-0000-000031200000}"/>
    <cellStyle name="Normal 3 10" xfId="8213" xr:uid="{00000000-0005-0000-0000-000032200000}"/>
    <cellStyle name="Normal 3 11" xfId="9515" xr:uid="{00000000-0005-0000-0000-000033200000}"/>
    <cellStyle name="Normal 3 2" xfId="8214" xr:uid="{00000000-0005-0000-0000-000034200000}"/>
    <cellStyle name="Normal 3 2 2" xfId="8215" xr:uid="{00000000-0005-0000-0000-000035200000}"/>
    <cellStyle name="Normal 3 2 2 2" xfId="8216" xr:uid="{00000000-0005-0000-0000-000036200000}"/>
    <cellStyle name="Normal 3 2 3" xfId="8217" xr:uid="{00000000-0005-0000-0000-000037200000}"/>
    <cellStyle name="Normal 3 2 4" xfId="8218" xr:uid="{00000000-0005-0000-0000-000038200000}"/>
    <cellStyle name="Normal 3 2 5" xfId="8219" xr:uid="{00000000-0005-0000-0000-000039200000}"/>
    <cellStyle name="Normal 3 2 6" xfId="8220" xr:uid="{00000000-0005-0000-0000-00003A200000}"/>
    <cellStyle name="Normal 3 2 7" xfId="9529" xr:uid="{00000000-0005-0000-0000-00003B200000}"/>
    <cellStyle name="Normal 3 2_Chelan PUD Power Costs (8-10)" xfId="8221" xr:uid="{00000000-0005-0000-0000-00003C200000}"/>
    <cellStyle name="Normal 3 3" xfId="8222" xr:uid="{00000000-0005-0000-0000-00003D200000}"/>
    <cellStyle name="Normal 3 3 2" xfId="8223" xr:uid="{00000000-0005-0000-0000-00003E200000}"/>
    <cellStyle name="Normal 3 3 2 2" xfId="8224" xr:uid="{00000000-0005-0000-0000-00003F200000}"/>
    <cellStyle name="Normal 3 3 2 3" xfId="8225" xr:uid="{00000000-0005-0000-0000-000040200000}"/>
    <cellStyle name="Normal 3 3 3" xfId="8226" xr:uid="{00000000-0005-0000-0000-000041200000}"/>
    <cellStyle name="Normal 3 3 4" xfId="8227" xr:uid="{00000000-0005-0000-0000-000042200000}"/>
    <cellStyle name="Normal 3 3 5" xfId="8228" xr:uid="{00000000-0005-0000-0000-000043200000}"/>
    <cellStyle name="Normal 3 3 6" xfId="8229" xr:uid="{00000000-0005-0000-0000-000044200000}"/>
    <cellStyle name="Normal 3 4" xfId="8230" xr:uid="{00000000-0005-0000-0000-000045200000}"/>
    <cellStyle name="Normal 3 4 2" xfId="8231" xr:uid="{00000000-0005-0000-0000-000046200000}"/>
    <cellStyle name="Normal 3 4 2 2" xfId="8232" xr:uid="{00000000-0005-0000-0000-000047200000}"/>
    <cellStyle name="Normal 3 4 3" xfId="8233" xr:uid="{00000000-0005-0000-0000-000048200000}"/>
    <cellStyle name="Normal 3 4 3 2" xfId="8234" xr:uid="{00000000-0005-0000-0000-000049200000}"/>
    <cellStyle name="Normal 3 4 4" xfId="8235" xr:uid="{00000000-0005-0000-0000-00004A200000}"/>
    <cellStyle name="Normal 3 4 4 2" xfId="8236" xr:uid="{00000000-0005-0000-0000-00004B200000}"/>
    <cellStyle name="Normal 3 4 5" xfId="8237" xr:uid="{00000000-0005-0000-0000-00004C200000}"/>
    <cellStyle name="Normal 3 5" xfId="8238" xr:uid="{00000000-0005-0000-0000-00004D200000}"/>
    <cellStyle name="Normal 3 5 2" xfId="8239" xr:uid="{00000000-0005-0000-0000-00004E200000}"/>
    <cellStyle name="Normal 3 6" xfId="8240" xr:uid="{00000000-0005-0000-0000-00004F200000}"/>
    <cellStyle name="Normal 3 6 2" xfId="8241" xr:uid="{00000000-0005-0000-0000-000050200000}"/>
    <cellStyle name="Normal 3 7" xfId="8242" xr:uid="{00000000-0005-0000-0000-000051200000}"/>
    <cellStyle name="Normal 3 8" xfId="8243" xr:uid="{00000000-0005-0000-0000-000052200000}"/>
    <cellStyle name="Normal 3 9" xfId="8244" xr:uid="{00000000-0005-0000-0000-000053200000}"/>
    <cellStyle name="Normal 3_ Price Inputs" xfId="8245" xr:uid="{00000000-0005-0000-0000-000054200000}"/>
    <cellStyle name="Normal 30" xfId="8246" xr:uid="{00000000-0005-0000-0000-000055200000}"/>
    <cellStyle name="Normal 30 2" xfId="8247" xr:uid="{00000000-0005-0000-0000-000056200000}"/>
    <cellStyle name="Normal 30 2 2" xfId="8248" xr:uid="{00000000-0005-0000-0000-000057200000}"/>
    <cellStyle name="Normal 30 2 3" xfId="8249" xr:uid="{00000000-0005-0000-0000-000058200000}"/>
    <cellStyle name="Normal 30 3" xfId="8250" xr:uid="{00000000-0005-0000-0000-000059200000}"/>
    <cellStyle name="Normal 30 3 2" xfId="8251" xr:uid="{00000000-0005-0000-0000-00005A200000}"/>
    <cellStyle name="Normal 30 4" xfId="8252" xr:uid="{00000000-0005-0000-0000-00005B200000}"/>
    <cellStyle name="Normal 30 5" xfId="8253" xr:uid="{00000000-0005-0000-0000-00005C200000}"/>
    <cellStyle name="Normal 31" xfId="8254" xr:uid="{00000000-0005-0000-0000-00005D200000}"/>
    <cellStyle name="Normal 31 2" xfId="8255" xr:uid="{00000000-0005-0000-0000-00005E200000}"/>
    <cellStyle name="Normal 31 2 2" xfId="8256" xr:uid="{00000000-0005-0000-0000-00005F200000}"/>
    <cellStyle name="Normal 31 2 3" xfId="8257" xr:uid="{00000000-0005-0000-0000-000060200000}"/>
    <cellStyle name="Normal 31 3" xfId="8258" xr:uid="{00000000-0005-0000-0000-000061200000}"/>
    <cellStyle name="Normal 31 3 2" xfId="8259" xr:uid="{00000000-0005-0000-0000-000062200000}"/>
    <cellStyle name="Normal 31 4" xfId="8260" xr:uid="{00000000-0005-0000-0000-000063200000}"/>
    <cellStyle name="Normal 31 5" xfId="8261" xr:uid="{00000000-0005-0000-0000-000064200000}"/>
    <cellStyle name="Normal 32" xfId="8262" xr:uid="{00000000-0005-0000-0000-000065200000}"/>
    <cellStyle name="Normal 32 2" xfId="8263" xr:uid="{00000000-0005-0000-0000-000066200000}"/>
    <cellStyle name="Normal 32 2 2" xfId="8264" xr:uid="{00000000-0005-0000-0000-000067200000}"/>
    <cellStyle name="Normal 32 2 3" xfId="8265" xr:uid="{00000000-0005-0000-0000-000068200000}"/>
    <cellStyle name="Normal 32 3" xfId="8266" xr:uid="{00000000-0005-0000-0000-000069200000}"/>
    <cellStyle name="Normal 32 3 2" xfId="8267" xr:uid="{00000000-0005-0000-0000-00006A200000}"/>
    <cellStyle name="Normal 32 4" xfId="8268" xr:uid="{00000000-0005-0000-0000-00006B200000}"/>
    <cellStyle name="Normal 32 5" xfId="8269" xr:uid="{00000000-0005-0000-0000-00006C200000}"/>
    <cellStyle name="Normal 33" xfId="8270" xr:uid="{00000000-0005-0000-0000-00006D200000}"/>
    <cellStyle name="Normal 33 2" xfId="8271" xr:uid="{00000000-0005-0000-0000-00006E200000}"/>
    <cellStyle name="Normal 33 2 2" xfId="8272" xr:uid="{00000000-0005-0000-0000-00006F200000}"/>
    <cellStyle name="Normal 33 2 3" xfId="8273" xr:uid="{00000000-0005-0000-0000-000070200000}"/>
    <cellStyle name="Normal 33 3" xfId="8274" xr:uid="{00000000-0005-0000-0000-000071200000}"/>
    <cellStyle name="Normal 33 3 2" xfId="8275" xr:uid="{00000000-0005-0000-0000-000072200000}"/>
    <cellStyle name="Normal 33 4" xfId="8276" xr:uid="{00000000-0005-0000-0000-000073200000}"/>
    <cellStyle name="Normal 33 5" xfId="8277" xr:uid="{00000000-0005-0000-0000-000074200000}"/>
    <cellStyle name="Normal 34" xfId="8278" xr:uid="{00000000-0005-0000-0000-000075200000}"/>
    <cellStyle name="Normal 34 2" xfId="8279" xr:uid="{00000000-0005-0000-0000-000076200000}"/>
    <cellStyle name="Normal 34 2 2" xfId="8280" xr:uid="{00000000-0005-0000-0000-000077200000}"/>
    <cellStyle name="Normal 34 2 3" xfId="8281" xr:uid="{00000000-0005-0000-0000-000078200000}"/>
    <cellStyle name="Normal 34 3" xfId="8282" xr:uid="{00000000-0005-0000-0000-000079200000}"/>
    <cellStyle name="Normal 34 3 2" xfId="8283" xr:uid="{00000000-0005-0000-0000-00007A200000}"/>
    <cellStyle name="Normal 34 4" xfId="8284" xr:uid="{00000000-0005-0000-0000-00007B200000}"/>
    <cellStyle name="Normal 34 5" xfId="8285" xr:uid="{00000000-0005-0000-0000-00007C200000}"/>
    <cellStyle name="Normal 35" xfId="8286" xr:uid="{00000000-0005-0000-0000-00007D200000}"/>
    <cellStyle name="Normal 35 2" xfId="8287" xr:uid="{00000000-0005-0000-0000-00007E200000}"/>
    <cellStyle name="Normal 35 2 2" xfId="8288" xr:uid="{00000000-0005-0000-0000-00007F200000}"/>
    <cellStyle name="Normal 35 2 3" xfId="8289" xr:uid="{00000000-0005-0000-0000-000080200000}"/>
    <cellStyle name="Normal 35 3" xfId="8290" xr:uid="{00000000-0005-0000-0000-000081200000}"/>
    <cellStyle name="Normal 35 3 2" xfId="8291" xr:uid="{00000000-0005-0000-0000-000082200000}"/>
    <cellStyle name="Normal 35 4" xfId="8292" xr:uid="{00000000-0005-0000-0000-000083200000}"/>
    <cellStyle name="Normal 35 5" xfId="8293" xr:uid="{00000000-0005-0000-0000-000084200000}"/>
    <cellStyle name="Normal 36" xfId="8294" xr:uid="{00000000-0005-0000-0000-000085200000}"/>
    <cellStyle name="Normal 36 2" xfId="8295" xr:uid="{00000000-0005-0000-0000-000086200000}"/>
    <cellStyle name="Normal 36 2 2" xfId="8296" xr:uid="{00000000-0005-0000-0000-000087200000}"/>
    <cellStyle name="Normal 36 2 3" xfId="8297" xr:uid="{00000000-0005-0000-0000-000088200000}"/>
    <cellStyle name="Normal 36 3" xfId="8298" xr:uid="{00000000-0005-0000-0000-000089200000}"/>
    <cellStyle name="Normal 36 3 2" xfId="8299" xr:uid="{00000000-0005-0000-0000-00008A200000}"/>
    <cellStyle name="Normal 36 4" xfId="8300" xr:uid="{00000000-0005-0000-0000-00008B200000}"/>
    <cellStyle name="Normal 36 5" xfId="8301" xr:uid="{00000000-0005-0000-0000-00008C200000}"/>
    <cellStyle name="Normal 37" xfId="8302" xr:uid="{00000000-0005-0000-0000-00008D200000}"/>
    <cellStyle name="Normal 37 2" xfId="8303" xr:uid="{00000000-0005-0000-0000-00008E200000}"/>
    <cellStyle name="Normal 37 2 2" xfId="8304" xr:uid="{00000000-0005-0000-0000-00008F200000}"/>
    <cellStyle name="Normal 37 2 3" xfId="8305" xr:uid="{00000000-0005-0000-0000-000090200000}"/>
    <cellStyle name="Normal 37 3" xfId="8306" xr:uid="{00000000-0005-0000-0000-000091200000}"/>
    <cellStyle name="Normal 37 3 2" xfId="8307" xr:uid="{00000000-0005-0000-0000-000092200000}"/>
    <cellStyle name="Normal 37 4" xfId="8308" xr:uid="{00000000-0005-0000-0000-000093200000}"/>
    <cellStyle name="Normal 37 5" xfId="8309" xr:uid="{00000000-0005-0000-0000-000094200000}"/>
    <cellStyle name="Normal 38" xfId="8310" xr:uid="{00000000-0005-0000-0000-000095200000}"/>
    <cellStyle name="Normal 38 2" xfId="8311" xr:uid="{00000000-0005-0000-0000-000096200000}"/>
    <cellStyle name="Normal 38 2 2" xfId="8312" xr:uid="{00000000-0005-0000-0000-000097200000}"/>
    <cellStyle name="Normal 38 2 3" xfId="8313" xr:uid="{00000000-0005-0000-0000-000098200000}"/>
    <cellStyle name="Normal 38 3" xfId="8314" xr:uid="{00000000-0005-0000-0000-000099200000}"/>
    <cellStyle name="Normal 38 3 2" xfId="8315" xr:uid="{00000000-0005-0000-0000-00009A200000}"/>
    <cellStyle name="Normal 38 4" xfId="8316" xr:uid="{00000000-0005-0000-0000-00009B200000}"/>
    <cellStyle name="Normal 38 5" xfId="8317" xr:uid="{00000000-0005-0000-0000-00009C200000}"/>
    <cellStyle name="Normal 39" xfId="8318" xr:uid="{00000000-0005-0000-0000-00009D200000}"/>
    <cellStyle name="Normal 39 2" xfId="8319" xr:uid="{00000000-0005-0000-0000-00009E200000}"/>
    <cellStyle name="Normal 39 2 2" xfId="8320" xr:uid="{00000000-0005-0000-0000-00009F200000}"/>
    <cellStyle name="Normal 39 2 3" xfId="8321" xr:uid="{00000000-0005-0000-0000-0000A0200000}"/>
    <cellStyle name="Normal 39 3" xfId="8322" xr:uid="{00000000-0005-0000-0000-0000A1200000}"/>
    <cellStyle name="Normal 39 3 2" xfId="8323" xr:uid="{00000000-0005-0000-0000-0000A2200000}"/>
    <cellStyle name="Normal 39 4" xfId="8324" xr:uid="{00000000-0005-0000-0000-0000A3200000}"/>
    <cellStyle name="Normal 39 5" xfId="8325" xr:uid="{00000000-0005-0000-0000-0000A4200000}"/>
    <cellStyle name="Normal 4" xfId="8326" xr:uid="{00000000-0005-0000-0000-0000A5200000}"/>
    <cellStyle name="Normal 4 2" xfId="8327" xr:uid="{00000000-0005-0000-0000-0000A6200000}"/>
    <cellStyle name="Normal 4 2 2" xfId="8328" xr:uid="{00000000-0005-0000-0000-0000A7200000}"/>
    <cellStyle name="Normal 4 2 2 2" xfId="8329" xr:uid="{00000000-0005-0000-0000-0000A8200000}"/>
    <cellStyle name="Normal 4 2 2 3" xfId="8330" xr:uid="{00000000-0005-0000-0000-0000A9200000}"/>
    <cellStyle name="Normal 4 2 3" xfId="8331" xr:uid="{00000000-0005-0000-0000-0000AA200000}"/>
    <cellStyle name="Normal 4 2 3 2" xfId="8332" xr:uid="{00000000-0005-0000-0000-0000AB200000}"/>
    <cellStyle name="Normal 4 2 4" xfId="8333" xr:uid="{00000000-0005-0000-0000-0000AC200000}"/>
    <cellStyle name="Normal 4 2 5" xfId="8334" xr:uid="{00000000-0005-0000-0000-0000AD200000}"/>
    <cellStyle name="Normal 4 2 6" xfId="8335" xr:uid="{00000000-0005-0000-0000-0000AE200000}"/>
    <cellStyle name="Normal 4 3" xfId="8336" xr:uid="{00000000-0005-0000-0000-0000AF200000}"/>
    <cellStyle name="Normal 4 3 2" xfId="8337" xr:uid="{00000000-0005-0000-0000-0000B0200000}"/>
    <cellStyle name="Normal 4 4" xfId="8338" xr:uid="{00000000-0005-0000-0000-0000B1200000}"/>
    <cellStyle name="Normal 4 4 2" xfId="8339" xr:uid="{00000000-0005-0000-0000-0000B2200000}"/>
    <cellStyle name="Normal 4 5" xfId="8340" xr:uid="{00000000-0005-0000-0000-0000B3200000}"/>
    <cellStyle name="Normal 4 5 2" xfId="8341" xr:uid="{00000000-0005-0000-0000-0000B4200000}"/>
    <cellStyle name="Normal 4 6" xfId="8342" xr:uid="{00000000-0005-0000-0000-0000B5200000}"/>
    <cellStyle name="Normal 4 7" xfId="8343" xr:uid="{00000000-0005-0000-0000-0000B6200000}"/>
    <cellStyle name="Normal 4 8" xfId="9534" xr:uid="{00000000-0005-0000-0000-0000B7200000}"/>
    <cellStyle name="Normal 4_ Price Inputs" xfId="8344" xr:uid="{00000000-0005-0000-0000-0000B8200000}"/>
    <cellStyle name="Normal 40" xfId="8345" xr:uid="{00000000-0005-0000-0000-0000B9200000}"/>
    <cellStyle name="Normal 40 2" xfId="8346" xr:uid="{00000000-0005-0000-0000-0000BA200000}"/>
    <cellStyle name="Normal 41" xfId="8347" xr:uid="{00000000-0005-0000-0000-0000BB200000}"/>
    <cellStyle name="Normal 41 2" xfId="8348" xr:uid="{00000000-0005-0000-0000-0000BC200000}"/>
    <cellStyle name="Normal 41 2 2" xfId="8349" xr:uid="{00000000-0005-0000-0000-0000BD200000}"/>
    <cellStyle name="Normal 41 3" xfId="8350" xr:uid="{00000000-0005-0000-0000-0000BE200000}"/>
    <cellStyle name="Normal 41 3 2" xfId="8351" xr:uid="{00000000-0005-0000-0000-0000BF200000}"/>
    <cellStyle name="Normal 41 4" xfId="8352" xr:uid="{00000000-0005-0000-0000-0000C0200000}"/>
    <cellStyle name="Normal 41 4 2" xfId="8353" xr:uid="{00000000-0005-0000-0000-0000C1200000}"/>
    <cellStyle name="Normal 42" xfId="8354" xr:uid="{00000000-0005-0000-0000-0000C2200000}"/>
    <cellStyle name="Normal 42 2" xfId="8355" xr:uid="{00000000-0005-0000-0000-0000C3200000}"/>
    <cellStyle name="Normal 42 2 2" xfId="8356" xr:uid="{00000000-0005-0000-0000-0000C4200000}"/>
    <cellStyle name="Normal 42 2 2 2" xfId="8357" xr:uid="{00000000-0005-0000-0000-0000C5200000}"/>
    <cellStyle name="Normal 42 2 3" xfId="8358" xr:uid="{00000000-0005-0000-0000-0000C6200000}"/>
    <cellStyle name="Normal 42 3" xfId="8359" xr:uid="{00000000-0005-0000-0000-0000C7200000}"/>
    <cellStyle name="Normal 42 3 2" xfId="8360" xr:uid="{00000000-0005-0000-0000-0000C8200000}"/>
    <cellStyle name="Normal 42 4" xfId="8361" xr:uid="{00000000-0005-0000-0000-0000C9200000}"/>
    <cellStyle name="Normal 42 4 2" xfId="8362" xr:uid="{00000000-0005-0000-0000-0000CA200000}"/>
    <cellStyle name="Normal 42 5" xfId="8363" xr:uid="{00000000-0005-0000-0000-0000CB200000}"/>
    <cellStyle name="Normal 42 5 2" xfId="8364" xr:uid="{00000000-0005-0000-0000-0000CC200000}"/>
    <cellStyle name="Normal 43" xfId="8365" xr:uid="{00000000-0005-0000-0000-0000CD200000}"/>
    <cellStyle name="Normal 43 2" xfId="8366" xr:uid="{00000000-0005-0000-0000-0000CE200000}"/>
    <cellStyle name="Normal 43 3" xfId="8367" xr:uid="{00000000-0005-0000-0000-0000CF200000}"/>
    <cellStyle name="Normal 43 3 2" xfId="8368" xr:uid="{00000000-0005-0000-0000-0000D0200000}"/>
    <cellStyle name="Normal 44" xfId="8369" xr:uid="{00000000-0005-0000-0000-0000D1200000}"/>
    <cellStyle name="Normal 44 2" xfId="8370" xr:uid="{00000000-0005-0000-0000-0000D2200000}"/>
    <cellStyle name="Normal 44 2 2" xfId="8371" xr:uid="{00000000-0005-0000-0000-0000D3200000}"/>
    <cellStyle name="Normal 44 2 2 2" xfId="8372" xr:uid="{00000000-0005-0000-0000-0000D4200000}"/>
    <cellStyle name="Normal 44 2 3" xfId="8373" xr:uid="{00000000-0005-0000-0000-0000D5200000}"/>
    <cellStyle name="Normal 44 2 4" xfId="8374" xr:uid="{00000000-0005-0000-0000-0000D6200000}"/>
    <cellStyle name="Normal 44 3" xfId="8375" xr:uid="{00000000-0005-0000-0000-0000D7200000}"/>
    <cellStyle name="Normal 44 3 2" xfId="8376" xr:uid="{00000000-0005-0000-0000-0000D8200000}"/>
    <cellStyle name="Normal 44 3 3" xfId="8377" xr:uid="{00000000-0005-0000-0000-0000D9200000}"/>
    <cellStyle name="Normal 44 4" xfId="8378" xr:uid="{00000000-0005-0000-0000-0000DA200000}"/>
    <cellStyle name="Normal 44 4 2" xfId="8379" xr:uid="{00000000-0005-0000-0000-0000DB200000}"/>
    <cellStyle name="Normal 44 5" xfId="8380" xr:uid="{00000000-0005-0000-0000-0000DC200000}"/>
    <cellStyle name="Normal 44 5 2" xfId="8381" xr:uid="{00000000-0005-0000-0000-0000DD200000}"/>
    <cellStyle name="Normal 44 6" xfId="8382" xr:uid="{00000000-0005-0000-0000-0000DE200000}"/>
    <cellStyle name="Normal 44 7" xfId="8383" xr:uid="{00000000-0005-0000-0000-0000DF200000}"/>
    <cellStyle name="Normal 45" xfId="8384" xr:uid="{00000000-0005-0000-0000-0000E0200000}"/>
    <cellStyle name="Normal 45 2" xfId="8385" xr:uid="{00000000-0005-0000-0000-0000E1200000}"/>
    <cellStyle name="Normal 45 2 2" xfId="8386" xr:uid="{00000000-0005-0000-0000-0000E2200000}"/>
    <cellStyle name="Normal 45 3" xfId="8387" xr:uid="{00000000-0005-0000-0000-0000E3200000}"/>
    <cellStyle name="Normal 45 4" xfId="8388" xr:uid="{00000000-0005-0000-0000-0000E4200000}"/>
    <cellStyle name="Normal 45 5" xfId="8389" xr:uid="{00000000-0005-0000-0000-0000E5200000}"/>
    <cellStyle name="Normal 45 6" xfId="8390" xr:uid="{00000000-0005-0000-0000-0000E6200000}"/>
    <cellStyle name="Normal 46" xfId="8391" xr:uid="{00000000-0005-0000-0000-0000E7200000}"/>
    <cellStyle name="Normal 46 2" xfId="8392" xr:uid="{00000000-0005-0000-0000-0000E8200000}"/>
    <cellStyle name="Normal 46 2 2" xfId="8393" xr:uid="{00000000-0005-0000-0000-0000E9200000}"/>
    <cellStyle name="Normal 46 2 3" xfId="8394" xr:uid="{00000000-0005-0000-0000-0000EA200000}"/>
    <cellStyle name="Normal 46 3" xfId="8395" xr:uid="{00000000-0005-0000-0000-0000EB200000}"/>
    <cellStyle name="Normal 46 4" xfId="8396" xr:uid="{00000000-0005-0000-0000-0000EC200000}"/>
    <cellStyle name="Normal 46 5" xfId="8397" xr:uid="{00000000-0005-0000-0000-0000ED200000}"/>
    <cellStyle name="Normal 46 6" xfId="8398" xr:uid="{00000000-0005-0000-0000-0000EE200000}"/>
    <cellStyle name="Normal 47" xfId="8399" xr:uid="{00000000-0005-0000-0000-0000EF200000}"/>
    <cellStyle name="Normal 47 2" xfId="8400" xr:uid="{00000000-0005-0000-0000-0000F0200000}"/>
    <cellStyle name="Normal 47 2 2" xfId="8401" xr:uid="{00000000-0005-0000-0000-0000F1200000}"/>
    <cellStyle name="Normal 47 3" xfId="8402" xr:uid="{00000000-0005-0000-0000-0000F2200000}"/>
    <cellStyle name="Normal 47 3 2" xfId="8403" xr:uid="{00000000-0005-0000-0000-0000F3200000}"/>
    <cellStyle name="Normal 47 4" xfId="8404" xr:uid="{00000000-0005-0000-0000-0000F4200000}"/>
    <cellStyle name="Normal 47 4 2" xfId="8405" xr:uid="{00000000-0005-0000-0000-0000F5200000}"/>
    <cellStyle name="Normal 47 5" xfId="8406" xr:uid="{00000000-0005-0000-0000-0000F6200000}"/>
    <cellStyle name="Normal 48" xfId="8407" xr:uid="{00000000-0005-0000-0000-0000F7200000}"/>
    <cellStyle name="Normal 48 2" xfId="8408" xr:uid="{00000000-0005-0000-0000-0000F8200000}"/>
    <cellStyle name="Normal 48 2 2" xfId="8409" xr:uid="{00000000-0005-0000-0000-0000F9200000}"/>
    <cellStyle name="Normal 48 3" xfId="8410" xr:uid="{00000000-0005-0000-0000-0000FA200000}"/>
    <cellStyle name="Normal 48 3 2" xfId="8411" xr:uid="{00000000-0005-0000-0000-0000FB200000}"/>
    <cellStyle name="Normal 48 4" xfId="8412" xr:uid="{00000000-0005-0000-0000-0000FC200000}"/>
    <cellStyle name="Normal 48 4 2" xfId="8413" xr:uid="{00000000-0005-0000-0000-0000FD200000}"/>
    <cellStyle name="Normal 49" xfId="8414" xr:uid="{00000000-0005-0000-0000-0000FE200000}"/>
    <cellStyle name="Normal 49 2" xfId="8415" xr:uid="{00000000-0005-0000-0000-0000FF200000}"/>
    <cellStyle name="Normal 49 2 2" xfId="8416" xr:uid="{00000000-0005-0000-0000-000000210000}"/>
    <cellStyle name="Normal 49 3" xfId="8417" xr:uid="{00000000-0005-0000-0000-000001210000}"/>
    <cellStyle name="Normal 49 3 2" xfId="8418" xr:uid="{00000000-0005-0000-0000-000002210000}"/>
    <cellStyle name="Normal 49 4" xfId="8419" xr:uid="{00000000-0005-0000-0000-000003210000}"/>
    <cellStyle name="Normal 49 4 2" xfId="8420" xr:uid="{00000000-0005-0000-0000-000004210000}"/>
    <cellStyle name="Normal 5" xfId="8421" xr:uid="{00000000-0005-0000-0000-000005210000}"/>
    <cellStyle name="Normal 5 2" xfId="8422" xr:uid="{00000000-0005-0000-0000-000006210000}"/>
    <cellStyle name="Normal 5 2 2" xfId="8423" xr:uid="{00000000-0005-0000-0000-000007210000}"/>
    <cellStyle name="Normal 5 2 3" xfId="8424" xr:uid="{00000000-0005-0000-0000-000008210000}"/>
    <cellStyle name="Normal 5 2 4" xfId="9527" xr:uid="{00000000-0005-0000-0000-000009210000}"/>
    <cellStyle name="Normal 5 3" xfId="8425" xr:uid="{00000000-0005-0000-0000-00000A210000}"/>
    <cellStyle name="Normal 5 3 2" xfId="8426" xr:uid="{00000000-0005-0000-0000-00000B210000}"/>
    <cellStyle name="Normal 5 4" xfId="8427" xr:uid="{00000000-0005-0000-0000-00000C210000}"/>
    <cellStyle name="Normal 5 4 2" xfId="8428" xr:uid="{00000000-0005-0000-0000-00000D210000}"/>
    <cellStyle name="Normal 5 5" xfId="8429" xr:uid="{00000000-0005-0000-0000-00000E210000}"/>
    <cellStyle name="Normal 5 5 2" xfId="8430" xr:uid="{00000000-0005-0000-0000-00000F210000}"/>
    <cellStyle name="Normal 5 6" xfId="8431" xr:uid="{00000000-0005-0000-0000-000010210000}"/>
    <cellStyle name="Normal 5 7" xfId="9528" xr:uid="{00000000-0005-0000-0000-000011210000}"/>
    <cellStyle name="Normal 5_2011 CBR Rev Calc by schedule" xfId="8432" xr:uid="{00000000-0005-0000-0000-000012210000}"/>
    <cellStyle name="Normal 50" xfId="8433" xr:uid="{00000000-0005-0000-0000-000013210000}"/>
    <cellStyle name="Normal 50 2" xfId="8434" xr:uid="{00000000-0005-0000-0000-000014210000}"/>
    <cellStyle name="Normal 50 2 2" xfId="8435" xr:uid="{00000000-0005-0000-0000-000015210000}"/>
    <cellStyle name="Normal 50 3" xfId="8436" xr:uid="{00000000-0005-0000-0000-000016210000}"/>
    <cellStyle name="Normal 50 3 2" xfId="8437" xr:uid="{00000000-0005-0000-0000-000017210000}"/>
    <cellStyle name="Normal 50 4" xfId="8438" xr:uid="{00000000-0005-0000-0000-000018210000}"/>
    <cellStyle name="Normal 50 4 2" xfId="8439" xr:uid="{00000000-0005-0000-0000-000019210000}"/>
    <cellStyle name="Normal 51" xfId="8440" xr:uid="{00000000-0005-0000-0000-00001A210000}"/>
    <cellStyle name="Normal 51 2" xfId="8441" xr:uid="{00000000-0005-0000-0000-00001B210000}"/>
    <cellStyle name="Normal 51 2 2" xfId="8442" xr:uid="{00000000-0005-0000-0000-00001C210000}"/>
    <cellStyle name="Normal 51 2 3" xfId="8443" xr:uid="{00000000-0005-0000-0000-00001D210000}"/>
    <cellStyle name="Normal 51 3" xfId="8444" xr:uid="{00000000-0005-0000-0000-00001E210000}"/>
    <cellStyle name="Normal 51 4" xfId="8445" xr:uid="{00000000-0005-0000-0000-00001F210000}"/>
    <cellStyle name="Normal 51 5" xfId="8446" xr:uid="{00000000-0005-0000-0000-000020210000}"/>
    <cellStyle name="Normal 51 6" xfId="8447" xr:uid="{00000000-0005-0000-0000-000021210000}"/>
    <cellStyle name="Normal 52" xfId="8448" xr:uid="{00000000-0005-0000-0000-000022210000}"/>
    <cellStyle name="Normal 53" xfId="8449" xr:uid="{00000000-0005-0000-0000-000023210000}"/>
    <cellStyle name="Normal 53 2" xfId="8450" xr:uid="{00000000-0005-0000-0000-000024210000}"/>
    <cellStyle name="Normal 53 3" xfId="8451" xr:uid="{00000000-0005-0000-0000-000025210000}"/>
    <cellStyle name="Normal 53 3 2" xfId="8452" xr:uid="{00000000-0005-0000-0000-000026210000}"/>
    <cellStyle name="Normal 53 4" xfId="8453" xr:uid="{00000000-0005-0000-0000-000027210000}"/>
    <cellStyle name="Normal 54" xfId="8454" xr:uid="{00000000-0005-0000-0000-000028210000}"/>
    <cellStyle name="Normal 54 2" xfId="8455" xr:uid="{00000000-0005-0000-0000-000029210000}"/>
    <cellStyle name="Normal 54 3" xfId="8456" xr:uid="{00000000-0005-0000-0000-00002A210000}"/>
    <cellStyle name="Normal 54 3 2" xfId="8457" xr:uid="{00000000-0005-0000-0000-00002B210000}"/>
    <cellStyle name="Normal 54 4" xfId="8458" xr:uid="{00000000-0005-0000-0000-00002C210000}"/>
    <cellStyle name="Normal 55" xfId="8459" xr:uid="{00000000-0005-0000-0000-00002D210000}"/>
    <cellStyle name="Normal 55 2" xfId="8460" xr:uid="{00000000-0005-0000-0000-00002E210000}"/>
    <cellStyle name="Normal 55 2 2" xfId="8461" xr:uid="{00000000-0005-0000-0000-00002F210000}"/>
    <cellStyle name="Normal 55 3" xfId="8462" xr:uid="{00000000-0005-0000-0000-000030210000}"/>
    <cellStyle name="Normal 56" xfId="8463" xr:uid="{00000000-0005-0000-0000-000031210000}"/>
    <cellStyle name="Normal 56 2" xfId="8464" xr:uid="{00000000-0005-0000-0000-000032210000}"/>
    <cellStyle name="Normal 56 2 2" xfId="8465" xr:uid="{00000000-0005-0000-0000-000033210000}"/>
    <cellStyle name="Normal 56 3" xfId="8466" xr:uid="{00000000-0005-0000-0000-000034210000}"/>
    <cellStyle name="Normal 57" xfId="8467" xr:uid="{00000000-0005-0000-0000-000035210000}"/>
    <cellStyle name="Normal 57 2" xfId="8468" xr:uid="{00000000-0005-0000-0000-000036210000}"/>
    <cellStyle name="Normal 58" xfId="8469" xr:uid="{00000000-0005-0000-0000-000037210000}"/>
    <cellStyle name="Normal 58 2" xfId="8470" xr:uid="{00000000-0005-0000-0000-000038210000}"/>
    <cellStyle name="Normal 59" xfId="8471" xr:uid="{00000000-0005-0000-0000-000039210000}"/>
    <cellStyle name="Normal 59 2" xfId="8472" xr:uid="{00000000-0005-0000-0000-00003A210000}"/>
    <cellStyle name="Normal 6" xfId="8473" xr:uid="{00000000-0005-0000-0000-00003B210000}"/>
    <cellStyle name="Normal 6 2" xfId="8474" xr:uid="{00000000-0005-0000-0000-00003C210000}"/>
    <cellStyle name="Normal 6 2 2" xfId="8475" xr:uid="{00000000-0005-0000-0000-00003D210000}"/>
    <cellStyle name="Normal 6 2 2 2" xfId="8476" xr:uid="{00000000-0005-0000-0000-00003E210000}"/>
    <cellStyle name="Normal 6 2 3" xfId="8477" xr:uid="{00000000-0005-0000-0000-00003F210000}"/>
    <cellStyle name="Normal 6 2 4" xfId="8478" xr:uid="{00000000-0005-0000-0000-000040210000}"/>
    <cellStyle name="Normal 6 3" xfId="8479" xr:uid="{00000000-0005-0000-0000-000041210000}"/>
    <cellStyle name="Normal 6 3 2" xfId="8480" xr:uid="{00000000-0005-0000-0000-000042210000}"/>
    <cellStyle name="Normal 6 4" xfId="8481" xr:uid="{00000000-0005-0000-0000-000043210000}"/>
    <cellStyle name="Normal 6 5" xfId="8482" xr:uid="{00000000-0005-0000-0000-000044210000}"/>
    <cellStyle name="Normal 6 5 2" xfId="8483" xr:uid="{00000000-0005-0000-0000-000045210000}"/>
    <cellStyle name="Normal 6 6" xfId="8484" xr:uid="{00000000-0005-0000-0000-000046210000}"/>
    <cellStyle name="Normal 6 7" xfId="9519" xr:uid="{00000000-0005-0000-0000-000047210000}"/>
    <cellStyle name="Normal 6_Scenario 1 REC vs PTC Offset" xfId="8485" xr:uid="{00000000-0005-0000-0000-000048210000}"/>
    <cellStyle name="Normal 60" xfId="8486" xr:uid="{00000000-0005-0000-0000-000049210000}"/>
    <cellStyle name="Normal 60 2" xfId="8487" xr:uid="{00000000-0005-0000-0000-00004A210000}"/>
    <cellStyle name="Normal 61" xfId="8488" xr:uid="{00000000-0005-0000-0000-00004B210000}"/>
    <cellStyle name="Normal 61 2" xfId="8489" xr:uid="{00000000-0005-0000-0000-00004C210000}"/>
    <cellStyle name="Normal 62" xfId="8490" xr:uid="{00000000-0005-0000-0000-00004D210000}"/>
    <cellStyle name="Normal 62 2" xfId="8491" xr:uid="{00000000-0005-0000-0000-00004E210000}"/>
    <cellStyle name="Normal 63" xfId="8492" xr:uid="{00000000-0005-0000-0000-00004F210000}"/>
    <cellStyle name="Normal 63 2" xfId="8493" xr:uid="{00000000-0005-0000-0000-000050210000}"/>
    <cellStyle name="Normal 64" xfId="8494" xr:uid="{00000000-0005-0000-0000-000051210000}"/>
    <cellStyle name="Normal 64 2" xfId="8495" xr:uid="{00000000-0005-0000-0000-000052210000}"/>
    <cellStyle name="Normal 65" xfId="8496" xr:uid="{00000000-0005-0000-0000-000053210000}"/>
    <cellStyle name="Normal 65 2" xfId="8497" xr:uid="{00000000-0005-0000-0000-000054210000}"/>
    <cellStyle name="Normal 66" xfId="8498" xr:uid="{00000000-0005-0000-0000-000055210000}"/>
    <cellStyle name="Normal 66 2" xfId="8499" xr:uid="{00000000-0005-0000-0000-000056210000}"/>
    <cellStyle name="Normal 67" xfId="8500" xr:uid="{00000000-0005-0000-0000-000057210000}"/>
    <cellStyle name="Normal 67 2" xfId="8501" xr:uid="{00000000-0005-0000-0000-000058210000}"/>
    <cellStyle name="Normal 68" xfId="8502" xr:uid="{00000000-0005-0000-0000-000059210000}"/>
    <cellStyle name="Normal 68 2" xfId="8503" xr:uid="{00000000-0005-0000-0000-00005A210000}"/>
    <cellStyle name="Normal 69" xfId="8504" xr:uid="{00000000-0005-0000-0000-00005B210000}"/>
    <cellStyle name="Normal 69 2" xfId="8505" xr:uid="{00000000-0005-0000-0000-00005C210000}"/>
    <cellStyle name="Normal 7" xfId="8506" xr:uid="{00000000-0005-0000-0000-00005D210000}"/>
    <cellStyle name="Normal 7 2" xfId="8507" xr:uid="{00000000-0005-0000-0000-00005E210000}"/>
    <cellStyle name="Normal 7 2 2" xfId="8508" xr:uid="{00000000-0005-0000-0000-00005F210000}"/>
    <cellStyle name="Normal 7 2 2 2" xfId="8509" xr:uid="{00000000-0005-0000-0000-000060210000}"/>
    <cellStyle name="Normal 7 2 3" xfId="8510" xr:uid="{00000000-0005-0000-0000-000061210000}"/>
    <cellStyle name="Normal 7 3" xfId="8511" xr:uid="{00000000-0005-0000-0000-000062210000}"/>
    <cellStyle name="Normal 7 4" xfId="8512" xr:uid="{00000000-0005-0000-0000-000063210000}"/>
    <cellStyle name="Normal 7 4 2" xfId="8513" xr:uid="{00000000-0005-0000-0000-000064210000}"/>
    <cellStyle name="Normal 7 5" xfId="8514" xr:uid="{00000000-0005-0000-0000-000065210000}"/>
    <cellStyle name="Normal 70" xfId="8515" xr:uid="{00000000-0005-0000-0000-000066210000}"/>
    <cellStyle name="Normal 70 2" xfId="8516" xr:uid="{00000000-0005-0000-0000-000067210000}"/>
    <cellStyle name="Normal 71" xfId="8517" xr:uid="{00000000-0005-0000-0000-000068210000}"/>
    <cellStyle name="Normal 71 2" xfId="8518" xr:uid="{00000000-0005-0000-0000-000069210000}"/>
    <cellStyle name="Normal 72" xfId="8519" xr:uid="{00000000-0005-0000-0000-00006A210000}"/>
    <cellStyle name="Normal 72 2" xfId="8520" xr:uid="{00000000-0005-0000-0000-00006B210000}"/>
    <cellStyle name="Normal 73" xfId="8521" xr:uid="{00000000-0005-0000-0000-00006C210000}"/>
    <cellStyle name="Normal 73 2" xfId="8522" xr:uid="{00000000-0005-0000-0000-00006D210000}"/>
    <cellStyle name="Normal 74" xfId="8523" xr:uid="{00000000-0005-0000-0000-00006E210000}"/>
    <cellStyle name="Normal 75" xfId="8524" xr:uid="{00000000-0005-0000-0000-00006F210000}"/>
    <cellStyle name="Normal 76" xfId="8525" xr:uid="{00000000-0005-0000-0000-000070210000}"/>
    <cellStyle name="Normal 77" xfId="8526" xr:uid="{00000000-0005-0000-0000-000071210000}"/>
    <cellStyle name="Normal 78" xfId="8527" xr:uid="{00000000-0005-0000-0000-000072210000}"/>
    <cellStyle name="Normal 79" xfId="8528" xr:uid="{00000000-0005-0000-0000-000073210000}"/>
    <cellStyle name="Normal 8" xfId="8529" xr:uid="{00000000-0005-0000-0000-000074210000}"/>
    <cellStyle name="Normal 8 2" xfId="8530" xr:uid="{00000000-0005-0000-0000-000075210000}"/>
    <cellStyle name="Normal 8 2 2" xfId="8531" xr:uid="{00000000-0005-0000-0000-000076210000}"/>
    <cellStyle name="Normal 8 2 2 2" xfId="8532" xr:uid="{00000000-0005-0000-0000-000077210000}"/>
    <cellStyle name="Normal 8 2 3" xfId="8533" xr:uid="{00000000-0005-0000-0000-000078210000}"/>
    <cellStyle name="Normal 8 2 4" xfId="8534" xr:uid="{00000000-0005-0000-0000-000079210000}"/>
    <cellStyle name="Normal 8 3" xfId="8535" xr:uid="{00000000-0005-0000-0000-00007A210000}"/>
    <cellStyle name="Normal 8 4" xfId="8536" xr:uid="{00000000-0005-0000-0000-00007B210000}"/>
    <cellStyle name="Normal 8 4 2" xfId="8537" xr:uid="{00000000-0005-0000-0000-00007C210000}"/>
    <cellStyle name="Normal 8 5" xfId="8538" xr:uid="{00000000-0005-0000-0000-00007D210000}"/>
    <cellStyle name="Normal 8 6" xfId="8539" xr:uid="{00000000-0005-0000-0000-00007E210000}"/>
    <cellStyle name="Normal 8 7" xfId="9526" xr:uid="{00000000-0005-0000-0000-00007F210000}"/>
    <cellStyle name="Normal 80" xfId="8540" xr:uid="{00000000-0005-0000-0000-000080210000}"/>
    <cellStyle name="Normal 81" xfId="8541" xr:uid="{00000000-0005-0000-0000-000081210000}"/>
    <cellStyle name="Normal 82" xfId="8542" xr:uid="{00000000-0005-0000-0000-000082210000}"/>
    <cellStyle name="Normal 83" xfId="8543" xr:uid="{00000000-0005-0000-0000-000083210000}"/>
    <cellStyle name="Normal 84" xfId="8544" xr:uid="{00000000-0005-0000-0000-000084210000}"/>
    <cellStyle name="Normal 85" xfId="8545" xr:uid="{00000000-0005-0000-0000-000085210000}"/>
    <cellStyle name="Normal 86" xfId="8546" xr:uid="{00000000-0005-0000-0000-000086210000}"/>
    <cellStyle name="Normal 87" xfId="8547" xr:uid="{00000000-0005-0000-0000-000087210000}"/>
    <cellStyle name="Normal 88" xfId="8548" xr:uid="{00000000-0005-0000-0000-000088210000}"/>
    <cellStyle name="Normal 89" xfId="8549" xr:uid="{00000000-0005-0000-0000-000089210000}"/>
    <cellStyle name="Normal 9" xfId="8550" xr:uid="{00000000-0005-0000-0000-00008A210000}"/>
    <cellStyle name="Normal 9 2" xfId="8551" xr:uid="{00000000-0005-0000-0000-00008B210000}"/>
    <cellStyle name="Normal 9 2 2" xfId="8552" xr:uid="{00000000-0005-0000-0000-00008C210000}"/>
    <cellStyle name="Normal 9 2 2 2" xfId="8553" xr:uid="{00000000-0005-0000-0000-00008D210000}"/>
    <cellStyle name="Normal 9 2 3" xfId="8554" xr:uid="{00000000-0005-0000-0000-00008E210000}"/>
    <cellStyle name="Normal 9 3" xfId="8555" xr:uid="{00000000-0005-0000-0000-00008F210000}"/>
    <cellStyle name="Normal 9 3 2" xfId="8556" xr:uid="{00000000-0005-0000-0000-000090210000}"/>
    <cellStyle name="Normal 9 4" xfId="8557" xr:uid="{00000000-0005-0000-0000-000091210000}"/>
    <cellStyle name="Normal 90" xfId="8558" xr:uid="{00000000-0005-0000-0000-000092210000}"/>
    <cellStyle name="Normal 91" xfId="8559" xr:uid="{00000000-0005-0000-0000-000093210000}"/>
    <cellStyle name="Normal 92" xfId="8560" xr:uid="{00000000-0005-0000-0000-000094210000}"/>
    <cellStyle name="Normal 93" xfId="8561" xr:uid="{00000000-0005-0000-0000-000095210000}"/>
    <cellStyle name="Normal 94" xfId="8562" xr:uid="{00000000-0005-0000-0000-000096210000}"/>
    <cellStyle name="Normal 95" xfId="8563" xr:uid="{00000000-0005-0000-0000-000097210000}"/>
    <cellStyle name="Normal 96" xfId="8564" xr:uid="{00000000-0005-0000-0000-000098210000}"/>
    <cellStyle name="Normal 96 2" xfId="8565" xr:uid="{00000000-0005-0000-0000-000099210000}"/>
    <cellStyle name="Normal 97" xfId="8566" xr:uid="{00000000-0005-0000-0000-00009A210000}"/>
    <cellStyle name="Normal 98" xfId="8567" xr:uid="{00000000-0005-0000-0000-00009B210000}"/>
    <cellStyle name="Normal 99" xfId="8568" xr:uid="{00000000-0005-0000-0000-00009C210000}"/>
    <cellStyle name="Note 10" xfId="8569" xr:uid="{00000000-0005-0000-0000-00009D210000}"/>
    <cellStyle name="Note 10 2" xfId="8570" xr:uid="{00000000-0005-0000-0000-00009E210000}"/>
    <cellStyle name="Note 10 2 2" xfId="8571" xr:uid="{00000000-0005-0000-0000-00009F210000}"/>
    <cellStyle name="Note 10 3" xfId="8572" xr:uid="{00000000-0005-0000-0000-0000A0210000}"/>
    <cellStyle name="Note 11" xfId="8573" xr:uid="{00000000-0005-0000-0000-0000A1210000}"/>
    <cellStyle name="Note 11 2" xfId="8574" xr:uid="{00000000-0005-0000-0000-0000A2210000}"/>
    <cellStyle name="Note 11 2 2" xfId="8575" xr:uid="{00000000-0005-0000-0000-0000A3210000}"/>
    <cellStyle name="Note 11 3" xfId="8576" xr:uid="{00000000-0005-0000-0000-0000A4210000}"/>
    <cellStyle name="Note 12" xfId="8577" xr:uid="{00000000-0005-0000-0000-0000A5210000}"/>
    <cellStyle name="Note 12 2" xfId="8578" xr:uid="{00000000-0005-0000-0000-0000A6210000}"/>
    <cellStyle name="Note 12 2 2" xfId="8579" xr:uid="{00000000-0005-0000-0000-0000A7210000}"/>
    <cellStyle name="Note 12 3" xfId="8580" xr:uid="{00000000-0005-0000-0000-0000A8210000}"/>
    <cellStyle name="Note 12 3 2" xfId="8581" xr:uid="{00000000-0005-0000-0000-0000A9210000}"/>
    <cellStyle name="Note 12 4" xfId="8582" xr:uid="{00000000-0005-0000-0000-0000AA210000}"/>
    <cellStyle name="Note 13" xfId="8583" xr:uid="{00000000-0005-0000-0000-0000AB210000}"/>
    <cellStyle name="Note 13 2" xfId="8584" xr:uid="{00000000-0005-0000-0000-0000AC210000}"/>
    <cellStyle name="Note 14" xfId="8585" xr:uid="{00000000-0005-0000-0000-0000AD210000}"/>
    <cellStyle name="Note 2" xfId="8586" xr:uid="{00000000-0005-0000-0000-0000AE210000}"/>
    <cellStyle name="Note 2 2" xfId="8587" xr:uid="{00000000-0005-0000-0000-0000AF210000}"/>
    <cellStyle name="Note 2 2 2" xfId="8588" xr:uid="{00000000-0005-0000-0000-0000B0210000}"/>
    <cellStyle name="Note 2 2 3" xfId="8589" xr:uid="{00000000-0005-0000-0000-0000B1210000}"/>
    <cellStyle name="Note 2 2 4" xfId="8590" xr:uid="{00000000-0005-0000-0000-0000B2210000}"/>
    <cellStyle name="Note 2 3" xfId="8591" xr:uid="{00000000-0005-0000-0000-0000B3210000}"/>
    <cellStyle name="Note 2 3 2" xfId="8592" xr:uid="{00000000-0005-0000-0000-0000B4210000}"/>
    <cellStyle name="Note 2 4" xfId="8593" xr:uid="{00000000-0005-0000-0000-0000B5210000}"/>
    <cellStyle name="Note 2 4 2" xfId="8594" xr:uid="{00000000-0005-0000-0000-0000B6210000}"/>
    <cellStyle name="Note 2 5" xfId="8595" xr:uid="{00000000-0005-0000-0000-0000B7210000}"/>
    <cellStyle name="Note 2_AURORA Total New" xfId="8596" xr:uid="{00000000-0005-0000-0000-0000B8210000}"/>
    <cellStyle name="Note 3" xfId="8597" xr:uid="{00000000-0005-0000-0000-0000B9210000}"/>
    <cellStyle name="Note 3 2" xfId="8598" xr:uid="{00000000-0005-0000-0000-0000BA210000}"/>
    <cellStyle name="Note 3 2 2" xfId="8599" xr:uid="{00000000-0005-0000-0000-0000BB210000}"/>
    <cellStyle name="Note 3 3" xfId="8600" xr:uid="{00000000-0005-0000-0000-0000BC210000}"/>
    <cellStyle name="Note 3 4" xfId="8601" xr:uid="{00000000-0005-0000-0000-0000BD210000}"/>
    <cellStyle name="Note 4" xfId="8602" xr:uid="{00000000-0005-0000-0000-0000BE210000}"/>
    <cellStyle name="Note 4 2" xfId="8603" xr:uid="{00000000-0005-0000-0000-0000BF210000}"/>
    <cellStyle name="Note 4 2 2" xfId="8604" xr:uid="{00000000-0005-0000-0000-0000C0210000}"/>
    <cellStyle name="Note 4 3" xfId="8605" xr:uid="{00000000-0005-0000-0000-0000C1210000}"/>
    <cellStyle name="Note 4 4" xfId="8606" xr:uid="{00000000-0005-0000-0000-0000C2210000}"/>
    <cellStyle name="Note 5" xfId="8607" xr:uid="{00000000-0005-0000-0000-0000C3210000}"/>
    <cellStyle name="Note 5 2" xfId="8608" xr:uid="{00000000-0005-0000-0000-0000C4210000}"/>
    <cellStyle name="Note 5 2 2" xfId="8609" xr:uid="{00000000-0005-0000-0000-0000C5210000}"/>
    <cellStyle name="Note 5 3" xfId="8610" xr:uid="{00000000-0005-0000-0000-0000C6210000}"/>
    <cellStyle name="Note 5 4" xfId="8611" xr:uid="{00000000-0005-0000-0000-0000C7210000}"/>
    <cellStyle name="Note 6" xfId="8612" xr:uid="{00000000-0005-0000-0000-0000C8210000}"/>
    <cellStyle name="Note 6 2" xfId="8613" xr:uid="{00000000-0005-0000-0000-0000C9210000}"/>
    <cellStyle name="Note 6 2 2" xfId="8614" xr:uid="{00000000-0005-0000-0000-0000CA210000}"/>
    <cellStyle name="Note 6 3" xfId="8615" xr:uid="{00000000-0005-0000-0000-0000CB210000}"/>
    <cellStyle name="Note 6 4" xfId="8616" xr:uid="{00000000-0005-0000-0000-0000CC210000}"/>
    <cellStyle name="Note 7" xfId="8617" xr:uid="{00000000-0005-0000-0000-0000CD210000}"/>
    <cellStyle name="Note 7 2" xfId="8618" xr:uid="{00000000-0005-0000-0000-0000CE210000}"/>
    <cellStyle name="Note 7 2 2" xfId="8619" xr:uid="{00000000-0005-0000-0000-0000CF210000}"/>
    <cellStyle name="Note 7 3" xfId="8620" xr:uid="{00000000-0005-0000-0000-0000D0210000}"/>
    <cellStyle name="Note 7 4" xfId="8621" xr:uid="{00000000-0005-0000-0000-0000D1210000}"/>
    <cellStyle name="Note 8" xfId="8622" xr:uid="{00000000-0005-0000-0000-0000D2210000}"/>
    <cellStyle name="Note 8 2" xfId="8623" xr:uid="{00000000-0005-0000-0000-0000D3210000}"/>
    <cellStyle name="Note 8 2 2" xfId="8624" xr:uid="{00000000-0005-0000-0000-0000D4210000}"/>
    <cellStyle name="Note 8 3" xfId="8625" xr:uid="{00000000-0005-0000-0000-0000D5210000}"/>
    <cellStyle name="Note 8 4" xfId="8626" xr:uid="{00000000-0005-0000-0000-0000D6210000}"/>
    <cellStyle name="Note 9" xfId="8627" xr:uid="{00000000-0005-0000-0000-0000D7210000}"/>
    <cellStyle name="Note 9 2" xfId="8628" xr:uid="{00000000-0005-0000-0000-0000D8210000}"/>
    <cellStyle name="Note 9 2 2" xfId="8629" xr:uid="{00000000-0005-0000-0000-0000D9210000}"/>
    <cellStyle name="Note 9 3" xfId="8630" xr:uid="{00000000-0005-0000-0000-0000DA210000}"/>
    <cellStyle name="Note 9 4" xfId="8631" xr:uid="{00000000-0005-0000-0000-0000DB210000}"/>
    <cellStyle name="Output 2" xfId="8632" xr:uid="{00000000-0005-0000-0000-0000DC210000}"/>
    <cellStyle name="Output 2 2" xfId="8633" xr:uid="{00000000-0005-0000-0000-0000DD210000}"/>
    <cellStyle name="Output 2 2 2" xfId="8634" xr:uid="{00000000-0005-0000-0000-0000DE210000}"/>
    <cellStyle name="Output 2 2 3" xfId="8635" xr:uid="{00000000-0005-0000-0000-0000DF210000}"/>
    <cellStyle name="Output 2 3" xfId="8636" xr:uid="{00000000-0005-0000-0000-0000E0210000}"/>
    <cellStyle name="Output 2 4" xfId="8637" xr:uid="{00000000-0005-0000-0000-0000E1210000}"/>
    <cellStyle name="Output 3" xfId="8638" xr:uid="{00000000-0005-0000-0000-0000E2210000}"/>
    <cellStyle name="Output 3 2" xfId="8639" xr:uid="{00000000-0005-0000-0000-0000E3210000}"/>
    <cellStyle name="Output 3 3" xfId="8640" xr:uid="{00000000-0005-0000-0000-0000E4210000}"/>
    <cellStyle name="Output 3 4" xfId="8641" xr:uid="{00000000-0005-0000-0000-0000E5210000}"/>
    <cellStyle name="Output 4" xfId="8642" xr:uid="{00000000-0005-0000-0000-0000E6210000}"/>
    <cellStyle name="Output 5" xfId="8643" xr:uid="{00000000-0005-0000-0000-0000E7210000}"/>
    <cellStyle name="Output 6" xfId="8644" xr:uid="{00000000-0005-0000-0000-0000E8210000}"/>
    <cellStyle name="Percen - Style1" xfId="8645" xr:uid="{00000000-0005-0000-0000-0000E9210000}"/>
    <cellStyle name="Percen - Style1 2" xfId="8646" xr:uid="{00000000-0005-0000-0000-0000EA210000}"/>
    <cellStyle name="Percen - Style2" xfId="8647" xr:uid="{00000000-0005-0000-0000-0000EB210000}"/>
    <cellStyle name="Percen - Style2 2" xfId="8648" xr:uid="{00000000-0005-0000-0000-0000EC210000}"/>
    <cellStyle name="Percen - Style2 3" xfId="8649" xr:uid="{00000000-0005-0000-0000-0000ED210000}"/>
    <cellStyle name="Percen - Style3" xfId="8650" xr:uid="{00000000-0005-0000-0000-0000EE210000}"/>
    <cellStyle name="Percen - Style3 2" xfId="8651" xr:uid="{00000000-0005-0000-0000-0000EF210000}"/>
    <cellStyle name="Percen - Style3 2 2" xfId="8652" xr:uid="{00000000-0005-0000-0000-0000F0210000}"/>
    <cellStyle name="Percen - Style3 3" xfId="8653" xr:uid="{00000000-0005-0000-0000-0000F1210000}"/>
    <cellStyle name="Percen - Style3 4" xfId="8654" xr:uid="{00000000-0005-0000-0000-0000F2210000}"/>
    <cellStyle name="Percen - Style3_ACCOUNTS" xfId="8655" xr:uid="{00000000-0005-0000-0000-0000F3210000}"/>
    <cellStyle name="Percent" xfId="3" builtinId="5"/>
    <cellStyle name="Percent (0)" xfId="8656" xr:uid="{00000000-0005-0000-0000-0000F5210000}"/>
    <cellStyle name="Percent [2]" xfId="8657" xr:uid="{00000000-0005-0000-0000-0000F6210000}"/>
    <cellStyle name="Percent [2] 2" xfId="8658" xr:uid="{00000000-0005-0000-0000-0000F7210000}"/>
    <cellStyle name="Percent [2] 2 2" xfId="8659" xr:uid="{00000000-0005-0000-0000-0000F8210000}"/>
    <cellStyle name="Percent [2] 2 2 2" xfId="8660" xr:uid="{00000000-0005-0000-0000-0000F9210000}"/>
    <cellStyle name="Percent [2] 2 3" xfId="8661" xr:uid="{00000000-0005-0000-0000-0000FA210000}"/>
    <cellStyle name="Percent [2] 3" xfId="8662" xr:uid="{00000000-0005-0000-0000-0000FB210000}"/>
    <cellStyle name="Percent [2] 3 2" xfId="8663" xr:uid="{00000000-0005-0000-0000-0000FC210000}"/>
    <cellStyle name="Percent [2] 3 2 2" xfId="8664" xr:uid="{00000000-0005-0000-0000-0000FD210000}"/>
    <cellStyle name="Percent [2] 3 3" xfId="8665" xr:uid="{00000000-0005-0000-0000-0000FE210000}"/>
    <cellStyle name="Percent [2] 3 3 2" xfId="8666" xr:uid="{00000000-0005-0000-0000-0000FF210000}"/>
    <cellStyle name="Percent [2] 3 4" xfId="8667" xr:uid="{00000000-0005-0000-0000-000000220000}"/>
    <cellStyle name="Percent [2] 3 4 2" xfId="8668" xr:uid="{00000000-0005-0000-0000-000001220000}"/>
    <cellStyle name="Percent [2] 4" xfId="8669" xr:uid="{00000000-0005-0000-0000-000002220000}"/>
    <cellStyle name="Percent [2] 4 2" xfId="8670" xr:uid="{00000000-0005-0000-0000-000003220000}"/>
    <cellStyle name="Percent [2] 5" xfId="8671" xr:uid="{00000000-0005-0000-0000-000004220000}"/>
    <cellStyle name="Percent [2] 6" xfId="8672" xr:uid="{00000000-0005-0000-0000-000005220000}"/>
    <cellStyle name="Percent [2] 7" xfId="8673" xr:uid="{00000000-0005-0000-0000-000006220000}"/>
    <cellStyle name="Percent 10" xfId="8674" xr:uid="{00000000-0005-0000-0000-000007220000}"/>
    <cellStyle name="Percent 10 2" xfId="8675" xr:uid="{00000000-0005-0000-0000-000008220000}"/>
    <cellStyle name="Percent 10 3" xfId="8676" xr:uid="{00000000-0005-0000-0000-000009220000}"/>
    <cellStyle name="Percent 10 3 2" xfId="8677" xr:uid="{00000000-0005-0000-0000-00000A220000}"/>
    <cellStyle name="Percent 10 4" xfId="8678" xr:uid="{00000000-0005-0000-0000-00000B220000}"/>
    <cellStyle name="Percent 100" xfId="8679" xr:uid="{00000000-0005-0000-0000-00000C220000}"/>
    <cellStyle name="Percent 101" xfId="8680" xr:uid="{00000000-0005-0000-0000-00000D220000}"/>
    <cellStyle name="Percent 102" xfId="8681" xr:uid="{00000000-0005-0000-0000-00000E220000}"/>
    <cellStyle name="Percent 103" xfId="8682" xr:uid="{00000000-0005-0000-0000-00000F220000}"/>
    <cellStyle name="Percent 104" xfId="8683" xr:uid="{00000000-0005-0000-0000-000010220000}"/>
    <cellStyle name="Percent 105" xfId="8684" xr:uid="{00000000-0005-0000-0000-000011220000}"/>
    <cellStyle name="Percent 106" xfId="8685" xr:uid="{00000000-0005-0000-0000-000012220000}"/>
    <cellStyle name="Percent 107" xfId="8686" xr:uid="{00000000-0005-0000-0000-000013220000}"/>
    <cellStyle name="Percent 108" xfId="8687" xr:uid="{00000000-0005-0000-0000-000014220000}"/>
    <cellStyle name="Percent 109" xfId="8688" xr:uid="{00000000-0005-0000-0000-000015220000}"/>
    <cellStyle name="Percent 11" xfId="8689" xr:uid="{00000000-0005-0000-0000-000016220000}"/>
    <cellStyle name="Percent 11 2" xfId="8690" xr:uid="{00000000-0005-0000-0000-000017220000}"/>
    <cellStyle name="Percent 11 2 2" xfId="8691" xr:uid="{00000000-0005-0000-0000-000018220000}"/>
    <cellStyle name="Percent 11 3" xfId="8692" xr:uid="{00000000-0005-0000-0000-000019220000}"/>
    <cellStyle name="Percent 11 3 2" xfId="8693" xr:uid="{00000000-0005-0000-0000-00001A220000}"/>
    <cellStyle name="Percent 11 4" xfId="8694" xr:uid="{00000000-0005-0000-0000-00001B220000}"/>
    <cellStyle name="Percent 11 4 2" xfId="8695" xr:uid="{00000000-0005-0000-0000-00001C220000}"/>
    <cellStyle name="Percent 11 5" xfId="8696" xr:uid="{00000000-0005-0000-0000-00001D220000}"/>
    <cellStyle name="Percent 110" xfId="8697" xr:uid="{00000000-0005-0000-0000-00001E220000}"/>
    <cellStyle name="Percent 111" xfId="8698" xr:uid="{00000000-0005-0000-0000-00001F220000}"/>
    <cellStyle name="Percent 112" xfId="8699" xr:uid="{00000000-0005-0000-0000-000020220000}"/>
    <cellStyle name="Percent 113" xfId="8700" xr:uid="{00000000-0005-0000-0000-000021220000}"/>
    <cellStyle name="Percent 114" xfId="8701" xr:uid="{00000000-0005-0000-0000-000022220000}"/>
    <cellStyle name="Percent 115" xfId="8702" xr:uid="{00000000-0005-0000-0000-000023220000}"/>
    <cellStyle name="Percent 116" xfId="8703" xr:uid="{00000000-0005-0000-0000-000024220000}"/>
    <cellStyle name="Percent 117" xfId="8704" xr:uid="{00000000-0005-0000-0000-000025220000}"/>
    <cellStyle name="Percent 118" xfId="8705" xr:uid="{00000000-0005-0000-0000-000026220000}"/>
    <cellStyle name="Percent 119" xfId="8706" xr:uid="{00000000-0005-0000-0000-000027220000}"/>
    <cellStyle name="Percent 12" xfId="8707" xr:uid="{00000000-0005-0000-0000-000028220000}"/>
    <cellStyle name="Percent 12 2" xfId="8708" xr:uid="{00000000-0005-0000-0000-000029220000}"/>
    <cellStyle name="Percent 12 2 2" xfId="8709" xr:uid="{00000000-0005-0000-0000-00002A220000}"/>
    <cellStyle name="Percent 12 2 2 2" xfId="8710" xr:uid="{00000000-0005-0000-0000-00002B220000}"/>
    <cellStyle name="Percent 12 2 3" xfId="8711" xr:uid="{00000000-0005-0000-0000-00002C220000}"/>
    <cellStyle name="Percent 12 3" xfId="8712" xr:uid="{00000000-0005-0000-0000-00002D220000}"/>
    <cellStyle name="Percent 12 3 2" xfId="8713" xr:uid="{00000000-0005-0000-0000-00002E220000}"/>
    <cellStyle name="Percent 12 4" xfId="8714" xr:uid="{00000000-0005-0000-0000-00002F220000}"/>
    <cellStyle name="Percent 12 4 2" xfId="8715" xr:uid="{00000000-0005-0000-0000-000030220000}"/>
    <cellStyle name="Percent 12 5" xfId="8716" xr:uid="{00000000-0005-0000-0000-000031220000}"/>
    <cellStyle name="Percent 12 5 2" xfId="8717" xr:uid="{00000000-0005-0000-0000-000032220000}"/>
    <cellStyle name="Percent 120" xfId="8718" xr:uid="{00000000-0005-0000-0000-000033220000}"/>
    <cellStyle name="Percent 121" xfId="9516" xr:uid="{00000000-0005-0000-0000-000034220000}"/>
    <cellStyle name="Percent 122" xfId="9511" xr:uid="{00000000-0005-0000-0000-000035220000}"/>
    <cellStyle name="Percent 123" xfId="9508" xr:uid="{00000000-0005-0000-0000-000036220000}"/>
    <cellStyle name="Percent 124" xfId="9509" xr:uid="{00000000-0005-0000-0000-000037220000}"/>
    <cellStyle name="Percent 125" xfId="9541" xr:uid="{00000000-0005-0000-0000-000038220000}"/>
    <cellStyle name="Percent 13" xfId="8719" xr:uid="{00000000-0005-0000-0000-000039220000}"/>
    <cellStyle name="Percent 13 2" xfId="8720" xr:uid="{00000000-0005-0000-0000-00003A220000}"/>
    <cellStyle name="Percent 13 2 2" xfId="8721" xr:uid="{00000000-0005-0000-0000-00003B220000}"/>
    <cellStyle name="Percent 13 2 3" xfId="8722" xr:uid="{00000000-0005-0000-0000-00003C220000}"/>
    <cellStyle name="Percent 13 3" xfId="8723" xr:uid="{00000000-0005-0000-0000-00003D220000}"/>
    <cellStyle name="Percent 13 3 2" xfId="8724" xr:uid="{00000000-0005-0000-0000-00003E220000}"/>
    <cellStyle name="Percent 13 4" xfId="8725" xr:uid="{00000000-0005-0000-0000-00003F220000}"/>
    <cellStyle name="Percent 13 5" xfId="8726" xr:uid="{00000000-0005-0000-0000-000040220000}"/>
    <cellStyle name="Percent 13 6" xfId="8727" xr:uid="{00000000-0005-0000-0000-000041220000}"/>
    <cellStyle name="Percent 14" xfId="8728" xr:uid="{00000000-0005-0000-0000-000042220000}"/>
    <cellStyle name="Percent 14 2" xfId="8729" xr:uid="{00000000-0005-0000-0000-000043220000}"/>
    <cellStyle name="Percent 14 2 2" xfId="8730" xr:uid="{00000000-0005-0000-0000-000044220000}"/>
    <cellStyle name="Percent 14 3" xfId="8731" xr:uid="{00000000-0005-0000-0000-000045220000}"/>
    <cellStyle name="Percent 14 4" xfId="8732" xr:uid="{00000000-0005-0000-0000-000046220000}"/>
    <cellStyle name="Percent 14 4 2" xfId="8733" xr:uid="{00000000-0005-0000-0000-000047220000}"/>
    <cellStyle name="Percent 14 5" xfId="8734" xr:uid="{00000000-0005-0000-0000-000048220000}"/>
    <cellStyle name="Percent 15" xfId="8735" xr:uid="{00000000-0005-0000-0000-000049220000}"/>
    <cellStyle name="Percent 15 2" xfId="8736" xr:uid="{00000000-0005-0000-0000-00004A220000}"/>
    <cellStyle name="Percent 15 2 2" xfId="8737" xr:uid="{00000000-0005-0000-0000-00004B220000}"/>
    <cellStyle name="Percent 15 2 3" xfId="8738" xr:uid="{00000000-0005-0000-0000-00004C220000}"/>
    <cellStyle name="Percent 15 2 4" xfId="8739" xr:uid="{00000000-0005-0000-0000-00004D220000}"/>
    <cellStyle name="Percent 15 3" xfId="8740" xr:uid="{00000000-0005-0000-0000-00004E220000}"/>
    <cellStyle name="Percent 15 3 2" xfId="8741" xr:uid="{00000000-0005-0000-0000-00004F220000}"/>
    <cellStyle name="Percent 15 4" xfId="8742" xr:uid="{00000000-0005-0000-0000-000050220000}"/>
    <cellStyle name="Percent 15 4 2" xfId="8743" xr:uid="{00000000-0005-0000-0000-000051220000}"/>
    <cellStyle name="Percent 15 5" xfId="8744" xr:uid="{00000000-0005-0000-0000-000052220000}"/>
    <cellStyle name="Percent 15 6" xfId="8745" xr:uid="{00000000-0005-0000-0000-000053220000}"/>
    <cellStyle name="Percent 16" xfId="8746" xr:uid="{00000000-0005-0000-0000-000054220000}"/>
    <cellStyle name="Percent 16 2" xfId="8747" xr:uid="{00000000-0005-0000-0000-000055220000}"/>
    <cellStyle name="Percent 16 2 2" xfId="8748" xr:uid="{00000000-0005-0000-0000-000056220000}"/>
    <cellStyle name="Percent 16 3" xfId="8749" xr:uid="{00000000-0005-0000-0000-000057220000}"/>
    <cellStyle name="Percent 16 3 2" xfId="8750" xr:uid="{00000000-0005-0000-0000-000058220000}"/>
    <cellStyle name="Percent 16 4" xfId="8751" xr:uid="{00000000-0005-0000-0000-000059220000}"/>
    <cellStyle name="Percent 16 4 2" xfId="8752" xr:uid="{00000000-0005-0000-0000-00005A220000}"/>
    <cellStyle name="Percent 17" xfId="8753" xr:uid="{00000000-0005-0000-0000-00005B220000}"/>
    <cellStyle name="Percent 17 2" xfId="8754" xr:uid="{00000000-0005-0000-0000-00005C220000}"/>
    <cellStyle name="Percent 17 2 2" xfId="8755" xr:uid="{00000000-0005-0000-0000-00005D220000}"/>
    <cellStyle name="Percent 17 2 3" xfId="8756" xr:uid="{00000000-0005-0000-0000-00005E220000}"/>
    <cellStyle name="Percent 17 3" xfId="8757" xr:uid="{00000000-0005-0000-0000-00005F220000}"/>
    <cellStyle name="Percent 17 3 2" xfId="8758" xr:uid="{00000000-0005-0000-0000-000060220000}"/>
    <cellStyle name="Percent 17 4" xfId="8759" xr:uid="{00000000-0005-0000-0000-000061220000}"/>
    <cellStyle name="Percent 17 4 2" xfId="8760" xr:uid="{00000000-0005-0000-0000-000062220000}"/>
    <cellStyle name="Percent 18" xfId="8761" xr:uid="{00000000-0005-0000-0000-000063220000}"/>
    <cellStyle name="Percent 18 2" xfId="8762" xr:uid="{00000000-0005-0000-0000-000064220000}"/>
    <cellStyle name="Percent 18 2 2" xfId="8763" xr:uid="{00000000-0005-0000-0000-000065220000}"/>
    <cellStyle name="Percent 18 3" xfId="8764" xr:uid="{00000000-0005-0000-0000-000066220000}"/>
    <cellStyle name="Percent 18 3 2" xfId="8765" xr:uid="{00000000-0005-0000-0000-000067220000}"/>
    <cellStyle name="Percent 18 4" xfId="8766" xr:uid="{00000000-0005-0000-0000-000068220000}"/>
    <cellStyle name="Percent 18 4 2" xfId="8767" xr:uid="{00000000-0005-0000-0000-000069220000}"/>
    <cellStyle name="Percent 18 5" xfId="8768" xr:uid="{00000000-0005-0000-0000-00006A220000}"/>
    <cellStyle name="Percent 19" xfId="8769" xr:uid="{00000000-0005-0000-0000-00006B220000}"/>
    <cellStyle name="Percent 19 2" xfId="8770" xr:uid="{00000000-0005-0000-0000-00006C220000}"/>
    <cellStyle name="Percent 19 2 2" xfId="8771" xr:uid="{00000000-0005-0000-0000-00006D220000}"/>
    <cellStyle name="Percent 19 3" xfId="8772" xr:uid="{00000000-0005-0000-0000-00006E220000}"/>
    <cellStyle name="Percent 19 3 2" xfId="8773" xr:uid="{00000000-0005-0000-0000-00006F220000}"/>
    <cellStyle name="Percent 19 4" xfId="8774" xr:uid="{00000000-0005-0000-0000-000070220000}"/>
    <cellStyle name="Percent 19 4 2" xfId="8775" xr:uid="{00000000-0005-0000-0000-000071220000}"/>
    <cellStyle name="Percent 2" xfId="8776" xr:uid="{00000000-0005-0000-0000-000072220000}"/>
    <cellStyle name="Percent 2 2" xfId="8777" xr:uid="{00000000-0005-0000-0000-000073220000}"/>
    <cellStyle name="Percent 2 2 2" xfId="8778" xr:uid="{00000000-0005-0000-0000-000074220000}"/>
    <cellStyle name="Percent 2 2 2 2" xfId="8779" xr:uid="{00000000-0005-0000-0000-000075220000}"/>
    <cellStyle name="Percent 2 2 3" xfId="8780" xr:uid="{00000000-0005-0000-0000-000076220000}"/>
    <cellStyle name="Percent 2 2 4" xfId="8781" xr:uid="{00000000-0005-0000-0000-000077220000}"/>
    <cellStyle name="Percent 2 2 5" xfId="9525" xr:uid="{00000000-0005-0000-0000-000078220000}"/>
    <cellStyle name="Percent 2 3" xfId="8782" xr:uid="{00000000-0005-0000-0000-000079220000}"/>
    <cellStyle name="Percent 2 3 2" xfId="8783" xr:uid="{00000000-0005-0000-0000-00007A220000}"/>
    <cellStyle name="Percent 2 3 3" xfId="8784" xr:uid="{00000000-0005-0000-0000-00007B220000}"/>
    <cellStyle name="Percent 2 3 4" xfId="8785" xr:uid="{00000000-0005-0000-0000-00007C220000}"/>
    <cellStyle name="Percent 2 4" xfId="8786" xr:uid="{00000000-0005-0000-0000-00007D220000}"/>
    <cellStyle name="Percent 2 4 2" xfId="8787" xr:uid="{00000000-0005-0000-0000-00007E220000}"/>
    <cellStyle name="Percent 2 5" xfId="8788" xr:uid="{00000000-0005-0000-0000-00007F220000}"/>
    <cellStyle name="Percent 2 6" xfId="8789" xr:uid="{00000000-0005-0000-0000-000080220000}"/>
    <cellStyle name="Percent 20" xfId="8790" xr:uid="{00000000-0005-0000-0000-000081220000}"/>
    <cellStyle name="Percent 20 2" xfId="8791" xr:uid="{00000000-0005-0000-0000-000082220000}"/>
    <cellStyle name="Percent 20 2 2" xfId="8792" xr:uid="{00000000-0005-0000-0000-000083220000}"/>
    <cellStyle name="Percent 20 2 3" xfId="8793" xr:uid="{00000000-0005-0000-0000-000084220000}"/>
    <cellStyle name="Percent 20 2 4" xfId="8794" xr:uid="{00000000-0005-0000-0000-000085220000}"/>
    <cellStyle name="Percent 20 3" xfId="8795" xr:uid="{00000000-0005-0000-0000-000086220000}"/>
    <cellStyle name="Percent 20 4" xfId="8796" xr:uid="{00000000-0005-0000-0000-000087220000}"/>
    <cellStyle name="Percent 20 5" xfId="8797" xr:uid="{00000000-0005-0000-0000-000088220000}"/>
    <cellStyle name="Percent 21" xfId="8798" xr:uid="{00000000-0005-0000-0000-000089220000}"/>
    <cellStyle name="Percent 21 2" xfId="8799" xr:uid="{00000000-0005-0000-0000-00008A220000}"/>
    <cellStyle name="Percent 21 3" xfId="8800" xr:uid="{00000000-0005-0000-0000-00008B220000}"/>
    <cellStyle name="Percent 22" xfId="8801" xr:uid="{00000000-0005-0000-0000-00008C220000}"/>
    <cellStyle name="Percent 22 2" xfId="8802" xr:uid="{00000000-0005-0000-0000-00008D220000}"/>
    <cellStyle name="Percent 22 3" xfId="8803" xr:uid="{00000000-0005-0000-0000-00008E220000}"/>
    <cellStyle name="Percent 22 3 2" xfId="8804" xr:uid="{00000000-0005-0000-0000-00008F220000}"/>
    <cellStyle name="Percent 22 4" xfId="8805" xr:uid="{00000000-0005-0000-0000-000090220000}"/>
    <cellStyle name="Percent 23" xfId="8806" xr:uid="{00000000-0005-0000-0000-000091220000}"/>
    <cellStyle name="Percent 23 2" xfId="8807" xr:uid="{00000000-0005-0000-0000-000092220000}"/>
    <cellStyle name="Percent 23 3" xfId="8808" xr:uid="{00000000-0005-0000-0000-000093220000}"/>
    <cellStyle name="Percent 23 3 2" xfId="8809" xr:uid="{00000000-0005-0000-0000-000094220000}"/>
    <cellStyle name="Percent 23 4" xfId="8810" xr:uid="{00000000-0005-0000-0000-000095220000}"/>
    <cellStyle name="Percent 24" xfId="8811" xr:uid="{00000000-0005-0000-0000-000096220000}"/>
    <cellStyle name="Percent 24 2" xfId="8812" xr:uid="{00000000-0005-0000-0000-000097220000}"/>
    <cellStyle name="Percent 24 2 2" xfId="8813" xr:uid="{00000000-0005-0000-0000-000098220000}"/>
    <cellStyle name="Percent 24 3" xfId="8814" xr:uid="{00000000-0005-0000-0000-000099220000}"/>
    <cellStyle name="Percent 24 3 2" xfId="8815" xr:uid="{00000000-0005-0000-0000-00009A220000}"/>
    <cellStyle name="Percent 24 4" xfId="8816" xr:uid="{00000000-0005-0000-0000-00009B220000}"/>
    <cellStyle name="Percent 24 4 2" xfId="8817" xr:uid="{00000000-0005-0000-0000-00009C220000}"/>
    <cellStyle name="Percent 24 5" xfId="8818" xr:uid="{00000000-0005-0000-0000-00009D220000}"/>
    <cellStyle name="Percent 25" xfId="8819" xr:uid="{00000000-0005-0000-0000-00009E220000}"/>
    <cellStyle name="Percent 25 2" xfId="8820" xr:uid="{00000000-0005-0000-0000-00009F220000}"/>
    <cellStyle name="Percent 25 2 2" xfId="8821" xr:uid="{00000000-0005-0000-0000-0000A0220000}"/>
    <cellStyle name="Percent 25 3" xfId="8822" xr:uid="{00000000-0005-0000-0000-0000A1220000}"/>
    <cellStyle name="Percent 26" xfId="8823" xr:uid="{00000000-0005-0000-0000-0000A2220000}"/>
    <cellStyle name="Percent 26 2" xfId="8824" xr:uid="{00000000-0005-0000-0000-0000A3220000}"/>
    <cellStyle name="Percent 27" xfId="8825" xr:uid="{00000000-0005-0000-0000-0000A4220000}"/>
    <cellStyle name="Percent 27 2" xfId="8826" xr:uid="{00000000-0005-0000-0000-0000A5220000}"/>
    <cellStyle name="Percent 28" xfId="8827" xr:uid="{00000000-0005-0000-0000-0000A6220000}"/>
    <cellStyle name="Percent 28 2" xfId="8828" xr:uid="{00000000-0005-0000-0000-0000A7220000}"/>
    <cellStyle name="Percent 29" xfId="8829" xr:uid="{00000000-0005-0000-0000-0000A8220000}"/>
    <cellStyle name="Percent 29 2" xfId="8830" xr:uid="{00000000-0005-0000-0000-0000A9220000}"/>
    <cellStyle name="Percent 3" xfId="8831" xr:uid="{00000000-0005-0000-0000-0000AA220000}"/>
    <cellStyle name="Percent 3 2" xfId="8832" xr:uid="{00000000-0005-0000-0000-0000AB220000}"/>
    <cellStyle name="Percent 3 2 2" xfId="8833" xr:uid="{00000000-0005-0000-0000-0000AC220000}"/>
    <cellStyle name="Percent 3 2 2 2" xfId="8834" xr:uid="{00000000-0005-0000-0000-0000AD220000}"/>
    <cellStyle name="Percent 3 2 3" xfId="8835" xr:uid="{00000000-0005-0000-0000-0000AE220000}"/>
    <cellStyle name="Percent 3 2 4" xfId="9524" xr:uid="{00000000-0005-0000-0000-0000AF220000}"/>
    <cellStyle name="Percent 3 3" xfId="8836" xr:uid="{00000000-0005-0000-0000-0000B0220000}"/>
    <cellStyle name="Percent 3 3 2" xfId="8837" xr:uid="{00000000-0005-0000-0000-0000B1220000}"/>
    <cellStyle name="Percent 3 3 3" xfId="9523" xr:uid="{00000000-0005-0000-0000-0000B2220000}"/>
    <cellStyle name="Percent 3 4" xfId="8838" xr:uid="{00000000-0005-0000-0000-0000B3220000}"/>
    <cellStyle name="Percent 3 5" xfId="8839" xr:uid="{00000000-0005-0000-0000-0000B4220000}"/>
    <cellStyle name="Percent 30" xfId="8840" xr:uid="{00000000-0005-0000-0000-0000B5220000}"/>
    <cellStyle name="Percent 30 2" xfId="8841" xr:uid="{00000000-0005-0000-0000-0000B6220000}"/>
    <cellStyle name="Percent 31" xfId="8842" xr:uid="{00000000-0005-0000-0000-0000B7220000}"/>
    <cellStyle name="Percent 31 2" xfId="8843" xr:uid="{00000000-0005-0000-0000-0000B8220000}"/>
    <cellStyle name="Percent 32" xfId="8844" xr:uid="{00000000-0005-0000-0000-0000B9220000}"/>
    <cellStyle name="Percent 32 2" xfId="8845" xr:uid="{00000000-0005-0000-0000-0000BA220000}"/>
    <cellStyle name="Percent 33" xfId="8846" xr:uid="{00000000-0005-0000-0000-0000BB220000}"/>
    <cellStyle name="Percent 33 2" xfId="8847" xr:uid="{00000000-0005-0000-0000-0000BC220000}"/>
    <cellStyle name="Percent 34" xfId="8848" xr:uid="{00000000-0005-0000-0000-0000BD220000}"/>
    <cellStyle name="Percent 34 2" xfId="8849" xr:uid="{00000000-0005-0000-0000-0000BE220000}"/>
    <cellStyle name="Percent 35" xfId="8850" xr:uid="{00000000-0005-0000-0000-0000BF220000}"/>
    <cellStyle name="Percent 35 2" xfId="8851" xr:uid="{00000000-0005-0000-0000-0000C0220000}"/>
    <cellStyle name="Percent 36" xfId="8852" xr:uid="{00000000-0005-0000-0000-0000C1220000}"/>
    <cellStyle name="Percent 36 2" xfId="8853" xr:uid="{00000000-0005-0000-0000-0000C2220000}"/>
    <cellStyle name="Percent 37" xfId="8854" xr:uid="{00000000-0005-0000-0000-0000C3220000}"/>
    <cellStyle name="Percent 37 2" xfId="8855" xr:uid="{00000000-0005-0000-0000-0000C4220000}"/>
    <cellStyle name="Percent 38" xfId="8856" xr:uid="{00000000-0005-0000-0000-0000C5220000}"/>
    <cellStyle name="Percent 38 2" xfId="8857" xr:uid="{00000000-0005-0000-0000-0000C6220000}"/>
    <cellStyle name="Percent 39" xfId="8858" xr:uid="{00000000-0005-0000-0000-0000C7220000}"/>
    <cellStyle name="Percent 39 2" xfId="8859" xr:uid="{00000000-0005-0000-0000-0000C8220000}"/>
    <cellStyle name="Percent 4" xfId="8860" xr:uid="{00000000-0005-0000-0000-0000C9220000}"/>
    <cellStyle name="Percent 4 2" xfId="8861" xr:uid="{00000000-0005-0000-0000-0000CA220000}"/>
    <cellStyle name="Percent 4 2 2" xfId="8862" xr:uid="{00000000-0005-0000-0000-0000CB220000}"/>
    <cellStyle name="Percent 4 2 3" xfId="8863" xr:uid="{00000000-0005-0000-0000-0000CC220000}"/>
    <cellStyle name="Percent 4 2 3 2" xfId="8864" xr:uid="{00000000-0005-0000-0000-0000CD220000}"/>
    <cellStyle name="Percent 4 2 4" xfId="8865" xr:uid="{00000000-0005-0000-0000-0000CE220000}"/>
    <cellStyle name="Percent 4 2 5" xfId="8866" xr:uid="{00000000-0005-0000-0000-0000CF220000}"/>
    <cellStyle name="Percent 4 3" xfId="8867" xr:uid="{00000000-0005-0000-0000-0000D0220000}"/>
    <cellStyle name="Percent 4 3 2" xfId="8868" xr:uid="{00000000-0005-0000-0000-0000D1220000}"/>
    <cellStyle name="Percent 4 4" xfId="8869" xr:uid="{00000000-0005-0000-0000-0000D2220000}"/>
    <cellStyle name="Percent 4 5" xfId="8870" xr:uid="{00000000-0005-0000-0000-0000D3220000}"/>
    <cellStyle name="Percent 40" xfId="8871" xr:uid="{00000000-0005-0000-0000-0000D4220000}"/>
    <cellStyle name="Percent 40 2" xfId="8872" xr:uid="{00000000-0005-0000-0000-0000D5220000}"/>
    <cellStyle name="Percent 41" xfId="8873" xr:uid="{00000000-0005-0000-0000-0000D6220000}"/>
    <cellStyle name="Percent 41 2" xfId="8874" xr:uid="{00000000-0005-0000-0000-0000D7220000}"/>
    <cellStyle name="Percent 42" xfId="8875" xr:uid="{00000000-0005-0000-0000-0000D8220000}"/>
    <cellStyle name="Percent 42 2" xfId="8876" xr:uid="{00000000-0005-0000-0000-0000D9220000}"/>
    <cellStyle name="Percent 43" xfId="8877" xr:uid="{00000000-0005-0000-0000-0000DA220000}"/>
    <cellStyle name="Percent 43 2" xfId="8878" xr:uid="{00000000-0005-0000-0000-0000DB220000}"/>
    <cellStyle name="Percent 44" xfId="8879" xr:uid="{00000000-0005-0000-0000-0000DC220000}"/>
    <cellStyle name="Percent 44 2" xfId="8880" xr:uid="{00000000-0005-0000-0000-0000DD220000}"/>
    <cellStyle name="Percent 45" xfId="8881" xr:uid="{00000000-0005-0000-0000-0000DE220000}"/>
    <cellStyle name="Percent 45 2" xfId="8882" xr:uid="{00000000-0005-0000-0000-0000DF220000}"/>
    <cellStyle name="Percent 46" xfId="8883" xr:uid="{00000000-0005-0000-0000-0000E0220000}"/>
    <cellStyle name="Percent 47" xfId="8884" xr:uid="{00000000-0005-0000-0000-0000E1220000}"/>
    <cellStyle name="Percent 48" xfId="8885" xr:uid="{00000000-0005-0000-0000-0000E2220000}"/>
    <cellStyle name="Percent 49" xfId="8886" xr:uid="{00000000-0005-0000-0000-0000E3220000}"/>
    <cellStyle name="Percent 5" xfId="8887" xr:uid="{00000000-0005-0000-0000-0000E4220000}"/>
    <cellStyle name="Percent 5 2" xfId="8888" xr:uid="{00000000-0005-0000-0000-0000E5220000}"/>
    <cellStyle name="Percent 5 2 2" xfId="8889" xr:uid="{00000000-0005-0000-0000-0000E6220000}"/>
    <cellStyle name="Percent 5 3" xfId="8890" xr:uid="{00000000-0005-0000-0000-0000E7220000}"/>
    <cellStyle name="Percent 5 4" xfId="8891" xr:uid="{00000000-0005-0000-0000-0000E8220000}"/>
    <cellStyle name="Percent 5 5" xfId="9522" xr:uid="{00000000-0005-0000-0000-0000E9220000}"/>
    <cellStyle name="Percent 50" xfId="8892" xr:uid="{00000000-0005-0000-0000-0000EA220000}"/>
    <cellStyle name="Percent 51" xfId="8893" xr:uid="{00000000-0005-0000-0000-0000EB220000}"/>
    <cellStyle name="Percent 52" xfId="8894" xr:uid="{00000000-0005-0000-0000-0000EC220000}"/>
    <cellStyle name="Percent 53" xfId="8895" xr:uid="{00000000-0005-0000-0000-0000ED220000}"/>
    <cellStyle name="Percent 54" xfId="8896" xr:uid="{00000000-0005-0000-0000-0000EE220000}"/>
    <cellStyle name="Percent 55" xfId="8897" xr:uid="{00000000-0005-0000-0000-0000EF220000}"/>
    <cellStyle name="Percent 56" xfId="8898" xr:uid="{00000000-0005-0000-0000-0000F0220000}"/>
    <cellStyle name="Percent 57" xfId="8899" xr:uid="{00000000-0005-0000-0000-0000F1220000}"/>
    <cellStyle name="Percent 58" xfId="8900" xr:uid="{00000000-0005-0000-0000-0000F2220000}"/>
    <cellStyle name="Percent 59" xfId="8901" xr:uid="{00000000-0005-0000-0000-0000F3220000}"/>
    <cellStyle name="Percent 6" xfId="8902" xr:uid="{00000000-0005-0000-0000-0000F4220000}"/>
    <cellStyle name="Percent 6 2" xfId="8903" xr:uid="{00000000-0005-0000-0000-0000F5220000}"/>
    <cellStyle name="Percent 6 2 2" xfId="8904" xr:uid="{00000000-0005-0000-0000-0000F6220000}"/>
    <cellStyle name="Percent 6 2 2 2" xfId="8905" xr:uid="{00000000-0005-0000-0000-0000F7220000}"/>
    <cellStyle name="Percent 6 2 3" xfId="8906" xr:uid="{00000000-0005-0000-0000-0000F8220000}"/>
    <cellStyle name="Percent 6 3" xfId="8907" xr:uid="{00000000-0005-0000-0000-0000F9220000}"/>
    <cellStyle name="Percent 6 3 2" xfId="8908" xr:uid="{00000000-0005-0000-0000-0000FA220000}"/>
    <cellStyle name="Percent 6 4" xfId="8909" xr:uid="{00000000-0005-0000-0000-0000FB220000}"/>
    <cellStyle name="Percent 6 5" xfId="8910" xr:uid="{00000000-0005-0000-0000-0000FC220000}"/>
    <cellStyle name="Percent 60" xfId="8911" xr:uid="{00000000-0005-0000-0000-0000FD220000}"/>
    <cellStyle name="Percent 61" xfId="8912" xr:uid="{00000000-0005-0000-0000-0000FE220000}"/>
    <cellStyle name="Percent 62" xfId="8913" xr:uid="{00000000-0005-0000-0000-0000FF220000}"/>
    <cellStyle name="Percent 63" xfId="8914" xr:uid="{00000000-0005-0000-0000-000000230000}"/>
    <cellStyle name="Percent 64" xfId="8915" xr:uid="{00000000-0005-0000-0000-000001230000}"/>
    <cellStyle name="Percent 65" xfId="8916" xr:uid="{00000000-0005-0000-0000-000002230000}"/>
    <cellStyle name="Percent 66" xfId="8917" xr:uid="{00000000-0005-0000-0000-000003230000}"/>
    <cellStyle name="Percent 67" xfId="8918" xr:uid="{00000000-0005-0000-0000-000004230000}"/>
    <cellStyle name="Percent 68" xfId="8919" xr:uid="{00000000-0005-0000-0000-000005230000}"/>
    <cellStyle name="Percent 69" xfId="8920" xr:uid="{00000000-0005-0000-0000-000006230000}"/>
    <cellStyle name="Percent 7" xfId="8921" xr:uid="{00000000-0005-0000-0000-000007230000}"/>
    <cellStyle name="Percent 7 2" xfId="8922" xr:uid="{00000000-0005-0000-0000-000008230000}"/>
    <cellStyle name="Percent 7 2 2" xfId="8923" xr:uid="{00000000-0005-0000-0000-000009230000}"/>
    <cellStyle name="Percent 7 2 3" xfId="8924" xr:uid="{00000000-0005-0000-0000-00000A230000}"/>
    <cellStyle name="Percent 7 3" xfId="8925" xr:uid="{00000000-0005-0000-0000-00000B230000}"/>
    <cellStyle name="Percent 7 3 2" xfId="8926" xr:uid="{00000000-0005-0000-0000-00000C230000}"/>
    <cellStyle name="Percent 7 3 3" xfId="8927" xr:uid="{00000000-0005-0000-0000-00000D230000}"/>
    <cellStyle name="Percent 7 3 4" xfId="8928" xr:uid="{00000000-0005-0000-0000-00000E230000}"/>
    <cellStyle name="Percent 7 4" xfId="8929" xr:uid="{00000000-0005-0000-0000-00000F230000}"/>
    <cellStyle name="Percent 7 4 2" xfId="8930" xr:uid="{00000000-0005-0000-0000-000010230000}"/>
    <cellStyle name="Percent 7 5" xfId="8931" xr:uid="{00000000-0005-0000-0000-000011230000}"/>
    <cellStyle name="Percent 7 5 2" xfId="8932" xr:uid="{00000000-0005-0000-0000-000012230000}"/>
    <cellStyle name="Percent 7 6" xfId="8933" xr:uid="{00000000-0005-0000-0000-000013230000}"/>
    <cellStyle name="Percent 7 7" xfId="8934" xr:uid="{00000000-0005-0000-0000-000014230000}"/>
    <cellStyle name="Percent 7 8" xfId="8935" xr:uid="{00000000-0005-0000-0000-000015230000}"/>
    <cellStyle name="Percent 7 9" xfId="8936" xr:uid="{00000000-0005-0000-0000-000016230000}"/>
    <cellStyle name="Percent 70" xfId="8937" xr:uid="{00000000-0005-0000-0000-000017230000}"/>
    <cellStyle name="Percent 71" xfId="8938" xr:uid="{00000000-0005-0000-0000-000018230000}"/>
    <cellStyle name="Percent 72" xfId="8939" xr:uid="{00000000-0005-0000-0000-000019230000}"/>
    <cellStyle name="Percent 73" xfId="8940" xr:uid="{00000000-0005-0000-0000-00001A230000}"/>
    <cellStyle name="Percent 74" xfId="8941" xr:uid="{00000000-0005-0000-0000-00001B230000}"/>
    <cellStyle name="Percent 75" xfId="8942" xr:uid="{00000000-0005-0000-0000-00001C230000}"/>
    <cellStyle name="Percent 76" xfId="8943" xr:uid="{00000000-0005-0000-0000-00001D230000}"/>
    <cellStyle name="Percent 77" xfId="8944" xr:uid="{00000000-0005-0000-0000-00001E230000}"/>
    <cellStyle name="Percent 78" xfId="8945" xr:uid="{00000000-0005-0000-0000-00001F230000}"/>
    <cellStyle name="Percent 79" xfId="8946" xr:uid="{00000000-0005-0000-0000-000020230000}"/>
    <cellStyle name="Percent 8" xfId="8947" xr:uid="{00000000-0005-0000-0000-000021230000}"/>
    <cellStyle name="Percent 8 2" xfId="8948" xr:uid="{00000000-0005-0000-0000-000022230000}"/>
    <cellStyle name="Percent 8 2 2" xfId="8949" xr:uid="{00000000-0005-0000-0000-000023230000}"/>
    <cellStyle name="Percent 8 3" xfId="8950" xr:uid="{00000000-0005-0000-0000-000024230000}"/>
    <cellStyle name="Percent 80" xfId="8951" xr:uid="{00000000-0005-0000-0000-000025230000}"/>
    <cellStyle name="Percent 81" xfId="8952" xr:uid="{00000000-0005-0000-0000-000026230000}"/>
    <cellStyle name="Percent 82" xfId="8953" xr:uid="{00000000-0005-0000-0000-000027230000}"/>
    <cellStyle name="Percent 83" xfId="8954" xr:uid="{00000000-0005-0000-0000-000028230000}"/>
    <cellStyle name="Percent 84" xfId="8955" xr:uid="{00000000-0005-0000-0000-000029230000}"/>
    <cellStyle name="Percent 85" xfId="8956" xr:uid="{00000000-0005-0000-0000-00002A230000}"/>
    <cellStyle name="Percent 86" xfId="8957" xr:uid="{00000000-0005-0000-0000-00002B230000}"/>
    <cellStyle name="Percent 87" xfId="8958" xr:uid="{00000000-0005-0000-0000-00002C230000}"/>
    <cellStyle name="Percent 88" xfId="8959" xr:uid="{00000000-0005-0000-0000-00002D230000}"/>
    <cellStyle name="Percent 89" xfId="8960" xr:uid="{00000000-0005-0000-0000-00002E230000}"/>
    <cellStyle name="Percent 9" xfId="8961" xr:uid="{00000000-0005-0000-0000-00002F230000}"/>
    <cellStyle name="Percent 9 2" xfId="8962" xr:uid="{00000000-0005-0000-0000-000030230000}"/>
    <cellStyle name="Percent 9 2 2" xfId="8963" xr:uid="{00000000-0005-0000-0000-000031230000}"/>
    <cellStyle name="Percent 9 2 3" xfId="8964" xr:uid="{00000000-0005-0000-0000-000032230000}"/>
    <cellStyle name="Percent 9 3" xfId="8965" xr:uid="{00000000-0005-0000-0000-000033230000}"/>
    <cellStyle name="Percent 9 4" xfId="8966" xr:uid="{00000000-0005-0000-0000-000034230000}"/>
    <cellStyle name="Percent 90" xfId="8967" xr:uid="{00000000-0005-0000-0000-000035230000}"/>
    <cellStyle name="Percent 91" xfId="8968" xr:uid="{00000000-0005-0000-0000-000036230000}"/>
    <cellStyle name="Percent 92" xfId="8969" xr:uid="{00000000-0005-0000-0000-000037230000}"/>
    <cellStyle name="Percent 93" xfId="8970" xr:uid="{00000000-0005-0000-0000-000038230000}"/>
    <cellStyle name="Percent 94" xfId="8971" xr:uid="{00000000-0005-0000-0000-000039230000}"/>
    <cellStyle name="Percent 95" xfId="8972" xr:uid="{00000000-0005-0000-0000-00003A230000}"/>
    <cellStyle name="Percent 96" xfId="8973" xr:uid="{00000000-0005-0000-0000-00003B230000}"/>
    <cellStyle name="Percent 97" xfId="8974" xr:uid="{00000000-0005-0000-0000-00003C230000}"/>
    <cellStyle name="Percent 98" xfId="8975" xr:uid="{00000000-0005-0000-0000-00003D230000}"/>
    <cellStyle name="Percent 99" xfId="8976" xr:uid="{00000000-0005-0000-0000-00003E230000}"/>
    <cellStyle name="Processing" xfId="8977" xr:uid="{00000000-0005-0000-0000-00003F230000}"/>
    <cellStyle name="Processing 2" xfId="8978" xr:uid="{00000000-0005-0000-0000-000040230000}"/>
    <cellStyle name="Processing 2 2" xfId="8979" xr:uid="{00000000-0005-0000-0000-000041230000}"/>
    <cellStyle name="Processing 3" xfId="8980" xr:uid="{00000000-0005-0000-0000-000042230000}"/>
    <cellStyle name="Processing 4" xfId="8981" xr:uid="{00000000-0005-0000-0000-000043230000}"/>
    <cellStyle name="Processing_AURORA Total New" xfId="8982" xr:uid="{00000000-0005-0000-0000-000044230000}"/>
    <cellStyle name="PS_Comma" xfId="9521" xr:uid="{00000000-0005-0000-0000-000045230000}"/>
    <cellStyle name="PSChar" xfId="8983" xr:uid="{00000000-0005-0000-0000-000046230000}"/>
    <cellStyle name="PSChar 2" xfId="8984" xr:uid="{00000000-0005-0000-0000-000047230000}"/>
    <cellStyle name="PSChar 2 2" xfId="8985" xr:uid="{00000000-0005-0000-0000-000048230000}"/>
    <cellStyle name="PSChar 3" xfId="8986" xr:uid="{00000000-0005-0000-0000-000049230000}"/>
    <cellStyle name="PSChar 4" xfId="8987" xr:uid="{00000000-0005-0000-0000-00004A230000}"/>
    <cellStyle name="PSDate" xfId="8988" xr:uid="{00000000-0005-0000-0000-00004B230000}"/>
    <cellStyle name="PSDate 2" xfId="8989" xr:uid="{00000000-0005-0000-0000-00004C230000}"/>
    <cellStyle name="PSDate 2 2" xfId="8990" xr:uid="{00000000-0005-0000-0000-00004D230000}"/>
    <cellStyle name="PSDate 3" xfId="8991" xr:uid="{00000000-0005-0000-0000-00004E230000}"/>
    <cellStyle name="PSDate 4" xfId="8992" xr:uid="{00000000-0005-0000-0000-00004F230000}"/>
    <cellStyle name="PSDec" xfId="8993" xr:uid="{00000000-0005-0000-0000-000050230000}"/>
    <cellStyle name="PSDec 2" xfId="8994" xr:uid="{00000000-0005-0000-0000-000051230000}"/>
    <cellStyle name="PSDec 2 2" xfId="8995" xr:uid="{00000000-0005-0000-0000-000052230000}"/>
    <cellStyle name="PSDec 3" xfId="8996" xr:uid="{00000000-0005-0000-0000-000053230000}"/>
    <cellStyle name="PSDec 4" xfId="8997" xr:uid="{00000000-0005-0000-0000-000054230000}"/>
    <cellStyle name="PSHeading" xfId="8998" xr:uid="{00000000-0005-0000-0000-000055230000}"/>
    <cellStyle name="PSHeading 2" xfId="8999" xr:uid="{00000000-0005-0000-0000-000056230000}"/>
    <cellStyle name="PSHeading 2 2" xfId="9000" xr:uid="{00000000-0005-0000-0000-000057230000}"/>
    <cellStyle name="PSHeading 3" xfId="9001" xr:uid="{00000000-0005-0000-0000-000058230000}"/>
    <cellStyle name="PSHeading 4" xfId="9002" xr:uid="{00000000-0005-0000-0000-000059230000}"/>
    <cellStyle name="PSInt" xfId="9003" xr:uid="{00000000-0005-0000-0000-00005A230000}"/>
    <cellStyle name="PSInt 2" xfId="9004" xr:uid="{00000000-0005-0000-0000-00005B230000}"/>
    <cellStyle name="PSInt 2 2" xfId="9005" xr:uid="{00000000-0005-0000-0000-00005C230000}"/>
    <cellStyle name="PSInt 3" xfId="9006" xr:uid="{00000000-0005-0000-0000-00005D230000}"/>
    <cellStyle name="PSInt 4" xfId="9007" xr:uid="{00000000-0005-0000-0000-00005E230000}"/>
    <cellStyle name="PSSpacer" xfId="9008" xr:uid="{00000000-0005-0000-0000-00005F230000}"/>
    <cellStyle name="PSSpacer 2" xfId="9009" xr:uid="{00000000-0005-0000-0000-000060230000}"/>
    <cellStyle name="PSSpacer 2 2" xfId="9010" xr:uid="{00000000-0005-0000-0000-000061230000}"/>
    <cellStyle name="PSSpacer 3" xfId="9011" xr:uid="{00000000-0005-0000-0000-000062230000}"/>
    <cellStyle name="PSSpacer 4" xfId="9012" xr:uid="{00000000-0005-0000-0000-000063230000}"/>
    <cellStyle name="purple - Style8" xfId="9013" xr:uid="{00000000-0005-0000-0000-000064230000}"/>
    <cellStyle name="purple - Style8 2" xfId="9014" xr:uid="{00000000-0005-0000-0000-000065230000}"/>
    <cellStyle name="purple - Style8 2 2" xfId="9015" xr:uid="{00000000-0005-0000-0000-000066230000}"/>
    <cellStyle name="purple - Style8 3" xfId="9016" xr:uid="{00000000-0005-0000-0000-000067230000}"/>
    <cellStyle name="purple - Style8_ACCOUNTS" xfId="9017" xr:uid="{00000000-0005-0000-0000-000068230000}"/>
    <cellStyle name="RED" xfId="9018" xr:uid="{00000000-0005-0000-0000-000069230000}"/>
    <cellStyle name="Red - Style7" xfId="9019" xr:uid="{00000000-0005-0000-0000-00006A230000}"/>
    <cellStyle name="Red - Style7 2" xfId="9020" xr:uid="{00000000-0005-0000-0000-00006B230000}"/>
    <cellStyle name="Red - Style7 2 2" xfId="9021" xr:uid="{00000000-0005-0000-0000-00006C230000}"/>
    <cellStyle name="Red - Style7 3" xfId="9022" xr:uid="{00000000-0005-0000-0000-00006D230000}"/>
    <cellStyle name="Red - Style7_ACCOUNTS" xfId="9023" xr:uid="{00000000-0005-0000-0000-00006E230000}"/>
    <cellStyle name="RED 10" xfId="9024" xr:uid="{00000000-0005-0000-0000-00006F230000}"/>
    <cellStyle name="RED 11" xfId="9025" xr:uid="{00000000-0005-0000-0000-000070230000}"/>
    <cellStyle name="RED 12" xfId="9026" xr:uid="{00000000-0005-0000-0000-000071230000}"/>
    <cellStyle name="RED 13" xfId="9027" xr:uid="{00000000-0005-0000-0000-000072230000}"/>
    <cellStyle name="RED 14" xfId="9028" xr:uid="{00000000-0005-0000-0000-000073230000}"/>
    <cellStyle name="RED 15" xfId="9029" xr:uid="{00000000-0005-0000-0000-000074230000}"/>
    <cellStyle name="RED 16" xfId="9030" xr:uid="{00000000-0005-0000-0000-000075230000}"/>
    <cellStyle name="RED 17" xfId="9031" xr:uid="{00000000-0005-0000-0000-000076230000}"/>
    <cellStyle name="RED 18" xfId="9032" xr:uid="{00000000-0005-0000-0000-000077230000}"/>
    <cellStyle name="RED 19" xfId="9033" xr:uid="{00000000-0005-0000-0000-000078230000}"/>
    <cellStyle name="RED 2" xfId="9034" xr:uid="{00000000-0005-0000-0000-000079230000}"/>
    <cellStyle name="RED 2 2" xfId="9035" xr:uid="{00000000-0005-0000-0000-00007A230000}"/>
    <cellStyle name="RED 20" xfId="9036" xr:uid="{00000000-0005-0000-0000-00007B230000}"/>
    <cellStyle name="RED 21" xfId="9037" xr:uid="{00000000-0005-0000-0000-00007C230000}"/>
    <cellStyle name="RED 22" xfId="9038" xr:uid="{00000000-0005-0000-0000-00007D230000}"/>
    <cellStyle name="RED 23" xfId="9039" xr:uid="{00000000-0005-0000-0000-00007E230000}"/>
    <cellStyle name="RED 24" xfId="9040" xr:uid="{00000000-0005-0000-0000-00007F230000}"/>
    <cellStyle name="RED 3" xfId="9041" xr:uid="{00000000-0005-0000-0000-000080230000}"/>
    <cellStyle name="RED 4" xfId="9042" xr:uid="{00000000-0005-0000-0000-000081230000}"/>
    <cellStyle name="RED 5" xfId="9043" xr:uid="{00000000-0005-0000-0000-000082230000}"/>
    <cellStyle name="RED 6" xfId="9044" xr:uid="{00000000-0005-0000-0000-000083230000}"/>
    <cellStyle name="RED 7" xfId="9045" xr:uid="{00000000-0005-0000-0000-000084230000}"/>
    <cellStyle name="RED 8" xfId="9046" xr:uid="{00000000-0005-0000-0000-000085230000}"/>
    <cellStyle name="RED 9" xfId="9047" xr:uid="{00000000-0005-0000-0000-000086230000}"/>
    <cellStyle name="RED_04 07E Wild Horse Wind Expansion (C) (2)" xfId="9048" xr:uid="{00000000-0005-0000-0000-000087230000}"/>
    <cellStyle name="Report" xfId="9049" xr:uid="{00000000-0005-0000-0000-000088230000}"/>
    <cellStyle name="Report - Style5" xfId="9050" xr:uid="{00000000-0005-0000-0000-000089230000}"/>
    <cellStyle name="Report - Style6" xfId="9051" xr:uid="{00000000-0005-0000-0000-00008A230000}"/>
    <cellStyle name="Report - Style7" xfId="9052" xr:uid="{00000000-0005-0000-0000-00008B230000}"/>
    <cellStyle name="Report - Style8" xfId="9053" xr:uid="{00000000-0005-0000-0000-00008C230000}"/>
    <cellStyle name="Report 2" xfId="9054" xr:uid="{00000000-0005-0000-0000-00008D230000}"/>
    <cellStyle name="Report 2 2" xfId="9055" xr:uid="{00000000-0005-0000-0000-00008E230000}"/>
    <cellStyle name="Report 3" xfId="9056" xr:uid="{00000000-0005-0000-0000-00008F230000}"/>
    <cellStyle name="Report 4" xfId="9057" xr:uid="{00000000-0005-0000-0000-000090230000}"/>
    <cellStyle name="Report 5" xfId="9058" xr:uid="{00000000-0005-0000-0000-000091230000}"/>
    <cellStyle name="Report 6" xfId="9059" xr:uid="{00000000-0005-0000-0000-000092230000}"/>
    <cellStyle name="Report Bar" xfId="9060" xr:uid="{00000000-0005-0000-0000-000093230000}"/>
    <cellStyle name="Report Bar 2" xfId="9061" xr:uid="{00000000-0005-0000-0000-000094230000}"/>
    <cellStyle name="Report Bar 2 2" xfId="9062" xr:uid="{00000000-0005-0000-0000-000095230000}"/>
    <cellStyle name="Report Bar 3" xfId="9063" xr:uid="{00000000-0005-0000-0000-000096230000}"/>
    <cellStyle name="Report Bar 4" xfId="9064" xr:uid="{00000000-0005-0000-0000-000097230000}"/>
    <cellStyle name="Report Bar 5" xfId="9065" xr:uid="{00000000-0005-0000-0000-000098230000}"/>
    <cellStyle name="Report Bar_AURORA Total New" xfId="9066" xr:uid="{00000000-0005-0000-0000-000099230000}"/>
    <cellStyle name="Report Heading" xfId="9067" xr:uid="{00000000-0005-0000-0000-00009A230000}"/>
    <cellStyle name="Report Heading 2" xfId="9068" xr:uid="{00000000-0005-0000-0000-00009B230000}"/>
    <cellStyle name="Report Heading 3" xfId="9069" xr:uid="{00000000-0005-0000-0000-00009C230000}"/>
    <cellStyle name="Report Heading 3 2" xfId="9505" xr:uid="{00000000-0005-0000-0000-00009D230000}"/>
    <cellStyle name="Report Heading_Electric Rev Req Model (2009 GRC) Rebuttal" xfId="9070" xr:uid="{00000000-0005-0000-0000-00009E230000}"/>
    <cellStyle name="Report Percent" xfId="9071" xr:uid="{00000000-0005-0000-0000-00009F230000}"/>
    <cellStyle name="Report Percent 2" xfId="9072" xr:uid="{00000000-0005-0000-0000-0000A0230000}"/>
    <cellStyle name="Report Percent 2 2" xfId="9073" xr:uid="{00000000-0005-0000-0000-0000A1230000}"/>
    <cellStyle name="Report Percent 2 2 2" xfId="9074" xr:uid="{00000000-0005-0000-0000-0000A2230000}"/>
    <cellStyle name="Report Percent 2 3" xfId="9075" xr:uid="{00000000-0005-0000-0000-0000A3230000}"/>
    <cellStyle name="Report Percent 3" xfId="9076" xr:uid="{00000000-0005-0000-0000-0000A4230000}"/>
    <cellStyle name="Report Percent 3 2" xfId="9077" xr:uid="{00000000-0005-0000-0000-0000A5230000}"/>
    <cellStyle name="Report Percent 3 2 2" xfId="9078" xr:uid="{00000000-0005-0000-0000-0000A6230000}"/>
    <cellStyle name="Report Percent 3 3" xfId="9079" xr:uid="{00000000-0005-0000-0000-0000A7230000}"/>
    <cellStyle name="Report Percent 3 3 2" xfId="9080" xr:uid="{00000000-0005-0000-0000-0000A8230000}"/>
    <cellStyle name="Report Percent 3 4" xfId="9081" xr:uid="{00000000-0005-0000-0000-0000A9230000}"/>
    <cellStyle name="Report Percent 3 4 2" xfId="9082" xr:uid="{00000000-0005-0000-0000-0000AA230000}"/>
    <cellStyle name="Report Percent 4" xfId="9083" xr:uid="{00000000-0005-0000-0000-0000AB230000}"/>
    <cellStyle name="Report Percent 4 2" xfId="9084" xr:uid="{00000000-0005-0000-0000-0000AC230000}"/>
    <cellStyle name="Report Percent 5" xfId="9085" xr:uid="{00000000-0005-0000-0000-0000AD230000}"/>
    <cellStyle name="Report Percent 6" xfId="9086" xr:uid="{00000000-0005-0000-0000-0000AE230000}"/>
    <cellStyle name="Report Percent 7" xfId="9087" xr:uid="{00000000-0005-0000-0000-0000AF230000}"/>
    <cellStyle name="Report Percent_ACCOUNTS" xfId="9088" xr:uid="{00000000-0005-0000-0000-0000B0230000}"/>
    <cellStyle name="Report Unit Cost" xfId="9089" xr:uid="{00000000-0005-0000-0000-0000B1230000}"/>
    <cellStyle name="Report Unit Cost 2" xfId="9090" xr:uid="{00000000-0005-0000-0000-0000B2230000}"/>
    <cellStyle name="Report Unit Cost 2 2" xfId="9091" xr:uid="{00000000-0005-0000-0000-0000B3230000}"/>
    <cellStyle name="Report Unit Cost 2 2 2" xfId="9092" xr:uid="{00000000-0005-0000-0000-0000B4230000}"/>
    <cellStyle name="Report Unit Cost 2 3" xfId="9093" xr:uid="{00000000-0005-0000-0000-0000B5230000}"/>
    <cellStyle name="Report Unit Cost 3" xfId="9094" xr:uid="{00000000-0005-0000-0000-0000B6230000}"/>
    <cellStyle name="Report Unit Cost 3 2" xfId="9095" xr:uid="{00000000-0005-0000-0000-0000B7230000}"/>
    <cellStyle name="Report Unit Cost 3 2 2" xfId="9096" xr:uid="{00000000-0005-0000-0000-0000B8230000}"/>
    <cellStyle name="Report Unit Cost 3 3" xfId="9097" xr:uid="{00000000-0005-0000-0000-0000B9230000}"/>
    <cellStyle name="Report Unit Cost 3 3 2" xfId="9098" xr:uid="{00000000-0005-0000-0000-0000BA230000}"/>
    <cellStyle name="Report Unit Cost 3 4" xfId="9099" xr:uid="{00000000-0005-0000-0000-0000BB230000}"/>
    <cellStyle name="Report Unit Cost 3 4 2" xfId="9100" xr:uid="{00000000-0005-0000-0000-0000BC230000}"/>
    <cellStyle name="Report Unit Cost 4" xfId="9101" xr:uid="{00000000-0005-0000-0000-0000BD230000}"/>
    <cellStyle name="Report Unit Cost 4 2" xfId="9102" xr:uid="{00000000-0005-0000-0000-0000BE230000}"/>
    <cellStyle name="Report Unit Cost 5" xfId="9103" xr:uid="{00000000-0005-0000-0000-0000BF230000}"/>
    <cellStyle name="Report Unit Cost 6" xfId="9104" xr:uid="{00000000-0005-0000-0000-0000C0230000}"/>
    <cellStyle name="Report Unit Cost 7" xfId="9105" xr:uid="{00000000-0005-0000-0000-0000C1230000}"/>
    <cellStyle name="Report Unit Cost_ACCOUNTS" xfId="9106" xr:uid="{00000000-0005-0000-0000-0000C2230000}"/>
    <cellStyle name="Report_Adj Bench DR 3 for Initial Briefs (Electric)" xfId="9107" xr:uid="{00000000-0005-0000-0000-0000C3230000}"/>
    <cellStyle name="Reports" xfId="9108" xr:uid="{00000000-0005-0000-0000-0000C4230000}"/>
    <cellStyle name="Reports 2" xfId="9109" xr:uid="{00000000-0005-0000-0000-0000C5230000}"/>
    <cellStyle name="Reports 3" xfId="9110" xr:uid="{00000000-0005-0000-0000-0000C6230000}"/>
    <cellStyle name="Reports Total" xfId="9111" xr:uid="{00000000-0005-0000-0000-0000C7230000}"/>
    <cellStyle name="Reports Total 2" xfId="9112" xr:uid="{00000000-0005-0000-0000-0000C8230000}"/>
    <cellStyle name="Reports Total 2 2" xfId="9113" xr:uid="{00000000-0005-0000-0000-0000C9230000}"/>
    <cellStyle name="Reports Total 3" xfId="9114" xr:uid="{00000000-0005-0000-0000-0000CA230000}"/>
    <cellStyle name="Reports Total 4" xfId="9115" xr:uid="{00000000-0005-0000-0000-0000CB230000}"/>
    <cellStyle name="Reports Total 5" xfId="9116" xr:uid="{00000000-0005-0000-0000-0000CC230000}"/>
    <cellStyle name="Reports Total_AURORA Total New" xfId="9117" xr:uid="{00000000-0005-0000-0000-0000CD230000}"/>
    <cellStyle name="Reports Unit Cost Total" xfId="9118" xr:uid="{00000000-0005-0000-0000-0000CE230000}"/>
    <cellStyle name="Reports Unit Cost Total 2" xfId="9119" xr:uid="{00000000-0005-0000-0000-0000CF230000}"/>
    <cellStyle name="Reports Unit Cost Total 3" xfId="9120" xr:uid="{00000000-0005-0000-0000-0000D0230000}"/>
    <cellStyle name="Reports_14.21G &amp; 16.28E Incentive Pay" xfId="9121" xr:uid="{00000000-0005-0000-0000-0000D1230000}"/>
    <cellStyle name="RevList" xfId="9122" xr:uid="{00000000-0005-0000-0000-0000D2230000}"/>
    <cellStyle name="RevList 2" xfId="9123" xr:uid="{00000000-0005-0000-0000-0000D3230000}"/>
    <cellStyle name="round100" xfId="9124" xr:uid="{00000000-0005-0000-0000-0000D4230000}"/>
    <cellStyle name="round100 2" xfId="9125" xr:uid="{00000000-0005-0000-0000-0000D5230000}"/>
    <cellStyle name="round100 2 2" xfId="9126" xr:uid="{00000000-0005-0000-0000-0000D6230000}"/>
    <cellStyle name="round100 2 2 2" xfId="9127" xr:uid="{00000000-0005-0000-0000-0000D7230000}"/>
    <cellStyle name="round100 2 3" xfId="9128" xr:uid="{00000000-0005-0000-0000-0000D8230000}"/>
    <cellStyle name="round100 3" xfId="9129" xr:uid="{00000000-0005-0000-0000-0000D9230000}"/>
    <cellStyle name="round100 3 2" xfId="9130" xr:uid="{00000000-0005-0000-0000-0000DA230000}"/>
    <cellStyle name="round100 3 2 2" xfId="9131" xr:uid="{00000000-0005-0000-0000-0000DB230000}"/>
    <cellStyle name="round100 3 3" xfId="9132" xr:uid="{00000000-0005-0000-0000-0000DC230000}"/>
    <cellStyle name="round100 3 3 2" xfId="9133" xr:uid="{00000000-0005-0000-0000-0000DD230000}"/>
    <cellStyle name="round100 3 4" xfId="9134" xr:uid="{00000000-0005-0000-0000-0000DE230000}"/>
    <cellStyle name="round100 3 4 2" xfId="9135" xr:uid="{00000000-0005-0000-0000-0000DF230000}"/>
    <cellStyle name="round100 4" xfId="9136" xr:uid="{00000000-0005-0000-0000-0000E0230000}"/>
    <cellStyle name="round100 4 2" xfId="9137" xr:uid="{00000000-0005-0000-0000-0000E1230000}"/>
    <cellStyle name="round100 5" xfId="9138" xr:uid="{00000000-0005-0000-0000-0000E2230000}"/>
    <cellStyle name="round100 6" xfId="9139" xr:uid="{00000000-0005-0000-0000-0000E3230000}"/>
    <cellStyle name="round100 7" xfId="9140" xr:uid="{00000000-0005-0000-0000-0000E4230000}"/>
    <cellStyle name="SAPBEXaggData" xfId="9141" xr:uid="{00000000-0005-0000-0000-0000E5230000}"/>
    <cellStyle name="SAPBEXaggData 2" xfId="9142" xr:uid="{00000000-0005-0000-0000-0000E6230000}"/>
    <cellStyle name="SAPBEXaggData 3" xfId="9143" xr:uid="{00000000-0005-0000-0000-0000E7230000}"/>
    <cellStyle name="SAPBEXaggDataEmph" xfId="9144" xr:uid="{00000000-0005-0000-0000-0000E8230000}"/>
    <cellStyle name="SAPBEXaggDataEmph 2" xfId="9145" xr:uid="{00000000-0005-0000-0000-0000E9230000}"/>
    <cellStyle name="SAPBEXaggDataEmph 3" xfId="9146" xr:uid="{00000000-0005-0000-0000-0000EA230000}"/>
    <cellStyle name="SAPBEXaggItem" xfId="9147" xr:uid="{00000000-0005-0000-0000-0000EB230000}"/>
    <cellStyle name="SAPBEXaggItem 2" xfId="9148" xr:uid="{00000000-0005-0000-0000-0000EC230000}"/>
    <cellStyle name="SAPBEXaggItem 3" xfId="9149" xr:uid="{00000000-0005-0000-0000-0000ED230000}"/>
    <cellStyle name="SAPBEXaggItemX" xfId="9150" xr:uid="{00000000-0005-0000-0000-0000EE230000}"/>
    <cellStyle name="SAPBEXaggItemX 2" xfId="9151" xr:uid="{00000000-0005-0000-0000-0000EF230000}"/>
    <cellStyle name="SAPBEXaggItemX 3" xfId="9152" xr:uid="{00000000-0005-0000-0000-0000F0230000}"/>
    <cellStyle name="SAPBEXchaText" xfId="9153" xr:uid="{00000000-0005-0000-0000-0000F1230000}"/>
    <cellStyle name="SAPBEXchaText 2" xfId="9154" xr:uid="{00000000-0005-0000-0000-0000F2230000}"/>
    <cellStyle name="SAPBEXchaText 2 2" xfId="9155" xr:uid="{00000000-0005-0000-0000-0000F3230000}"/>
    <cellStyle name="SAPBEXchaText 2 2 2" xfId="9156" xr:uid="{00000000-0005-0000-0000-0000F4230000}"/>
    <cellStyle name="SAPBEXchaText 2 3" xfId="9157" xr:uid="{00000000-0005-0000-0000-0000F5230000}"/>
    <cellStyle name="SAPBEXchaText 3" xfId="9158" xr:uid="{00000000-0005-0000-0000-0000F6230000}"/>
    <cellStyle name="SAPBEXchaText 3 2" xfId="9159" xr:uid="{00000000-0005-0000-0000-0000F7230000}"/>
    <cellStyle name="SAPBEXchaText 3 2 2" xfId="9160" xr:uid="{00000000-0005-0000-0000-0000F8230000}"/>
    <cellStyle name="SAPBEXchaText 3 3" xfId="9161" xr:uid="{00000000-0005-0000-0000-0000F9230000}"/>
    <cellStyle name="SAPBEXchaText 3 3 2" xfId="9162" xr:uid="{00000000-0005-0000-0000-0000FA230000}"/>
    <cellStyle name="SAPBEXchaText 3 4" xfId="9163" xr:uid="{00000000-0005-0000-0000-0000FB230000}"/>
    <cellStyle name="SAPBEXchaText 3 4 2" xfId="9164" xr:uid="{00000000-0005-0000-0000-0000FC230000}"/>
    <cellStyle name="SAPBEXchaText 4" xfId="9165" xr:uid="{00000000-0005-0000-0000-0000FD230000}"/>
    <cellStyle name="SAPBEXchaText 4 2" xfId="9166" xr:uid="{00000000-0005-0000-0000-0000FE230000}"/>
    <cellStyle name="SAPBEXchaText 5" xfId="9167" xr:uid="{00000000-0005-0000-0000-0000FF230000}"/>
    <cellStyle name="SAPBEXchaText 6" xfId="9168" xr:uid="{00000000-0005-0000-0000-000000240000}"/>
    <cellStyle name="SAPBEXchaText 7" xfId="9169" xr:uid="{00000000-0005-0000-0000-000001240000}"/>
    <cellStyle name="SAPBEXchaText 8" xfId="9170" xr:uid="{00000000-0005-0000-0000-000002240000}"/>
    <cellStyle name="SAPBEXchaText 9" xfId="9171" xr:uid="{00000000-0005-0000-0000-000003240000}"/>
    <cellStyle name="SAPBEXexcBad7" xfId="9172" xr:uid="{00000000-0005-0000-0000-000004240000}"/>
    <cellStyle name="SAPBEXexcBad7 2" xfId="9173" xr:uid="{00000000-0005-0000-0000-000005240000}"/>
    <cellStyle name="SAPBEXexcBad7 3" xfId="9174" xr:uid="{00000000-0005-0000-0000-000006240000}"/>
    <cellStyle name="SAPBEXexcBad8" xfId="9175" xr:uid="{00000000-0005-0000-0000-000007240000}"/>
    <cellStyle name="SAPBEXexcBad8 2" xfId="9176" xr:uid="{00000000-0005-0000-0000-000008240000}"/>
    <cellStyle name="SAPBEXexcBad8 3" xfId="9177" xr:uid="{00000000-0005-0000-0000-000009240000}"/>
    <cellStyle name="SAPBEXexcBad9" xfId="9178" xr:uid="{00000000-0005-0000-0000-00000A240000}"/>
    <cellStyle name="SAPBEXexcBad9 2" xfId="9179" xr:uid="{00000000-0005-0000-0000-00000B240000}"/>
    <cellStyle name="SAPBEXexcBad9 3" xfId="9180" xr:uid="{00000000-0005-0000-0000-00000C240000}"/>
    <cellStyle name="SAPBEXexcCritical4" xfId="9181" xr:uid="{00000000-0005-0000-0000-00000D240000}"/>
    <cellStyle name="SAPBEXexcCritical4 2" xfId="9182" xr:uid="{00000000-0005-0000-0000-00000E240000}"/>
    <cellStyle name="SAPBEXexcCritical4 3" xfId="9183" xr:uid="{00000000-0005-0000-0000-00000F240000}"/>
    <cellStyle name="SAPBEXexcCritical5" xfId="9184" xr:uid="{00000000-0005-0000-0000-000010240000}"/>
    <cellStyle name="SAPBEXexcCritical5 2" xfId="9185" xr:uid="{00000000-0005-0000-0000-000011240000}"/>
    <cellStyle name="SAPBEXexcCritical5 3" xfId="9186" xr:uid="{00000000-0005-0000-0000-000012240000}"/>
    <cellStyle name="SAPBEXexcCritical6" xfId="9187" xr:uid="{00000000-0005-0000-0000-000013240000}"/>
    <cellStyle name="SAPBEXexcCritical6 2" xfId="9188" xr:uid="{00000000-0005-0000-0000-000014240000}"/>
    <cellStyle name="SAPBEXexcCritical6 3" xfId="9189" xr:uid="{00000000-0005-0000-0000-000015240000}"/>
    <cellStyle name="SAPBEXexcGood1" xfId="9190" xr:uid="{00000000-0005-0000-0000-000016240000}"/>
    <cellStyle name="SAPBEXexcGood1 2" xfId="9191" xr:uid="{00000000-0005-0000-0000-000017240000}"/>
    <cellStyle name="SAPBEXexcGood1 3" xfId="9192" xr:uid="{00000000-0005-0000-0000-000018240000}"/>
    <cellStyle name="SAPBEXexcGood2" xfId="9193" xr:uid="{00000000-0005-0000-0000-000019240000}"/>
    <cellStyle name="SAPBEXexcGood2 2" xfId="9194" xr:uid="{00000000-0005-0000-0000-00001A240000}"/>
    <cellStyle name="SAPBEXexcGood2 3" xfId="9195" xr:uid="{00000000-0005-0000-0000-00001B240000}"/>
    <cellStyle name="SAPBEXexcGood3" xfId="9196" xr:uid="{00000000-0005-0000-0000-00001C240000}"/>
    <cellStyle name="SAPBEXexcGood3 2" xfId="9197" xr:uid="{00000000-0005-0000-0000-00001D240000}"/>
    <cellStyle name="SAPBEXexcGood3 3" xfId="9198" xr:uid="{00000000-0005-0000-0000-00001E240000}"/>
    <cellStyle name="SAPBEXfilterDrill" xfId="9199" xr:uid="{00000000-0005-0000-0000-00001F240000}"/>
    <cellStyle name="SAPBEXfilterDrill 2" xfId="9200" xr:uid="{00000000-0005-0000-0000-000020240000}"/>
    <cellStyle name="SAPBEXfilterDrill 3" xfId="9201" xr:uid="{00000000-0005-0000-0000-000021240000}"/>
    <cellStyle name="SAPBEXfilterDrill 4" xfId="9202" xr:uid="{00000000-0005-0000-0000-000022240000}"/>
    <cellStyle name="SAPBEXfilterItem" xfId="9203" xr:uid="{00000000-0005-0000-0000-000023240000}"/>
    <cellStyle name="SAPBEXfilterItem 2" xfId="9204" xr:uid="{00000000-0005-0000-0000-000024240000}"/>
    <cellStyle name="SAPBEXfilterItem 3" xfId="9205" xr:uid="{00000000-0005-0000-0000-000025240000}"/>
    <cellStyle name="SAPBEXfilterText" xfId="9206" xr:uid="{00000000-0005-0000-0000-000026240000}"/>
    <cellStyle name="SAPBEXfilterText 2" xfId="9207" xr:uid="{00000000-0005-0000-0000-000027240000}"/>
    <cellStyle name="SAPBEXfilterText 3" xfId="9208" xr:uid="{00000000-0005-0000-0000-000028240000}"/>
    <cellStyle name="SAPBEXformats" xfId="9209" xr:uid="{00000000-0005-0000-0000-000029240000}"/>
    <cellStyle name="SAPBEXformats 2" xfId="9210" xr:uid="{00000000-0005-0000-0000-00002A240000}"/>
    <cellStyle name="SAPBEXformats 2 2" xfId="9211" xr:uid="{00000000-0005-0000-0000-00002B240000}"/>
    <cellStyle name="SAPBEXformats 3" xfId="9212" xr:uid="{00000000-0005-0000-0000-00002C240000}"/>
    <cellStyle name="SAPBEXformats 4" xfId="9213" xr:uid="{00000000-0005-0000-0000-00002D240000}"/>
    <cellStyle name="SAPBEXheaderItem" xfId="9214" xr:uid="{00000000-0005-0000-0000-00002E240000}"/>
    <cellStyle name="SAPBEXheaderItem 2" xfId="9215" xr:uid="{00000000-0005-0000-0000-00002F240000}"/>
    <cellStyle name="SAPBEXheaderItem 3" xfId="9216" xr:uid="{00000000-0005-0000-0000-000030240000}"/>
    <cellStyle name="SAPBEXheaderItem 4" xfId="9217" xr:uid="{00000000-0005-0000-0000-000031240000}"/>
    <cellStyle name="SAPBEXheaderText" xfId="9218" xr:uid="{00000000-0005-0000-0000-000032240000}"/>
    <cellStyle name="SAPBEXheaderText 2" xfId="9219" xr:uid="{00000000-0005-0000-0000-000033240000}"/>
    <cellStyle name="SAPBEXheaderText 3" xfId="9220" xr:uid="{00000000-0005-0000-0000-000034240000}"/>
    <cellStyle name="SAPBEXheaderText 4" xfId="9221" xr:uid="{00000000-0005-0000-0000-000035240000}"/>
    <cellStyle name="SAPBEXHLevel0" xfId="9222" xr:uid="{00000000-0005-0000-0000-000036240000}"/>
    <cellStyle name="SAPBEXHLevel0 2" xfId="9223" xr:uid="{00000000-0005-0000-0000-000037240000}"/>
    <cellStyle name="SAPBEXHLevel0 2 2" xfId="9224" xr:uid="{00000000-0005-0000-0000-000038240000}"/>
    <cellStyle name="SAPBEXHLevel0 3" xfId="9225" xr:uid="{00000000-0005-0000-0000-000039240000}"/>
    <cellStyle name="SAPBEXHLevel0 4" xfId="9226" xr:uid="{00000000-0005-0000-0000-00003A240000}"/>
    <cellStyle name="SAPBEXHLevel0X" xfId="9227" xr:uid="{00000000-0005-0000-0000-00003B240000}"/>
    <cellStyle name="SAPBEXHLevel0X 2" xfId="9228" xr:uid="{00000000-0005-0000-0000-00003C240000}"/>
    <cellStyle name="SAPBEXHLevel0X 2 2" xfId="9229" xr:uid="{00000000-0005-0000-0000-00003D240000}"/>
    <cellStyle name="SAPBEXHLevel0X 2 2 2" xfId="9230" xr:uid="{00000000-0005-0000-0000-00003E240000}"/>
    <cellStyle name="SAPBEXHLevel0X 2 3" xfId="9231" xr:uid="{00000000-0005-0000-0000-00003F240000}"/>
    <cellStyle name="SAPBEXHLevel0X 3" xfId="9232" xr:uid="{00000000-0005-0000-0000-000040240000}"/>
    <cellStyle name="SAPBEXHLevel0X 3 2" xfId="9233" xr:uid="{00000000-0005-0000-0000-000041240000}"/>
    <cellStyle name="SAPBEXHLevel0X 3 2 2" xfId="9234" xr:uid="{00000000-0005-0000-0000-000042240000}"/>
    <cellStyle name="SAPBEXHLevel0X 3 3" xfId="9235" xr:uid="{00000000-0005-0000-0000-000043240000}"/>
    <cellStyle name="SAPBEXHLevel0X 3 3 2" xfId="9236" xr:uid="{00000000-0005-0000-0000-000044240000}"/>
    <cellStyle name="SAPBEXHLevel0X 3 4" xfId="9237" xr:uid="{00000000-0005-0000-0000-000045240000}"/>
    <cellStyle name="SAPBEXHLevel0X 3 4 2" xfId="9238" xr:uid="{00000000-0005-0000-0000-000046240000}"/>
    <cellStyle name="SAPBEXHLevel0X 4" xfId="9239" xr:uid="{00000000-0005-0000-0000-000047240000}"/>
    <cellStyle name="SAPBEXHLevel0X 4 2" xfId="9240" xr:uid="{00000000-0005-0000-0000-000048240000}"/>
    <cellStyle name="SAPBEXHLevel0X 5" xfId="9241" xr:uid="{00000000-0005-0000-0000-000049240000}"/>
    <cellStyle name="SAPBEXHLevel0X 6" xfId="9242" xr:uid="{00000000-0005-0000-0000-00004A240000}"/>
    <cellStyle name="SAPBEXHLevel0X 7" xfId="9243" xr:uid="{00000000-0005-0000-0000-00004B240000}"/>
    <cellStyle name="SAPBEXHLevel0X 8" xfId="9244" xr:uid="{00000000-0005-0000-0000-00004C240000}"/>
    <cellStyle name="SAPBEXHLevel1" xfId="9245" xr:uid="{00000000-0005-0000-0000-00004D240000}"/>
    <cellStyle name="SAPBEXHLevel1 2" xfId="9246" xr:uid="{00000000-0005-0000-0000-00004E240000}"/>
    <cellStyle name="SAPBEXHLevel1 2 2" xfId="9247" xr:uid="{00000000-0005-0000-0000-00004F240000}"/>
    <cellStyle name="SAPBEXHLevel1 3" xfId="9248" xr:uid="{00000000-0005-0000-0000-000050240000}"/>
    <cellStyle name="SAPBEXHLevel1 4" xfId="9249" xr:uid="{00000000-0005-0000-0000-000051240000}"/>
    <cellStyle name="SAPBEXHLevel1X" xfId="9250" xr:uid="{00000000-0005-0000-0000-000052240000}"/>
    <cellStyle name="SAPBEXHLevel1X 2" xfId="9251" xr:uid="{00000000-0005-0000-0000-000053240000}"/>
    <cellStyle name="SAPBEXHLevel1X 2 2" xfId="9252" xr:uid="{00000000-0005-0000-0000-000054240000}"/>
    <cellStyle name="SAPBEXHLevel1X 3" xfId="9253" xr:uid="{00000000-0005-0000-0000-000055240000}"/>
    <cellStyle name="SAPBEXHLevel1X 4" xfId="9254" xr:uid="{00000000-0005-0000-0000-000056240000}"/>
    <cellStyle name="SAPBEXHLevel2" xfId="9255" xr:uid="{00000000-0005-0000-0000-000057240000}"/>
    <cellStyle name="SAPBEXHLevel2 2" xfId="9256" xr:uid="{00000000-0005-0000-0000-000058240000}"/>
    <cellStyle name="SAPBEXHLevel2 2 2" xfId="9257" xr:uid="{00000000-0005-0000-0000-000059240000}"/>
    <cellStyle name="SAPBEXHLevel2 3" xfId="9258" xr:uid="{00000000-0005-0000-0000-00005A240000}"/>
    <cellStyle name="SAPBEXHLevel2 4" xfId="9259" xr:uid="{00000000-0005-0000-0000-00005B240000}"/>
    <cellStyle name="SAPBEXHLevel2X" xfId="9260" xr:uid="{00000000-0005-0000-0000-00005C240000}"/>
    <cellStyle name="SAPBEXHLevel2X 2" xfId="9261" xr:uid="{00000000-0005-0000-0000-00005D240000}"/>
    <cellStyle name="SAPBEXHLevel2X 2 2" xfId="9262" xr:uid="{00000000-0005-0000-0000-00005E240000}"/>
    <cellStyle name="SAPBEXHLevel2X 3" xfId="9263" xr:uid="{00000000-0005-0000-0000-00005F240000}"/>
    <cellStyle name="SAPBEXHLevel2X 4" xfId="9264" xr:uid="{00000000-0005-0000-0000-000060240000}"/>
    <cellStyle name="SAPBEXHLevel3" xfId="9265" xr:uid="{00000000-0005-0000-0000-000061240000}"/>
    <cellStyle name="SAPBEXHLevel3 2" xfId="9266" xr:uid="{00000000-0005-0000-0000-000062240000}"/>
    <cellStyle name="SAPBEXHLevel3 2 2" xfId="9267" xr:uid="{00000000-0005-0000-0000-000063240000}"/>
    <cellStyle name="SAPBEXHLevel3 3" xfId="9268" xr:uid="{00000000-0005-0000-0000-000064240000}"/>
    <cellStyle name="SAPBEXHLevel3 4" xfId="9269" xr:uid="{00000000-0005-0000-0000-000065240000}"/>
    <cellStyle name="SAPBEXHLevel3X" xfId="9270" xr:uid="{00000000-0005-0000-0000-000066240000}"/>
    <cellStyle name="SAPBEXHLevel3X 2" xfId="9271" xr:uid="{00000000-0005-0000-0000-000067240000}"/>
    <cellStyle name="SAPBEXHLevel3X 2 2" xfId="9272" xr:uid="{00000000-0005-0000-0000-000068240000}"/>
    <cellStyle name="SAPBEXHLevel3X 3" xfId="9273" xr:uid="{00000000-0005-0000-0000-000069240000}"/>
    <cellStyle name="SAPBEXHLevel3X 4" xfId="9274" xr:uid="{00000000-0005-0000-0000-00006A240000}"/>
    <cellStyle name="SAPBEXinputData" xfId="9275" xr:uid="{00000000-0005-0000-0000-00006B240000}"/>
    <cellStyle name="SAPBEXinputData 2" xfId="9276" xr:uid="{00000000-0005-0000-0000-00006C240000}"/>
    <cellStyle name="SAPBEXinputData 2 2" xfId="9277" xr:uid="{00000000-0005-0000-0000-00006D240000}"/>
    <cellStyle name="SAPBEXinputData 3" xfId="9278" xr:uid="{00000000-0005-0000-0000-00006E240000}"/>
    <cellStyle name="SAPBEXItemHeader" xfId="9279" xr:uid="{00000000-0005-0000-0000-00006F240000}"/>
    <cellStyle name="SAPBEXresData" xfId="9280" xr:uid="{00000000-0005-0000-0000-000070240000}"/>
    <cellStyle name="SAPBEXresData 2" xfId="9281" xr:uid="{00000000-0005-0000-0000-000071240000}"/>
    <cellStyle name="SAPBEXresData 3" xfId="9282" xr:uid="{00000000-0005-0000-0000-000072240000}"/>
    <cellStyle name="SAPBEXresDataEmph" xfId="9283" xr:uid="{00000000-0005-0000-0000-000073240000}"/>
    <cellStyle name="SAPBEXresDataEmph 2" xfId="9284" xr:uid="{00000000-0005-0000-0000-000074240000}"/>
    <cellStyle name="SAPBEXresDataEmph 3" xfId="9285" xr:uid="{00000000-0005-0000-0000-000075240000}"/>
    <cellStyle name="SAPBEXresItem" xfId="9286" xr:uid="{00000000-0005-0000-0000-000076240000}"/>
    <cellStyle name="SAPBEXresItem 2" xfId="9287" xr:uid="{00000000-0005-0000-0000-000077240000}"/>
    <cellStyle name="SAPBEXresItem 3" xfId="9288" xr:uid="{00000000-0005-0000-0000-000078240000}"/>
    <cellStyle name="SAPBEXresItemX" xfId="9289" xr:uid="{00000000-0005-0000-0000-000079240000}"/>
    <cellStyle name="SAPBEXresItemX 2" xfId="9290" xr:uid="{00000000-0005-0000-0000-00007A240000}"/>
    <cellStyle name="SAPBEXresItemX 3" xfId="9291" xr:uid="{00000000-0005-0000-0000-00007B240000}"/>
    <cellStyle name="SAPBEXstdData" xfId="9292" xr:uid="{00000000-0005-0000-0000-00007C240000}"/>
    <cellStyle name="SAPBEXstdData 2" xfId="9293" xr:uid="{00000000-0005-0000-0000-00007D240000}"/>
    <cellStyle name="SAPBEXstdData 3" xfId="9294" xr:uid="{00000000-0005-0000-0000-00007E240000}"/>
    <cellStyle name="SAPBEXstdData 4" xfId="9295" xr:uid="{00000000-0005-0000-0000-00007F240000}"/>
    <cellStyle name="SAPBEXstdDataEmph" xfId="9296" xr:uid="{00000000-0005-0000-0000-000080240000}"/>
    <cellStyle name="SAPBEXstdDataEmph 2" xfId="9297" xr:uid="{00000000-0005-0000-0000-000081240000}"/>
    <cellStyle name="SAPBEXstdDataEmph 3" xfId="9298" xr:uid="{00000000-0005-0000-0000-000082240000}"/>
    <cellStyle name="SAPBEXstdItem" xfId="9299" xr:uid="{00000000-0005-0000-0000-000083240000}"/>
    <cellStyle name="SAPBEXstdItem 2" xfId="9300" xr:uid="{00000000-0005-0000-0000-000084240000}"/>
    <cellStyle name="SAPBEXstdItem 2 2" xfId="9301" xr:uid="{00000000-0005-0000-0000-000085240000}"/>
    <cellStyle name="SAPBEXstdItem 2 2 2" xfId="9302" xr:uid="{00000000-0005-0000-0000-000086240000}"/>
    <cellStyle name="SAPBEXstdItem 2 3" xfId="9303" xr:uid="{00000000-0005-0000-0000-000087240000}"/>
    <cellStyle name="SAPBEXstdItem 3" xfId="9304" xr:uid="{00000000-0005-0000-0000-000088240000}"/>
    <cellStyle name="SAPBEXstdItem 3 2" xfId="9305" xr:uid="{00000000-0005-0000-0000-000089240000}"/>
    <cellStyle name="SAPBEXstdItem 3 2 2" xfId="9306" xr:uid="{00000000-0005-0000-0000-00008A240000}"/>
    <cellStyle name="SAPBEXstdItem 3 3" xfId="9307" xr:uid="{00000000-0005-0000-0000-00008B240000}"/>
    <cellStyle name="SAPBEXstdItem 3 3 2" xfId="9308" xr:uid="{00000000-0005-0000-0000-00008C240000}"/>
    <cellStyle name="SAPBEXstdItem 3 4" xfId="9309" xr:uid="{00000000-0005-0000-0000-00008D240000}"/>
    <cellStyle name="SAPBEXstdItem 3 4 2" xfId="9310" xr:uid="{00000000-0005-0000-0000-00008E240000}"/>
    <cellStyle name="SAPBEXstdItem 4" xfId="9311" xr:uid="{00000000-0005-0000-0000-00008F240000}"/>
    <cellStyle name="SAPBEXstdItem 4 2" xfId="9312" xr:uid="{00000000-0005-0000-0000-000090240000}"/>
    <cellStyle name="SAPBEXstdItem 5" xfId="9313" xr:uid="{00000000-0005-0000-0000-000091240000}"/>
    <cellStyle name="SAPBEXstdItem 6" xfId="9314" xr:uid="{00000000-0005-0000-0000-000092240000}"/>
    <cellStyle name="SAPBEXstdItem 7" xfId="9315" xr:uid="{00000000-0005-0000-0000-000093240000}"/>
    <cellStyle name="SAPBEXstdItem 8" xfId="9316" xr:uid="{00000000-0005-0000-0000-000094240000}"/>
    <cellStyle name="SAPBEXstdItemX" xfId="9317" xr:uid="{00000000-0005-0000-0000-000095240000}"/>
    <cellStyle name="SAPBEXstdItemX 2" xfId="9318" xr:uid="{00000000-0005-0000-0000-000096240000}"/>
    <cellStyle name="SAPBEXstdItemX 2 2" xfId="9319" xr:uid="{00000000-0005-0000-0000-000097240000}"/>
    <cellStyle name="SAPBEXstdItemX 2 2 2" xfId="9320" xr:uid="{00000000-0005-0000-0000-000098240000}"/>
    <cellStyle name="SAPBEXstdItemX 2 3" xfId="9321" xr:uid="{00000000-0005-0000-0000-000099240000}"/>
    <cellStyle name="SAPBEXstdItemX 3" xfId="9322" xr:uid="{00000000-0005-0000-0000-00009A240000}"/>
    <cellStyle name="SAPBEXstdItemX 3 2" xfId="9323" xr:uid="{00000000-0005-0000-0000-00009B240000}"/>
    <cellStyle name="SAPBEXstdItemX 3 2 2" xfId="9324" xr:uid="{00000000-0005-0000-0000-00009C240000}"/>
    <cellStyle name="SAPBEXstdItemX 3 3" xfId="9325" xr:uid="{00000000-0005-0000-0000-00009D240000}"/>
    <cellStyle name="SAPBEXstdItemX 3 3 2" xfId="9326" xr:uid="{00000000-0005-0000-0000-00009E240000}"/>
    <cellStyle name="SAPBEXstdItemX 3 4" xfId="9327" xr:uid="{00000000-0005-0000-0000-00009F240000}"/>
    <cellStyle name="SAPBEXstdItemX 3 4 2" xfId="9328" xr:uid="{00000000-0005-0000-0000-0000A0240000}"/>
    <cellStyle name="SAPBEXstdItemX 4" xfId="9329" xr:uid="{00000000-0005-0000-0000-0000A1240000}"/>
    <cellStyle name="SAPBEXstdItemX 4 2" xfId="9330" xr:uid="{00000000-0005-0000-0000-0000A2240000}"/>
    <cellStyle name="SAPBEXstdItemX 5" xfId="9331" xr:uid="{00000000-0005-0000-0000-0000A3240000}"/>
    <cellStyle name="SAPBEXstdItemX 6" xfId="9332" xr:uid="{00000000-0005-0000-0000-0000A4240000}"/>
    <cellStyle name="SAPBEXstdItemX 7" xfId="9333" xr:uid="{00000000-0005-0000-0000-0000A5240000}"/>
    <cellStyle name="SAPBEXstdItemX 8" xfId="9334" xr:uid="{00000000-0005-0000-0000-0000A6240000}"/>
    <cellStyle name="SAPBEXtitle" xfId="9335" xr:uid="{00000000-0005-0000-0000-0000A7240000}"/>
    <cellStyle name="SAPBEXtitle 2" xfId="9336" xr:uid="{00000000-0005-0000-0000-0000A8240000}"/>
    <cellStyle name="SAPBEXtitle 3" xfId="9337" xr:uid="{00000000-0005-0000-0000-0000A9240000}"/>
    <cellStyle name="SAPBEXunassignedItem" xfId="9338" xr:uid="{00000000-0005-0000-0000-0000AA240000}"/>
    <cellStyle name="SAPBEXundefined" xfId="9339" xr:uid="{00000000-0005-0000-0000-0000AB240000}"/>
    <cellStyle name="SAPBEXundefined 2" xfId="9340" xr:uid="{00000000-0005-0000-0000-0000AC240000}"/>
    <cellStyle name="SAPBEXundefined 3" xfId="9341" xr:uid="{00000000-0005-0000-0000-0000AD240000}"/>
    <cellStyle name="shade" xfId="9342" xr:uid="{00000000-0005-0000-0000-0000AE240000}"/>
    <cellStyle name="shade 2" xfId="9343" xr:uid="{00000000-0005-0000-0000-0000AF240000}"/>
    <cellStyle name="shade 2 2" xfId="9344" xr:uid="{00000000-0005-0000-0000-0000B0240000}"/>
    <cellStyle name="shade 2 2 2" xfId="9345" xr:uid="{00000000-0005-0000-0000-0000B1240000}"/>
    <cellStyle name="shade 2 3" xfId="9346" xr:uid="{00000000-0005-0000-0000-0000B2240000}"/>
    <cellStyle name="shade 3" xfId="9347" xr:uid="{00000000-0005-0000-0000-0000B3240000}"/>
    <cellStyle name="shade 3 2" xfId="9348" xr:uid="{00000000-0005-0000-0000-0000B4240000}"/>
    <cellStyle name="shade 3 2 2" xfId="9349" xr:uid="{00000000-0005-0000-0000-0000B5240000}"/>
    <cellStyle name="shade 3 3" xfId="9350" xr:uid="{00000000-0005-0000-0000-0000B6240000}"/>
    <cellStyle name="shade 3 3 2" xfId="9351" xr:uid="{00000000-0005-0000-0000-0000B7240000}"/>
    <cellStyle name="shade 3 4" xfId="9352" xr:uid="{00000000-0005-0000-0000-0000B8240000}"/>
    <cellStyle name="shade 3 4 2" xfId="9353" xr:uid="{00000000-0005-0000-0000-0000B9240000}"/>
    <cellStyle name="shade 4" xfId="9354" xr:uid="{00000000-0005-0000-0000-0000BA240000}"/>
    <cellStyle name="shade 4 2" xfId="9355" xr:uid="{00000000-0005-0000-0000-0000BB240000}"/>
    <cellStyle name="shade 5" xfId="9356" xr:uid="{00000000-0005-0000-0000-0000BC240000}"/>
    <cellStyle name="shade 6" xfId="9357" xr:uid="{00000000-0005-0000-0000-0000BD240000}"/>
    <cellStyle name="shade 7" xfId="9358" xr:uid="{00000000-0005-0000-0000-0000BE240000}"/>
    <cellStyle name="shade_ACCOUNTS" xfId="9359" xr:uid="{00000000-0005-0000-0000-0000BF240000}"/>
    <cellStyle name="Sheet Title" xfId="9360" xr:uid="{00000000-0005-0000-0000-0000C0240000}"/>
    <cellStyle name="StmtTtl1" xfId="9361" xr:uid="{00000000-0005-0000-0000-0000C1240000}"/>
    <cellStyle name="StmtTtl1 2" xfId="9362" xr:uid="{00000000-0005-0000-0000-0000C2240000}"/>
    <cellStyle name="StmtTtl1 2 2" xfId="9363" xr:uid="{00000000-0005-0000-0000-0000C3240000}"/>
    <cellStyle name="StmtTtl1 2 3" xfId="9364" xr:uid="{00000000-0005-0000-0000-0000C4240000}"/>
    <cellStyle name="StmtTtl1 2 4" xfId="9365" xr:uid="{00000000-0005-0000-0000-0000C5240000}"/>
    <cellStyle name="StmtTtl1 3" xfId="9366" xr:uid="{00000000-0005-0000-0000-0000C6240000}"/>
    <cellStyle name="StmtTtl1 3 2" xfId="9367" xr:uid="{00000000-0005-0000-0000-0000C7240000}"/>
    <cellStyle name="StmtTtl1 3 3" xfId="9368" xr:uid="{00000000-0005-0000-0000-0000C8240000}"/>
    <cellStyle name="StmtTtl1 3 4" xfId="9369" xr:uid="{00000000-0005-0000-0000-0000C9240000}"/>
    <cellStyle name="StmtTtl1 4" xfId="9370" xr:uid="{00000000-0005-0000-0000-0000CA240000}"/>
    <cellStyle name="StmtTtl1 4 2" xfId="9371" xr:uid="{00000000-0005-0000-0000-0000CB240000}"/>
    <cellStyle name="StmtTtl1 4 3" xfId="9372" xr:uid="{00000000-0005-0000-0000-0000CC240000}"/>
    <cellStyle name="StmtTtl1 4 4" xfId="9373" xr:uid="{00000000-0005-0000-0000-0000CD240000}"/>
    <cellStyle name="StmtTtl1 5" xfId="9374" xr:uid="{00000000-0005-0000-0000-0000CE240000}"/>
    <cellStyle name="StmtTtl1 5 2" xfId="9375" xr:uid="{00000000-0005-0000-0000-0000CF240000}"/>
    <cellStyle name="StmtTtl1 6" xfId="9376" xr:uid="{00000000-0005-0000-0000-0000D0240000}"/>
    <cellStyle name="StmtTtl1 6 2" xfId="9377" xr:uid="{00000000-0005-0000-0000-0000D1240000}"/>
    <cellStyle name="StmtTtl1 7" xfId="9378" xr:uid="{00000000-0005-0000-0000-0000D2240000}"/>
    <cellStyle name="StmtTtl1 8" xfId="9379" xr:uid="{00000000-0005-0000-0000-0000D3240000}"/>
    <cellStyle name="StmtTtl1_(C) WHE Proforma with ITC cash grant 10 Yr Amort_for deferral_102809" xfId="9380" xr:uid="{00000000-0005-0000-0000-0000D4240000}"/>
    <cellStyle name="StmtTtl2" xfId="9381" xr:uid="{00000000-0005-0000-0000-0000D5240000}"/>
    <cellStyle name="StmtTtl2 2" xfId="9382" xr:uid="{00000000-0005-0000-0000-0000D6240000}"/>
    <cellStyle name="StmtTtl2 2 2" xfId="9383" xr:uid="{00000000-0005-0000-0000-0000D7240000}"/>
    <cellStyle name="StmtTtl2 3" xfId="9384" xr:uid="{00000000-0005-0000-0000-0000D8240000}"/>
    <cellStyle name="StmtTtl2 3 2" xfId="9385" xr:uid="{00000000-0005-0000-0000-0000D9240000}"/>
    <cellStyle name="StmtTtl2 4" xfId="9386" xr:uid="{00000000-0005-0000-0000-0000DA240000}"/>
    <cellStyle name="StmtTtl2 5" xfId="9387" xr:uid="{00000000-0005-0000-0000-0000DB240000}"/>
    <cellStyle name="StmtTtl2 6" xfId="9388" xr:uid="{00000000-0005-0000-0000-0000DC240000}"/>
    <cellStyle name="StmtTtl2 7" xfId="9389" xr:uid="{00000000-0005-0000-0000-0000DD240000}"/>
    <cellStyle name="StmtTtl2 8" xfId="9390" xr:uid="{00000000-0005-0000-0000-0000DE240000}"/>
    <cellStyle name="StmtTtl2 9" xfId="9391" xr:uid="{00000000-0005-0000-0000-0000DF240000}"/>
    <cellStyle name="StmtTtl2_4.32E Depreciation Study Robs file" xfId="9392" xr:uid="{00000000-0005-0000-0000-0000E0240000}"/>
    <cellStyle name="STYL1 - Style1" xfId="9393" xr:uid="{00000000-0005-0000-0000-0000E1240000}"/>
    <cellStyle name="STYL1 - Style1 2" xfId="9394" xr:uid="{00000000-0005-0000-0000-0000E2240000}"/>
    <cellStyle name="Style 1" xfId="9395" xr:uid="{00000000-0005-0000-0000-0000E3240000}"/>
    <cellStyle name="Style 1 10" xfId="9396" xr:uid="{00000000-0005-0000-0000-0000E4240000}"/>
    <cellStyle name="Style 1 11" xfId="9397" xr:uid="{00000000-0005-0000-0000-0000E5240000}"/>
    <cellStyle name="Style 1 2" xfId="9398" xr:uid="{00000000-0005-0000-0000-0000E6240000}"/>
    <cellStyle name="Style 1 2 2" xfId="9399" xr:uid="{00000000-0005-0000-0000-0000E7240000}"/>
    <cellStyle name="Style 1 2 2 2" xfId="9400" xr:uid="{00000000-0005-0000-0000-0000E8240000}"/>
    <cellStyle name="Style 1 2 3" xfId="9401" xr:uid="{00000000-0005-0000-0000-0000E9240000}"/>
    <cellStyle name="Style 1 2 4" xfId="9402" xr:uid="{00000000-0005-0000-0000-0000EA240000}"/>
    <cellStyle name="Style 1 2 5" xfId="9403" xr:uid="{00000000-0005-0000-0000-0000EB240000}"/>
    <cellStyle name="Style 1 2 6" xfId="9404" xr:uid="{00000000-0005-0000-0000-0000EC240000}"/>
    <cellStyle name="Style 1 2_Chelan PUD Power Costs (8-10)" xfId="9405" xr:uid="{00000000-0005-0000-0000-0000ED240000}"/>
    <cellStyle name="Style 1 3" xfId="9406" xr:uid="{00000000-0005-0000-0000-0000EE240000}"/>
    <cellStyle name="Style 1 3 2" xfId="9407" xr:uid="{00000000-0005-0000-0000-0000EF240000}"/>
    <cellStyle name="Style 1 3 2 2" xfId="9408" xr:uid="{00000000-0005-0000-0000-0000F0240000}"/>
    <cellStyle name="Style 1 3 2 3" xfId="9409" xr:uid="{00000000-0005-0000-0000-0000F1240000}"/>
    <cellStyle name="Style 1 3 3" xfId="9410" xr:uid="{00000000-0005-0000-0000-0000F2240000}"/>
    <cellStyle name="Style 1 3 3 2" xfId="9411" xr:uid="{00000000-0005-0000-0000-0000F3240000}"/>
    <cellStyle name="Style 1 3 4" xfId="9412" xr:uid="{00000000-0005-0000-0000-0000F4240000}"/>
    <cellStyle name="Style 1 3 5" xfId="9413" xr:uid="{00000000-0005-0000-0000-0000F5240000}"/>
    <cellStyle name="Style 1 4" xfId="9414" xr:uid="{00000000-0005-0000-0000-0000F6240000}"/>
    <cellStyle name="Style 1 4 2" xfId="9415" xr:uid="{00000000-0005-0000-0000-0000F7240000}"/>
    <cellStyle name="Style 1 4 2 2" xfId="9416" xr:uid="{00000000-0005-0000-0000-0000F8240000}"/>
    <cellStyle name="Style 1 4 3" xfId="9417" xr:uid="{00000000-0005-0000-0000-0000F9240000}"/>
    <cellStyle name="Style 1 4 4" xfId="9418" xr:uid="{00000000-0005-0000-0000-0000FA240000}"/>
    <cellStyle name="Style 1 5" xfId="9419" xr:uid="{00000000-0005-0000-0000-0000FB240000}"/>
    <cellStyle name="Style 1 5 2" xfId="9420" xr:uid="{00000000-0005-0000-0000-0000FC240000}"/>
    <cellStyle name="Style 1 5 2 2" xfId="9421" xr:uid="{00000000-0005-0000-0000-0000FD240000}"/>
    <cellStyle name="Style 1 5 3" xfId="9422" xr:uid="{00000000-0005-0000-0000-0000FE240000}"/>
    <cellStyle name="Style 1 5 4" xfId="9423" xr:uid="{00000000-0005-0000-0000-0000FF240000}"/>
    <cellStyle name="Style 1 6" xfId="9424" xr:uid="{00000000-0005-0000-0000-000000250000}"/>
    <cellStyle name="Style 1 6 2" xfId="9425" xr:uid="{00000000-0005-0000-0000-000001250000}"/>
    <cellStyle name="Style 1 6 2 2" xfId="9426" xr:uid="{00000000-0005-0000-0000-000002250000}"/>
    <cellStyle name="Style 1 6 2 3" xfId="9427" xr:uid="{00000000-0005-0000-0000-000003250000}"/>
    <cellStyle name="Style 1 6 3" xfId="9428" xr:uid="{00000000-0005-0000-0000-000004250000}"/>
    <cellStyle name="Style 1 6 3 2" xfId="9429" xr:uid="{00000000-0005-0000-0000-000005250000}"/>
    <cellStyle name="Style 1 6 4" xfId="9430" xr:uid="{00000000-0005-0000-0000-000006250000}"/>
    <cellStyle name="Style 1 6 4 2" xfId="9431" xr:uid="{00000000-0005-0000-0000-000007250000}"/>
    <cellStyle name="Style 1 6 5" xfId="9432" xr:uid="{00000000-0005-0000-0000-000008250000}"/>
    <cellStyle name="Style 1 6 5 2" xfId="9433" xr:uid="{00000000-0005-0000-0000-000009250000}"/>
    <cellStyle name="Style 1 6 6" xfId="9434" xr:uid="{00000000-0005-0000-0000-00000A250000}"/>
    <cellStyle name="Style 1 7" xfId="9435" xr:uid="{00000000-0005-0000-0000-00000B250000}"/>
    <cellStyle name="Style 1 8" xfId="9436" xr:uid="{00000000-0005-0000-0000-00000C250000}"/>
    <cellStyle name="Style 1 9" xfId="9437" xr:uid="{00000000-0005-0000-0000-00000D250000}"/>
    <cellStyle name="Style 1_ Price Inputs" xfId="9438" xr:uid="{00000000-0005-0000-0000-00000E250000}"/>
    <cellStyle name="STYLE1" xfId="9439" xr:uid="{00000000-0005-0000-0000-00000F250000}"/>
    <cellStyle name="STYLE2" xfId="9440" xr:uid="{00000000-0005-0000-0000-000010250000}"/>
    <cellStyle name="STYLE3" xfId="9441" xr:uid="{00000000-0005-0000-0000-000011250000}"/>
    <cellStyle name="sub-tl - Style3" xfId="9442" xr:uid="{00000000-0005-0000-0000-000012250000}"/>
    <cellStyle name="subtot - Style5" xfId="9443" xr:uid="{00000000-0005-0000-0000-000013250000}"/>
    <cellStyle name="Subtotal" xfId="9444" xr:uid="{00000000-0005-0000-0000-000014250000}"/>
    <cellStyle name="Sub-total" xfId="9445" xr:uid="{00000000-0005-0000-0000-000015250000}"/>
    <cellStyle name="Subtotal 2" xfId="9446" xr:uid="{00000000-0005-0000-0000-000016250000}"/>
    <cellStyle name="Sub-total 2" xfId="9447" xr:uid="{00000000-0005-0000-0000-000017250000}"/>
    <cellStyle name="Subtotal 3" xfId="9448" xr:uid="{00000000-0005-0000-0000-000018250000}"/>
    <cellStyle name="Sub-total 3" xfId="9449" xr:uid="{00000000-0005-0000-0000-000019250000}"/>
    <cellStyle name="taples Plaza" xfId="9450" xr:uid="{00000000-0005-0000-0000-00001A250000}"/>
    <cellStyle name="Test" xfId="9451" xr:uid="{00000000-0005-0000-0000-00001B250000}"/>
    <cellStyle name="Tickmark" xfId="9452" xr:uid="{00000000-0005-0000-0000-00001C250000}"/>
    <cellStyle name="Title 2" xfId="9453" xr:uid="{00000000-0005-0000-0000-00001D250000}"/>
    <cellStyle name="Title 2 2" xfId="9454" xr:uid="{00000000-0005-0000-0000-00001E250000}"/>
    <cellStyle name="Title 2 2 2" xfId="9455" xr:uid="{00000000-0005-0000-0000-00001F250000}"/>
    <cellStyle name="Title 2 3" xfId="9456" xr:uid="{00000000-0005-0000-0000-000020250000}"/>
    <cellStyle name="Title 3" xfId="9457" xr:uid="{00000000-0005-0000-0000-000021250000}"/>
    <cellStyle name="Title 3 2" xfId="9458" xr:uid="{00000000-0005-0000-0000-000022250000}"/>
    <cellStyle name="Title 3 3" xfId="9459" xr:uid="{00000000-0005-0000-0000-000023250000}"/>
    <cellStyle name="Title 3 4" xfId="9460" xr:uid="{00000000-0005-0000-0000-000024250000}"/>
    <cellStyle name="Title 4" xfId="9461" xr:uid="{00000000-0005-0000-0000-000025250000}"/>
    <cellStyle name="Title 5" xfId="9462" xr:uid="{00000000-0005-0000-0000-000026250000}"/>
    <cellStyle name="Title 6" xfId="9463" xr:uid="{00000000-0005-0000-0000-000027250000}"/>
    <cellStyle name="Title: - Style3" xfId="9464" xr:uid="{00000000-0005-0000-0000-000028250000}"/>
    <cellStyle name="Title: - Style4" xfId="9465" xr:uid="{00000000-0005-0000-0000-000029250000}"/>
    <cellStyle name="Title: Major" xfId="9466" xr:uid="{00000000-0005-0000-0000-00002A250000}"/>
    <cellStyle name="Title: Major 2" xfId="9467" xr:uid="{00000000-0005-0000-0000-00002B250000}"/>
    <cellStyle name="Title: Major 3" xfId="9468" xr:uid="{00000000-0005-0000-0000-00002C250000}"/>
    <cellStyle name="Title: Minor" xfId="9469" xr:uid="{00000000-0005-0000-0000-00002D250000}"/>
    <cellStyle name="Title: Minor 2" xfId="9470" xr:uid="{00000000-0005-0000-0000-00002E250000}"/>
    <cellStyle name="Title: Minor 3" xfId="9471" xr:uid="{00000000-0005-0000-0000-00002F250000}"/>
    <cellStyle name="Title: Minor_Electric Rev Req Model (2009 GRC) Rebuttal" xfId="9472" xr:uid="{00000000-0005-0000-0000-000030250000}"/>
    <cellStyle name="Title: Worksheet" xfId="9473" xr:uid="{00000000-0005-0000-0000-000031250000}"/>
    <cellStyle name="Title: Worksheet 2" xfId="9474" xr:uid="{00000000-0005-0000-0000-000032250000}"/>
    <cellStyle name="Total 2" xfId="9475" xr:uid="{00000000-0005-0000-0000-000033250000}"/>
    <cellStyle name="Total 2 2" xfId="9476" xr:uid="{00000000-0005-0000-0000-000034250000}"/>
    <cellStyle name="Total 2 2 2" xfId="9477" xr:uid="{00000000-0005-0000-0000-000035250000}"/>
    <cellStyle name="Total 2 2 3" xfId="9478" xr:uid="{00000000-0005-0000-0000-000036250000}"/>
    <cellStyle name="Total 2 3" xfId="9479" xr:uid="{00000000-0005-0000-0000-000037250000}"/>
    <cellStyle name="Total 2 3 2" xfId="9480" xr:uid="{00000000-0005-0000-0000-000038250000}"/>
    <cellStyle name="Total 2 3 3" xfId="9481" xr:uid="{00000000-0005-0000-0000-000039250000}"/>
    <cellStyle name="Total 2 3 4" xfId="9482" xr:uid="{00000000-0005-0000-0000-00003A250000}"/>
    <cellStyle name="Total 2 4" xfId="9483" xr:uid="{00000000-0005-0000-0000-00003B250000}"/>
    <cellStyle name="Total 3" xfId="9484" xr:uid="{00000000-0005-0000-0000-00003C250000}"/>
    <cellStyle name="Total 3 2" xfId="9485" xr:uid="{00000000-0005-0000-0000-00003D250000}"/>
    <cellStyle name="Total 3 3" xfId="9486" xr:uid="{00000000-0005-0000-0000-00003E250000}"/>
    <cellStyle name="Total 3 4" xfId="9487" xr:uid="{00000000-0005-0000-0000-00003F250000}"/>
    <cellStyle name="Total 4" xfId="9488" xr:uid="{00000000-0005-0000-0000-000040250000}"/>
    <cellStyle name="Total 4 2" xfId="9489" xr:uid="{00000000-0005-0000-0000-000041250000}"/>
    <cellStyle name="Total 5" xfId="9490" xr:uid="{00000000-0005-0000-0000-000042250000}"/>
    <cellStyle name="Total 6" xfId="9491" xr:uid="{00000000-0005-0000-0000-000043250000}"/>
    <cellStyle name="Total 9" xfId="9492" xr:uid="{00000000-0005-0000-0000-000044250000}"/>
    <cellStyle name="Total 9 2" xfId="9493" xr:uid="{00000000-0005-0000-0000-000045250000}"/>
    <cellStyle name="Total4 - Style4" xfId="9494" xr:uid="{00000000-0005-0000-0000-000046250000}"/>
    <cellStyle name="Total4 - Style4 2" xfId="9495" xr:uid="{00000000-0005-0000-0000-000047250000}"/>
    <cellStyle name="Total4 - Style4 2 2" xfId="9496" xr:uid="{00000000-0005-0000-0000-000048250000}"/>
    <cellStyle name="Total4 - Style4 3" xfId="9497" xr:uid="{00000000-0005-0000-0000-000049250000}"/>
    <cellStyle name="Total4 - Style4_ACCOUNTS" xfId="9498" xr:uid="{00000000-0005-0000-0000-00004A250000}"/>
    <cellStyle name="Warning Text 2" xfId="9499" xr:uid="{00000000-0005-0000-0000-00004B250000}"/>
    <cellStyle name="Warning Text 2 2" xfId="9500" xr:uid="{00000000-0005-0000-0000-00004C250000}"/>
    <cellStyle name="Warning Text 2 2 2" xfId="9501" xr:uid="{00000000-0005-0000-0000-00004D250000}"/>
    <cellStyle name="Warning Text 2 3" xfId="9502" xr:uid="{00000000-0005-0000-0000-00004E250000}"/>
    <cellStyle name="Warning Text 3" xfId="9503" xr:uid="{00000000-0005-0000-0000-00004F250000}"/>
    <cellStyle name="Warning Text 4" xfId="9504" xr:uid="{00000000-0005-0000-0000-000050250000}"/>
    <cellStyle name="WM_STANDARD" xfId="9518" xr:uid="{00000000-0005-0000-0000-000051250000}"/>
    <cellStyle name="WMI_Standard" xfId="9517" xr:uid="{00000000-0005-0000-0000-000052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4\2014%20WA_ELEC_&amp;_GAS_GRC\Settlement%20Documents%20-%20August%202014\Settlement%20Decoupling%20Base%20files\Forecast%20Extr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workbookViewId="0"/>
  </sheetViews>
  <sheetFormatPr defaultRowHeight="14.4"/>
  <cols>
    <col min="1" max="1" width="2.44140625" customWidth="1"/>
    <col min="2" max="2" width="22.6640625" customWidth="1"/>
    <col min="4" max="15" width="12" bestFit="1" customWidth="1"/>
    <col min="16" max="16" width="13.5546875" bestFit="1" customWidth="1"/>
  </cols>
  <sheetData>
    <row r="1" spans="1:16">
      <c r="A1" t="s">
        <v>181</v>
      </c>
    </row>
    <row r="2" spans="1:16">
      <c r="A2" t="s">
        <v>83</v>
      </c>
    </row>
    <row r="3" spans="1:16">
      <c r="A3" t="s">
        <v>84</v>
      </c>
    </row>
    <row r="4" spans="1:16">
      <c r="A4" t="s">
        <v>85</v>
      </c>
    </row>
    <row r="5" spans="1:16">
      <c r="D5" t="s">
        <v>89</v>
      </c>
      <c r="E5" t="s">
        <v>90</v>
      </c>
      <c r="F5" t="s">
        <v>91</v>
      </c>
      <c r="G5" t="s">
        <v>92</v>
      </c>
      <c r="H5" t="s">
        <v>40</v>
      </c>
      <c r="I5" t="s">
        <v>93</v>
      </c>
      <c r="J5" t="s">
        <v>94</v>
      </c>
      <c r="K5" t="s">
        <v>95</v>
      </c>
      <c r="L5" t="s">
        <v>96</v>
      </c>
      <c r="M5" t="s">
        <v>86</v>
      </c>
      <c r="N5" t="s">
        <v>87</v>
      </c>
      <c r="O5" t="s">
        <v>88</v>
      </c>
      <c r="P5" t="s">
        <v>67</v>
      </c>
    </row>
    <row r="6" spans="1:16">
      <c r="A6" t="s">
        <v>97</v>
      </c>
    </row>
    <row r="7" spans="1:16">
      <c r="B7" t="s">
        <v>98</v>
      </c>
      <c r="D7" s="50">
        <v>289886480</v>
      </c>
      <c r="E7" s="50">
        <v>265521283</v>
      </c>
      <c r="F7" s="50">
        <v>243798239</v>
      </c>
      <c r="G7" s="50">
        <v>186717371</v>
      </c>
      <c r="H7" s="50">
        <v>166632949</v>
      </c>
      <c r="I7" s="50">
        <v>143928993</v>
      </c>
      <c r="J7" s="50">
        <v>156298537</v>
      </c>
      <c r="K7" s="50">
        <v>190162484</v>
      </c>
      <c r="L7" s="50">
        <v>183763954</v>
      </c>
      <c r="M7" s="50">
        <v>172515690</v>
      </c>
      <c r="N7" s="50">
        <v>182389214</v>
      </c>
      <c r="O7" s="50">
        <v>262077988</v>
      </c>
      <c r="P7" s="50">
        <f>SUM(D7:O7)</f>
        <v>2443693182</v>
      </c>
    </row>
    <row r="8" spans="1:16">
      <c r="B8" t="s">
        <v>99</v>
      </c>
      <c r="D8" s="50">
        <v>59897515</v>
      </c>
      <c r="E8" s="50">
        <v>57189947</v>
      </c>
      <c r="F8" s="50">
        <v>53416031</v>
      </c>
      <c r="G8" s="50">
        <v>45515376</v>
      </c>
      <c r="H8" s="50">
        <v>44349209</v>
      </c>
      <c r="I8" s="50">
        <v>40552190</v>
      </c>
      <c r="J8" s="50">
        <v>43982858</v>
      </c>
      <c r="K8" s="50">
        <v>50216491</v>
      </c>
      <c r="L8" s="50">
        <v>52391286</v>
      </c>
      <c r="M8" s="50">
        <v>48027262</v>
      </c>
      <c r="N8" s="50">
        <v>44565871</v>
      </c>
      <c r="O8" s="50">
        <v>56546224</v>
      </c>
      <c r="P8" s="50">
        <f t="shared" ref="P8:P12" si="0">SUM(D8:O8)</f>
        <v>596650260</v>
      </c>
    </row>
    <row r="9" spans="1:16">
      <c r="B9" t="s">
        <v>100</v>
      </c>
      <c r="D9" s="50">
        <v>124987510</v>
      </c>
      <c r="E9" s="50">
        <v>121599193</v>
      </c>
      <c r="F9" s="50">
        <v>116342928</v>
      </c>
      <c r="G9" s="50">
        <v>108793173</v>
      </c>
      <c r="H9" s="50">
        <v>113179392</v>
      </c>
      <c r="I9" s="50">
        <v>112320632</v>
      </c>
      <c r="J9" s="50">
        <v>115086097</v>
      </c>
      <c r="K9" s="50">
        <v>125217488</v>
      </c>
      <c r="L9" s="50">
        <v>132529218</v>
      </c>
      <c r="M9" s="50">
        <v>122102098</v>
      </c>
      <c r="N9" s="50">
        <v>110516653</v>
      </c>
      <c r="O9" s="50">
        <v>126020571</v>
      </c>
      <c r="P9" s="50">
        <f t="shared" si="0"/>
        <v>1428694953</v>
      </c>
    </row>
    <row r="10" spans="1:16">
      <c r="B10" t="s">
        <v>101</v>
      </c>
      <c r="D10" s="50">
        <v>91489298</v>
      </c>
      <c r="E10" s="50">
        <v>94615706</v>
      </c>
      <c r="F10" s="50">
        <v>86450358</v>
      </c>
      <c r="G10" s="50">
        <v>94974601</v>
      </c>
      <c r="H10" s="50">
        <v>91311649</v>
      </c>
      <c r="I10" s="50">
        <v>91684982</v>
      </c>
      <c r="J10" s="50">
        <v>87883840</v>
      </c>
      <c r="K10" s="50">
        <v>94835244</v>
      </c>
      <c r="L10" s="50">
        <v>98265527</v>
      </c>
      <c r="M10" s="50">
        <v>90540039</v>
      </c>
      <c r="N10" s="50">
        <v>89392627</v>
      </c>
      <c r="O10" s="50">
        <v>90598623</v>
      </c>
      <c r="P10" s="50">
        <f t="shared" si="0"/>
        <v>1102042494</v>
      </c>
    </row>
    <row r="11" spans="1:16">
      <c r="B11" t="s">
        <v>102</v>
      </c>
      <c r="D11" s="50">
        <v>4672648</v>
      </c>
      <c r="E11" s="50">
        <v>4692329</v>
      </c>
      <c r="F11" s="50">
        <v>4018427</v>
      </c>
      <c r="G11" s="50">
        <v>5516677</v>
      </c>
      <c r="H11" s="50">
        <v>10758607</v>
      </c>
      <c r="I11" s="50">
        <v>19067966</v>
      </c>
      <c r="J11" s="50">
        <v>22113559</v>
      </c>
      <c r="K11" s="50">
        <v>23803945</v>
      </c>
      <c r="L11" s="50">
        <v>22699934</v>
      </c>
      <c r="M11" s="50">
        <v>10534589</v>
      </c>
      <c r="N11" s="50">
        <v>4961688</v>
      </c>
      <c r="O11" s="50">
        <v>4285935</v>
      </c>
      <c r="P11" s="50">
        <f t="shared" si="0"/>
        <v>137126304</v>
      </c>
    </row>
    <row r="12" spans="1:16">
      <c r="B12" t="s">
        <v>103</v>
      </c>
      <c r="D12" s="50">
        <v>2098291</v>
      </c>
      <c r="E12" s="50">
        <v>2097748</v>
      </c>
      <c r="F12" s="50">
        <v>2097084</v>
      </c>
      <c r="G12" s="50">
        <v>2092917</v>
      </c>
      <c r="H12" s="50">
        <v>2080667</v>
      </c>
      <c r="I12" s="50">
        <v>2071670</v>
      </c>
      <c r="J12" s="50">
        <v>2091912</v>
      </c>
      <c r="K12" s="50">
        <v>2091315</v>
      </c>
      <c r="L12" s="50">
        <v>2086444</v>
      </c>
      <c r="M12" s="50">
        <v>2114106</v>
      </c>
      <c r="N12" s="50">
        <v>2103410</v>
      </c>
      <c r="O12" s="50">
        <v>2102201</v>
      </c>
      <c r="P12" s="50">
        <f t="shared" si="0"/>
        <v>25127765</v>
      </c>
    </row>
    <row r="13" spans="1:16">
      <c r="A13" t="s">
        <v>104</v>
      </c>
      <c r="D13" s="51">
        <f>SUM(D7:D12)</f>
        <v>573031742</v>
      </c>
      <c r="E13" s="51">
        <f t="shared" ref="E13:P13" si="1">SUM(E7:E12)</f>
        <v>545716206</v>
      </c>
      <c r="F13" s="51">
        <f t="shared" si="1"/>
        <v>506123067</v>
      </c>
      <c r="G13" s="51">
        <f t="shared" si="1"/>
        <v>443610115</v>
      </c>
      <c r="H13" s="51">
        <f t="shared" si="1"/>
        <v>428312473</v>
      </c>
      <c r="I13" s="51">
        <f t="shared" si="1"/>
        <v>409626433</v>
      </c>
      <c r="J13" s="51">
        <f t="shared" si="1"/>
        <v>427456803</v>
      </c>
      <c r="K13" s="51">
        <f t="shared" si="1"/>
        <v>486326967</v>
      </c>
      <c r="L13" s="51">
        <f t="shared" si="1"/>
        <v>491736363</v>
      </c>
      <c r="M13" s="51">
        <f t="shared" si="1"/>
        <v>445833784</v>
      </c>
      <c r="N13" s="51">
        <f t="shared" si="1"/>
        <v>433929463</v>
      </c>
      <c r="O13" s="51">
        <f t="shared" si="1"/>
        <v>541631542</v>
      </c>
      <c r="P13" s="51">
        <f t="shared" si="1"/>
        <v>5733334958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105</v>
      </c>
    </row>
    <row r="16" spans="1:16">
      <c r="B16" t="s">
        <v>98</v>
      </c>
      <c r="D16" s="50">
        <v>-8629013</v>
      </c>
      <c r="E16" s="50">
        <v>-13249697</v>
      </c>
      <c r="F16" s="50">
        <v>-15167724</v>
      </c>
      <c r="G16" s="50">
        <v>-15020391</v>
      </c>
      <c r="H16" s="50">
        <v>-8320850</v>
      </c>
      <c r="I16" s="50">
        <v>-6289455</v>
      </c>
      <c r="J16" s="50">
        <v>32359748</v>
      </c>
      <c r="K16" s="50">
        <v>7875571</v>
      </c>
      <c r="L16" s="50">
        <v>-35572443</v>
      </c>
      <c r="M16" s="50">
        <v>5552393</v>
      </c>
      <c r="N16" s="50">
        <v>31259449</v>
      </c>
      <c r="O16" s="50">
        <v>21876369</v>
      </c>
      <c r="P16" s="50">
        <f>SUM(D16:O16)</f>
        <v>-3326043</v>
      </c>
    </row>
    <row r="17" spans="1:16">
      <c r="B17" t="s">
        <v>99</v>
      </c>
      <c r="D17" s="50">
        <v>-3303565</v>
      </c>
      <c r="E17" s="50">
        <v>-1535906</v>
      </c>
      <c r="F17" s="50">
        <v>-2730463</v>
      </c>
      <c r="G17" s="50">
        <v>-359642</v>
      </c>
      <c r="H17" s="50">
        <v>330134</v>
      </c>
      <c r="I17" s="50">
        <v>-8117</v>
      </c>
      <c r="J17" s="50">
        <v>8770260</v>
      </c>
      <c r="K17" s="50">
        <v>-66022</v>
      </c>
      <c r="L17" s="50">
        <v>-7064268</v>
      </c>
      <c r="M17" s="50">
        <v>1915402</v>
      </c>
      <c r="N17" s="50">
        <v>3710756</v>
      </c>
      <c r="O17" s="50">
        <v>571774</v>
      </c>
      <c r="P17" s="50">
        <f t="shared" ref="P17:P21" si="2">SUM(D17:O17)</f>
        <v>230343</v>
      </c>
    </row>
    <row r="18" spans="1:16">
      <c r="B18" t="s">
        <v>100</v>
      </c>
      <c r="D18" s="50">
        <v>-12112408</v>
      </c>
      <c r="E18" s="50">
        <v>-1842619</v>
      </c>
      <c r="F18" s="50">
        <v>-4416151</v>
      </c>
      <c r="G18" s="50">
        <v>5108117</v>
      </c>
      <c r="H18" s="50">
        <v>5506971</v>
      </c>
      <c r="I18" s="50">
        <v>6019940</v>
      </c>
      <c r="J18" s="50">
        <v>19264215</v>
      </c>
      <c r="K18" s="50">
        <v>-5195728</v>
      </c>
      <c r="L18" s="50">
        <v>-16717293</v>
      </c>
      <c r="M18" s="50">
        <v>5029228</v>
      </c>
      <c r="N18" s="50">
        <v>7159702</v>
      </c>
      <c r="O18" s="50">
        <v>-7595920</v>
      </c>
      <c r="P18" s="50">
        <f t="shared" si="2"/>
        <v>208054</v>
      </c>
    </row>
    <row r="19" spans="1:16">
      <c r="B19" t="s">
        <v>101</v>
      </c>
      <c r="D19" s="50">
        <v>2241859</v>
      </c>
      <c r="E19" s="50">
        <v>-8070452</v>
      </c>
      <c r="F19" s="50">
        <v>8650454</v>
      </c>
      <c r="G19" s="50">
        <v>-3806069</v>
      </c>
      <c r="H19" s="50">
        <v>364651</v>
      </c>
      <c r="I19" s="50">
        <v>-3831904</v>
      </c>
      <c r="J19" s="50">
        <v>7018703</v>
      </c>
      <c r="K19" s="50">
        <v>3501763</v>
      </c>
      <c r="L19" s="50">
        <v>-4414487</v>
      </c>
      <c r="M19" s="50">
        <v>1351394</v>
      </c>
      <c r="N19" s="50">
        <v>-1068952</v>
      </c>
      <c r="O19" s="50">
        <v>1470945</v>
      </c>
      <c r="P19" s="50">
        <f t="shared" si="2"/>
        <v>3407905</v>
      </c>
    </row>
    <row r="20" spans="1:16">
      <c r="B20" t="s">
        <v>102</v>
      </c>
      <c r="D20" s="50">
        <v>-43021</v>
      </c>
      <c r="E20" s="50">
        <v>-25142</v>
      </c>
      <c r="F20" s="50">
        <v>-357896</v>
      </c>
      <c r="G20" s="50">
        <v>812155</v>
      </c>
      <c r="H20" s="50">
        <v>2291358</v>
      </c>
      <c r="I20" s="50">
        <v>4650004</v>
      </c>
      <c r="J20" s="50">
        <v>4465624</v>
      </c>
      <c r="K20" s="50">
        <v>-265677</v>
      </c>
      <c r="L20" s="50">
        <v>-3821209</v>
      </c>
      <c r="M20" s="50">
        <v>-4323417</v>
      </c>
      <c r="N20" s="50">
        <v>-2327262</v>
      </c>
      <c r="O20" s="50">
        <v>-954777</v>
      </c>
      <c r="P20" s="50">
        <f t="shared" si="2"/>
        <v>100740</v>
      </c>
    </row>
    <row r="21" spans="1:16">
      <c r="B21" t="s">
        <v>103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f t="shared" si="2"/>
        <v>0</v>
      </c>
    </row>
    <row r="22" spans="1:16">
      <c r="A22" t="s">
        <v>106</v>
      </c>
      <c r="D22" s="51">
        <f>SUM(D16:D21)</f>
        <v>-21846148</v>
      </c>
      <c r="E22" s="51">
        <f t="shared" ref="E22:P22" si="3">SUM(E16:E21)</f>
        <v>-24723816</v>
      </c>
      <c r="F22" s="51">
        <f t="shared" si="3"/>
        <v>-14021780</v>
      </c>
      <c r="G22" s="51">
        <f t="shared" si="3"/>
        <v>-13265830</v>
      </c>
      <c r="H22" s="51">
        <f t="shared" si="3"/>
        <v>172264</v>
      </c>
      <c r="I22" s="51">
        <f t="shared" si="3"/>
        <v>540468</v>
      </c>
      <c r="J22" s="51">
        <f t="shared" si="3"/>
        <v>71878550</v>
      </c>
      <c r="K22" s="51">
        <f t="shared" si="3"/>
        <v>5849907</v>
      </c>
      <c r="L22" s="51">
        <f t="shared" si="3"/>
        <v>-67589700</v>
      </c>
      <c r="M22" s="51">
        <f t="shared" si="3"/>
        <v>9525000</v>
      </c>
      <c r="N22" s="51">
        <f t="shared" si="3"/>
        <v>38733693</v>
      </c>
      <c r="O22" s="51">
        <f t="shared" si="3"/>
        <v>15368391</v>
      </c>
      <c r="P22" s="51">
        <f t="shared" si="3"/>
        <v>620999</v>
      </c>
    </row>
    <row r="24" spans="1:16">
      <c r="A24" t="s">
        <v>107</v>
      </c>
    </row>
    <row r="25" spans="1:16">
      <c r="B25" t="s">
        <v>99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100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107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108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101</v>
      </c>
      <c r="D30" s="50">
        <v>884548</v>
      </c>
      <c r="E30" s="50">
        <v>-94896</v>
      </c>
      <c r="F30" s="50">
        <v>-126211</v>
      </c>
      <c r="G30" s="50">
        <v>143117</v>
      </c>
      <c r="H30" s="50">
        <v>8682</v>
      </c>
      <c r="I30" s="50">
        <v>30762</v>
      </c>
      <c r="J30" s="50">
        <v>-67299</v>
      </c>
      <c r="K30" s="50">
        <v>-71480</v>
      </c>
      <c r="L30" s="50">
        <v>27399</v>
      </c>
      <c r="M30" s="50">
        <v>-49742</v>
      </c>
      <c r="N30" s="50">
        <v>-182874</v>
      </c>
      <c r="O30" s="50">
        <v>-580269</v>
      </c>
      <c r="P30" s="50">
        <f>SUM(D30:O30)</f>
        <v>-78263</v>
      </c>
    </row>
    <row r="32" spans="1:16">
      <c r="A32" t="s">
        <v>109</v>
      </c>
    </row>
    <row r="33" spans="1:16">
      <c r="B33" t="s">
        <v>98</v>
      </c>
      <c r="D33" s="50">
        <v>3418458</v>
      </c>
      <c r="E33" s="50">
        <v>-19673731</v>
      </c>
      <c r="F33" s="50">
        <v>122066</v>
      </c>
      <c r="G33" s="50">
        <v>625889</v>
      </c>
      <c r="H33" s="50">
        <v>8320450</v>
      </c>
      <c r="I33" s="50">
        <v>10531416</v>
      </c>
      <c r="J33" s="50">
        <v>-35298252</v>
      </c>
      <c r="K33" s="50">
        <v>-16715738</v>
      </c>
      <c r="L33" s="50">
        <v>-1630970</v>
      </c>
      <c r="M33" s="50">
        <v>-4013526</v>
      </c>
      <c r="N33" s="50">
        <v>-983199</v>
      </c>
      <c r="O33" s="50">
        <v>-6591971</v>
      </c>
      <c r="P33" s="50">
        <f>SUM(D33:O33)</f>
        <v>-61889108</v>
      </c>
    </row>
    <row r="34" spans="1:16">
      <c r="B34" t="s">
        <v>99</v>
      </c>
      <c r="D34" s="50">
        <v>296016</v>
      </c>
      <c r="E34" s="50">
        <v>-1701682</v>
      </c>
      <c r="F34" s="50">
        <v>10735</v>
      </c>
      <c r="G34" s="50">
        <v>28318</v>
      </c>
      <c r="H34" s="50">
        <v>785394</v>
      </c>
      <c r="I34" s="50">
        <v>1336350</v>
      </c>
      <c r="J34" s="50">
        <v>-5560783</v>
      </c>
      <c r="K34" s="50">
        <v>-2629971</v>
      </c>
      <c r="L34" s="50">
        <v>-255968</v>
      </c>
      <c r="M34" s="50">
        <v>-166876</v>
      </c>
      <c r="N34" s="50">
        <v>-51342</v>
      </c>
      <c r="O34" s="50">
        <v>-569558</v>
      </c>
      <c r="P34" s="50">
        <f t="shared" ref="P34:P38" si="4">SUM(D34:O34)</f>
        <v>-8479367</v>
      </c>
    </row>
    <row r="35" spans="1:16">
      <c r="B35" t="s">
        <v>100</v>
      </c>
      <c r="D35" s="50">
        <v>152288</v>
      </c>
      <c r="E35" s="50">
        <v>-875266</v>
      </c>
      <c r="F35" s="50">
        <v>5418</v>
      </c>
      <c r="G35" s="50">
        <v>3281</v>
      </c>
      <c r="H35" s="50">
        <v>907824</v>
      </c>
      <c r="I35" s="50">
        <v>1564232</v>
      </c>
      <c r="J35" s="50">
        <v>-7384749</v>
      </c>
      <c r="K35" s="50">
        <v>-3492514</v>
      </c>
      <c r="L35" s="50">
        <v>-340803</v>
      </c>
      <c r="M35" s="50">
        <v>84965</v>
      </c>
      <c r="N35" s="50">
        <v>-5447</v>
      </c>
      <c r="O35" s="50">
        <v>-293965</v>
      </c>
      <c r="P35" s="50">
        <f t="shared" si="4"/>
        <v>-9674736</v>
      </c>
    </row>
    <row r="36" spans="1:16">
      <c r="B36" t="s">
        <v>101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f t="shared" si="4"/>
        <v>0</v>
      </c>
    </row>
    <row r="37" spans="1:16">
      <c r="B37" t="s">
        <v>102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f t="shared" si="4"/>
        <v>0</v>
      </c>
    </row>
    <row r="38" spans="1:16">
      <c r="B38" t="s">
        <v>103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f t="shared" si="4"/>
        <v>0</v>
      </c>
    </row>
    <row r="39" spans="1:16">
      <c r="A39" t="s">
        <v>110</v>
      </c>
      <c r="D39" s="51">
        <f>SUM(D33:D38)</f>
        <v>3866762</v>
      </c>
      <c r="E39" s="51">
        <f t="shared" ref="E39:P39" si="5">SUM(E33:E38)</f>
        <v>-22250679</v>
      </c>
      <c r="F39" s="51">
        <f t="shared" si="5"/>
        <v>138219</v>
      </c>
      <c r="G39" s="51">
        <f t="shared" si="5"/>
        <v>657488</v>
      </c>
      <c r="H39" s="51">
        <f t="shared" si="5"/>
        <v>10013668</v>
      </c>
      <c r="I39" s="51">
        <f t="shared" si="5"/>
        <v>13431998</v>
      </c>
      <c r="J39" s="51">
        <f t="shared" si="5"/>
        <v>-48243784</v>
      </c>
      <c r="K39" s="51">
        <f t="shared" si="5"/>
        <v>-22838223</v>
      </c>
      <c r="L39" s="51">
        <f t="shared" si="5"/>
        <v>-2227741</v>
      </c>
      <c r="M39" s="51">
        <f t="shared" si="5"/>
        <v>-4095437</v>
      </c>
      <c r="N39" s="51">
        <f t="shared" si="5"/>
        <v>-1039988</v>
      </c>
      <c r="O39" s="51">
        <f t="shared" si="5"/>
        <v>-7455494</v>
      </c>
      <c r="P39" s="51">
        <f t="shared" si="5"/>
        <v>-80043211</v>
      </c>
    </row>
    <row r="41" spans="1:16">
      <c r="A41" t="s">
        <v>111</v>
      </c>
    </row>
    <row r="42" spans="1:16">
      <c r="B42" t="s">
        <v>98</v>
      </c>
      <c r="D42" s="50">
        <f t="shared" ref="D42:O42" si="6">D7+D16+D33</f>
        <v>284675925</v>
      </c>
      <c r="E42" s="50">
        <f t="shared" si="6"/>
        <v>232597855</v>
      </c>
      <c r="F42" s="50">
        <f t="shared" si="6"/>
        <v>228752581</v>
      </c>
      <c r="G42" s="50">
        <f t="shared" si="6"/>
        <v>172322869</v>
      </c>
      <c r="H42" s="50">
        <f t="shared" si="6"/>
        <v>166632549</v>
      </c>
      <c r="I42" s="50">
        <f t="shared" si="6"/>
        <v>148170954</v>
      </c>
      <c r="J42" s="50">
        <f t="shared" si="6"/>
        <v>153360033</v>
      </c>
      <c r="K42" s="50">
        <f t="shared" si="6"/>
        <v>181322317</v>
      </c>
      <c r="L42" s="50">
        <f t="shared" si="6"/>
        <v>146560541</v>
      </c>
      <c r="M42" s="50">
        <f t="shared" si="6"/>
        <v>174054557</v>
      </c>
      <c r="N42" s="50">
        <f t="shared" si="6"/>
        <v>212665464</v>
      </c>
      <c r="O42" s="50">
        <f t="shared" si="6"/>
        <v>277362386</v>
      </c>
      <c r="P42" s="50">
        <f t="shared" ref="P42:P47" si="7">SUM(D42:O42)</f>
        <v>2378478031</v>
      </c>
    </row>
    <row r="43" spans="1:16">
      <c r="B43" t="s">
        <v>99</v>
      </c>
      <c r="D43" s="50">
        <f>D8+D17+D34+D25</f>
        <v>56889966</v>
      </c>
      <c r="E43" s="50">
        <f t="shared" ref="E43:O44" si="8">E8+E17+E34+E25</f>
        <v>53952359</v>
      </c>
      <c r="F43" s="50">
        <f t="shared" si="8"/>
        <v>50696303</v>
      </c>
      <c r="G43" s="50">
        <f t="shared" si="8"/>
        <v>45184052</v>
      </c>
      <c r="H43" s="50">
        <f t="shared" si="8"/>
        <v>45464737</v>
      </c>
      <c r="I43" s="50">
        <f t="shared" si="8"/>
        <v>41880423</v>
      </c>
      <c r="J43" s="50">
        <f t="shared" si="8"/>
        <v>47192335</v>
      </c>
      <c r="K43" s="50">
        <f t="shared" si="8"/>
        <v>47520498</v>
      </c>
      <c r="L43" s="50">
        <f t="shared" si="8"/>
        <v>45071050</v>
      </c>
      <c r="M43" s="50">
        <f t="shared" si="8"/>
        <v>49775788</v>
      </c>
      <c r="N43" s="50">
        <f t="shared" si="8"/>
        <v>48225285</v>
      </c>
      <c r="O43" s="50">
        <f t="shared" si="8"/>
        <v>56548440</v>
      </c>
      <c r="P43" s="50">
        <f t="shared" si="7"/>
        <v>588401236</v>
      </c>
    </row>
    <row r="44" spans="1:16">
      <c r="B44" t="s">
        <v>100</v>
      </c>
      <c r="D44" s="50">
        <f>D9+D18+D35+D26</f>
        <v>113027390</v>
      </c>
      <c r="E44" s="50">
        <f t="shared" si="8"/>
        <v>118881308</v>
      </c>
      <c r="F44" s="50">
        <f t="shared" si="8"/>
        <v>111932195</v>
      </c>
      <c r="G44" s="50">
        <f t="shared" si="8"/>
        <v>113904571</v>
      </c>
      <c r="H44" s="50">
        <f t="shared" si="8"/>
        <v>119594187</v>
      </c>
      <c r="I44" s="50">
        <f t="shared" si="8"/>
        <v>119904804</v>
      </c>
      <c r="J44" s="50">
        <f t="shared" si="8"/>
        <v>126965563</v>
      </c>
      <c r="K44" s="50">
        <f t="shared" si="8"/>
        <v>116529246</v>
      </c>
      <c r="L44" s="50">
        <f t="shared" si="8"/>
        <v>115471122</v>
      </c>
      <c r="M44" s="50">
        <f t="shared" si="8"/>
        <v>127216291</v>
      </c>
      <c r="N44" s="50">
        <f t="shared" si="8"/>
        <v>117670908</v>
      </c>
      <c r="O44" s="50">
        <f t="shared" si="8"/>
        <v>118130686</v>
      </c>
      <c r="P44" s="50">
        <f t="shared" si="7"/>
        <v>1419228271</v>
      </c>
    </row>
    <row r="45" spans="1:16">
      <c r="B45" t="s">
        <v>101</v>
      </c>
      <c r="D45" s="50">
        <f>D10+D19+D30+D36</f>
        <v>94615705</v>
      </c>
      <c r="E45" s="50">
        <f t="shared" ref="E45:O45" si="9">E10+E19+E30+E36</f>
        <v>86450358</v>
      </c>
      <c r="F45" s="50">
        <f t="shared" si="9"/>
        <v>94974601</v>
      </c>
      <c r="G45" s="50">
        <f t="shared" si="9"/>
        <v>91311649</v>
      </c>
      <c r="H45" s="50">
        <f t="shared" si="9"/>
        <v>91684982</v>
      </c>
      <c r="I45" s="50">
        <f t="shared" si="9"/>
        <v>87883840</v>
      </c>
      <c r="J45" s="50">
        <f t="shared" si="9"/>
        <v>94835244</v>
      </c>
      <c r="K45" s="50">
        <f t="shared" si="9"/>
        <v>98265527</v>
      </c>
      <c r="L45" s="50">
        <f t="shared" si="9"/>
        <v>93878439</v>
      </c>
      <c r="M45" s="50">
        <f t="shared" si="9"/>
        <v>91841691</v>
      </c>
      <c r="N45" s="50">
        <f t="shared" si="9"/>
        <v>88140801</v>
      </c>
      <c r="O45" s="50">
        <f t="shared" si="9"/>
        <v>91489299</v>
      </c>
      <c r="P45" s="50">
        <f t="shared" si="7"/>
        <v>1105372136</v>
      </c>
    </row>
    <row r="46" spans="1:16">
      <c r="B46" t="s">
        <v>102</v>
      </c>
      <c r="D46" s="50">
        <f t="shared" ref="D46:O47" si="10">D11+D20+D37</f>
        <v>4629627</v>
      </c>
      <c r="E46" s="50">
        <f t="shared" si="10"/>
        <v>4667187</v>
      </c>
      <c r="F46" s="50">
        <f t="shared" si="10"/>
        <v>3660531</v>
      </c>
      <c r="G46" s="50">
        <f t="shared" si="10"/>
        <v>6328832</v>
      </c>
      <c r="H46" s="50">
        <f t="shared" si="10"/>
        <v>13049965</v>
      </c>
      <c r="I46" s="50">
        <f t="shared" si="10"/>
        <v>23717970</v>
      </c>
      <c r="J46" s="50">
        <f t="shared" si="10"/>
        <v>26579183</v>
      </c>
      <c r="K46" s="50">
        <f t="shared" si="10"/>
        <v>23538268</v>
      </c>
      <c r="L46" s="50">
        <f t="shared" si="10"/>
        <v>18878725</v>
      </c>
      <c r="M46" s="50">
        <f t="shared" si="10"/>
        <v>6211172</v>
      </c>
      <c r="N46" s="50">
        <f t="shared" si="10"/>
        <v>2634426</v>
      </c>
      <c r="O46" s="50">
        <f t="shared" si="10"/>
        <v>3331158</v>
      </c>
      <c r="P46" s="50">
        <f t="shared" si="7"/>
        <v>137227044</v>
      </c>
    </row>
    <row r="47" spans="1:16">
      <c r="B47" t="s">
        <v>103</v>
      </c>
      <c r="D47" s="50">
        <f t="shared" si="10"/>
        <v>2098291</v>
      </c>
      <c r="E47" s="50">
        <f t="shared" si="10"/>
        <v>2097748</v>
      </c>
      <c r="F47" s="50">
        <f t="shared" si="10"/>
        <v>2097084</v>
      </c>
      <c r="G47" s="50">
        <f t="shared" si="10"/>
        <v>2092917</v>
      </c>
      <c r="H47" s="50">
        <f t="shared" si="10"/>
        <v>2080667</v>
      </c>
      <c r="I47" s="50">
        <f t="shared" si="10"/>
        <v>2071670</v>
      </c>
      <c r="J47" s="50">
        <f t="shared" si="10"/>
        <v>2091912</v>
      </c>
      <c r="K47" s="50">
        <f t="shared" si="10"/>
        <v>2091315</v>
      </c>
      <c r="L47" s="50">
        <f t="shared" si="10"/>
        <v>2086444</v>
      </c>
      <c r="M47" s="50">
        <f t="shared" si="10"/>
        <v>2114106</v>
      </c>
      <c r="N47" s="50">
        <f t="shared" si="10"/>
        <v>2103410</v>
      </c>
      <c r="O47" s="50">
        <f t="shared" si="10"/>
        <v>2102201</v>
      </c>
      <c r="P47" s="50">
        <f t="shared" si="7"/>
        <v>25127765</v>
      </c>
    </row>
    <row r="48" spans="1:16">
      <c r="A48" t="s">
        <v>112</v>
      </c>
      <c r="D48" s="51">
        <f>SUM(D42:D47)</f>
        <v>555936904</v>
      </c>
      <c r="E48" s="51">
        <f t="shared" ref="E48:P48" si="11">SUM(E42:E47)</f>
        <v>498646815</v>
      </c>
      <c r="F48" s="51">
        <f t="shared" si="11"/>
        <v>492113295</v>
      </c>
      <c r="G48" s="51">
        <f t="shared" si="11"/>
        <v>431144890</v>
      </c>
      <c r="H48" s="51">
        <f t="shared" si="11"/>
        <v>438507087</v>
      </c>
      <c r="I48" s="51">
        <f t="shared" si="11"/>
        <v>423629661</v>
      </c>
      <c r="J48" s="51">
        <f t="shared" si="11"/>
        <v>451024270</v>
      </c>
      <c r="K48" s="51">
        <f t="shared" si="11"/>
        <v>469267171</v>
      </c>
      <c r="L48" s="51">
        <f t="shared" si="11"/>
        <v>421946321</v>
      </c>
      <c r="M48" s="51">
        <f t="shared" si="11"/>
        <v>451213605</v>
      </c>
      <c r="N48" s="51">
        <f t="shared" si="11"/>
        <v>471440294</v>
      </c>
      <c r="O48" s="51">
        <f t="shared" si="11"/>
        <v>548964170</v>
      </c>
      <c r="P48" s="51">
        <f t="shared" si="11"/>
        <v>5653834483</v>
      </c>
    </row>
    <row r="50" spans="2:16">
      <c r="B50" t="s">
        <v>113</v>
      </c>
      <c r="D50" s="50">
        <f>D42</f>
        <v>284675925</v>
      </c>
      <c r="E50" s="50">
        <f t="shared" ref="E50:O50" si="12">E42</f>
        <v>232597855</v>
      </c>
      <c r="F50" s="50">
        <f t="shared" si="12"/>
        <v>228752581</v>
      </c>
      <c r="G50" s="50">
        <f t="shared" si="12"/>
        <v>172322869</v>
      </c>
      <c r="H50" s="50">
        <f t="shared" si="12"/>
        <v>166632549</v>
      </c>
      <c r="I50" s="50">
        <f t="shared" si="12"/>
        <v>148170954</v>
      </c>
      <c r="J50" s="50">
        <f t="shared" si="12"/>
        <v>153360033</v>
      </c>
      <c r="K50" s="50">
        <f t="shared" si="12"/>
        <v>181322317</v>
      </c>
      <c r="L50" s="50">
        <f t="shared" si="12"/>
        <v>146560541</v>
      </c>
      <c r="M50" s="50">
        <f t="shared" si="12"/>
        <v>174054557</v>
      </c>
      <c r="N50" s="50">
        <f t="shared" si="12"/>
        <v>212665464</v>
      </c>
      <c r="O50" s="50">
        <f t="shared" si="12"/>
        <v>277362386</v>
      </c>
      <c r="P50" s="50">
        <f t="shared" ref="P50:P51" si="13">SUM(D50:O50)</f>
        <v>2378478031</v>
      </c>
    </row>
    <row r="51" spans="2:16">
      <c r="B51" t="s">
        <v>114</v>
      </c>
      <c r="D51" s="50">
        <v>204564</v>
      </c>
      <c r="E51" s="50">
        <v>205005</v>
      </c>
      <c r="F51" s="50">
        <v>205512</v>
      </c>
      <c r="G51" s="50">
        <v>205536</v>
      </c>
      <c r="H51" s="50">
        <v>205720</v>
      </c>
      <c r="I51" s="50">
        <v>205499</v>
      </c>
      <c r="J51" s="50">
        <v>205076</v>
      </c>
      <c r="K51" s="50">
        <v>205201</v>
      </c>
      <c r="L51" s="50">
        <v>204431</v>
      </c>
      <c r="M51" s="50">
        <v>204966</v>
      </c>
      <c r="N51" s="50">
        <v>204911</v>
      </c>
      <c r="O51" s="50">
        <v>205646</v>
      </c>
      <c r="P51" s="50">
        <f t="shared" si="13"/>
        <v>2462067</v>
      </c>
    </row>
    <row r="52" spans="2:16">
      <c r="B52" t="s">
        <v>115</v>
      </c>
      <c r="D52" s="56">
        <f>D50/D51</f>
        <v>1391.6227928667802</v>
      </c>
      <c r="E52" s="56">
        <f t="shared" ref="E52:P52" si="14">E50/E51</f>
        <v>1134.5960098534183</v>
      </c>
      <c r="F52" s="56">
        <f t="shared" si="14"/>
        <v>1113.0862480049827</v>
      </c>
      <c r="G52" s="56">
        <f t="shared" si="14"/>
        <v>838.40723279620113</v>
      </c>
      <c r="H52" s="56">
        <f t="shared" si="14"/>
        <v>809.99683550456928</v>
      </c>
      <c r="I52" s="56">
        <f t="shared" si="14"/>
        <v>721.03004880802337</v>
      </c>
      <c r="J52" s="56">
        <f t="shared" si="14"/>
        <v>747.82048118746218</v>
      </c>
      <c r="K52" s="56">
        <f t="shared" si="14"/>
        <v>883.63271621483329</v>
      </c>
      <c r="L52" s="56">
        <f t="shared" si="14"/>
        <v>716.91935665334518</v>
      </c>
      <c r="M52" s="56">
        <f t="shared" si="14"/>
        <v>849.18746035927904</v>
      </c>
      <c r="N52" s="56">
        <f t="shared" si="14"/>
        <v>1037.8430830946118</v>
      </c>
      <c r="O52" s="56">
        <f t="shared" si="14"/>
        <v>1348.7370821703316</v>
      </c>
      <c r="P52" s="56">
        <f t="shared" si="14"/>
        <v>966.04927120179912</v>
      </c>
    </row>
    <row r="53" spans="2:16">
      <c r="B53" t="s">
        <v>116</v>
      </c>
      <c r="D53" s="50">
        <f>D43+D44+D46</f>
        <v>174546983</v>
      </c>
      <c r="E53" s="50">
        <f t="shared" ref="E53:O53" si="15">E43+E44+E46</f>
        <v>177500854</v>
      </c>
      <c r="F53" s="50">
        <f t="shared" si="15"/>
        <v>166289029</v>
      </c>
      <c r="G53" s="50">
        <f t="shared" si="15"/>
        <v>165417455</v>
      </c>
      <c r="H53" s="50">
        <f t="shared" si="15"/>
        <v>178108889</v>
      </c>
      <c r="I53" s="50">
        <f t="shared" si="15"/>
        <v>185503197</v>
      </c>
      <c r="J53" s="50">
        <f t="shared" si="15"/>
        <v>200737081</v>
      </c>
      <c r="K53" s="50">
        <f t="shared" si="15"/>
        <v>187588012</v>
      </c>
      <c r="L53" s="50">
        <f t="shared" si="15"/>
        <v>179420897</v>
      </c>
      <c r="M53" s="50">
        <f t="shared" si="15"/>
        <v>183203251</v>
      </c>
      <c r="N53" s="50">
        <f t="shared" si="15"/>
        <v>168530619</v>
      </c>
      <c r="O53" s="50">
        <f t="shared" si="15"/>
        <v>178010284</v>
      </c>
      <c r="P53" s="50">
        <f t="shared" ref="P53:P54" si="16">SUM(D53:O53)</f>
        <v>2144856551</v>
      </c>
    </row>
    <row r="54" spans="2:16">
      <c r="B54" t="s">
        <v>117</v>
      </c>
      <c r="D54" s="50">
        <v>34308</v>
      </c>
      <c r="E54" s="50">
        <v>34460</v>
      </c>
      <c r="F54" s="50">
        <v>34515</v>
      </c>
      <c r="G54" s="50">
        <v>34554</v>
      </c>
      <c r="H54" s="50">
        <v>34555</v>
      </c>
      <c r="I54" s="50">
        <v>35013</v>
      </c>
      <c r="J54" s="50">
        <v>34957</v>
      </c>
      <c r="K54" s="50">
        <v>35067</v>
      </c>
      <c r="L54" s="50">
        <v>35085</v>
      </c>
      <c r="M54" s="50">
        <v>35115</v>
      </c>
      <c r="N54" s="50">
        <v>35091</v>
      </c>
      <c r="O54" s="50">
        <v>35158</v>
      </c>
      <c r="P54" s="50">
        <f t="shared" si="16"/>
        <v>417878</v>
      </c>
    </row>
    <row r="55" spans="2:16">
      <c r="B55" t="s">
        <v>118</v>
      </c>
      <c r="D55" s="50">
        <f>D53/D54</f>
        <v>5087.6467004780225</v>
      </c>
      <c r="E55" s="50">
        <f t="shared" ref="E55:P55" si="17">E53/E54</f>
        <v>5150.9243760882182</v>
      </c>
      <c r="F55" s="50">
        <f t="shared" si="17"/>
        <v>4817.8771258872957</v>
      </c>
      <c r="G55" s="50">
        <f t="shared" si="17"/>
        <v>4787.2158071424437</v>
      </c>
      <c r="H55" s="50">
        <f t="shared" si="17"/>
        <v>5154.3593980610622</v>
      </c>
      <c r="I55" s="50">
        <f t="shared" si="17"/>
        <v>5298.1234684260135</v>
      </c>
      <c r="J55" s="50">
        <f t="shared" si="17"/>
        <v>5742.4001201476103</v>
      </c>
      <c r="K55" s="50">
        <f t="shared" si="17"/>
        <v>5349.4171728405627</v>
      </c>
      <c r="L55" s="50">
        <f t="shared" si="17"/>
        <v>5113.8918911215624</v>
      </c>
      <c r="M55" s="50">
        <f t="shared" si="17"/>
        <v>5217.2362523138263</v>
      </c>
      <c r="N55" s="50">
        <f t="shared" si="17"/>
        <v>4802.673591519193</v>
      </c>
      <c r="O55" s="50">
        <f t="shared" si="17"/>
        <v>5063.1516013425107</v>
      </c>
      <c r="P55" s="50">
        <f t="shared" si="17"/>
        <v>5132.7338385844669</v>
      </c>
    </row>
    <row r="57" spans="2:16">
      <c r="B57" t="s">
        <v>119</v>
      </c>
      <c r="D57" s="57">
        <f>D48/$P48</f>
        <v>9.8329179191855728E-2</v>
      </c>
      <c r="E57" s="57">
        <f t="shared" ref="E57:O57" si="18">E48/$P48</f>
        <v>8.8196217363514212E-2</v>
      </c>
      <c r="F57" s="57">
        <f t="shared" si="18"/>
        <v>8.7040626406678631E-2</v>
      </c>
      <c r="G57" s="57">
        <f t="shared" si="18"/>
        <v>7.6257076731971962E-2</v>
      </c>
      <c r="H57" s="57">
        <f t="shared" si="18"/>
        <v>7.755923671244834E-2</v>
      </c>
      <c r="I57" s="57">
        <f t="shared" si="18"/>
        <v>7.4927849811269404E-2</v>
      </c>
      <c r="J57" s="57">
        <f t="shared" si="18"/>
        <v>7.977316480631752E-2</v>
      </c>
      <c r="K57" s="57">
        <f t="shared" si="18"/>
        <v>8.2999807017873753E-2</v>
      </c>
      <c r="L57" s="57">
        <f t="shared" si="18"/>
        <v>7.4630115591234933E-2</v>
      </c>
      <c r="M57" s="57">
        <f t="shared" si="18"/>
        <v>7.9806652698573524E-2</v>
      </c>
      <c r="N57" s="57">
        <f t="shared" si="18"/>
        <v>8.3384169702443695E-2</v>
      </c>
      <c r="O57" s="57">
        <f t="shared" si="18"/>
        <v>9.7095903965818312E-2</v>
      </c>
      <c r="P57" s="57">
        <f>SUM(D57:O57)</f>
        <v>1</v>
      </c>
    </row>
  </sheetData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1:M79"/>
  <sheetViews>
    <sheetView view="pageBreakPreview" zoomScale="90" zoomScaleNormal="100" zoomScaleSheetLayoutView="90" workbookViewId="0">
      <selection sqref="A1:XFD1048576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13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  <c r="L1" s="165"/>
      <c r="M1" s="165"/>
    </row>
    <row r="2" spans="1:13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  <c r="L2" s="165"/>
      <c r="M2" s="165"/>
    </row>
    <row r="3" spans="1:13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3">
      <c r="A4" s="199" t="s">
        <v>148</v>
      </c>
      <c r="B4" s="167"/>
      <c r="C4" s="173">
        <v>210156</v>
      </c>
      <c r="D4" s="165"/>
      <c r="E4" s="202">
        <v>147671570</v>
      </c>
      <c r="F4" s="202">
        <v>-88324150</v>
      </c>
      <c r="G4" s="202">
        <v>97409208</v>
      </c>
      <c r="H4" s="166">
        <f>SUM(F4:G4)</f>
        <v>9085058</v>
      </c>
      <c r="I4" s="174">
        <f>E4+H4</f>
        <v>156756628</v>
      </c>
      <c r="J4" s="165"/>
      <c r="K4" s="165"/>
      <c r="L4" s="165"/>
      <c r="M4" s="165"/>
    </row>
    <row r="5" spans="1:13">
      <c r="A5" s="199" t="s">
        <v>207</v>
      </c>
      <c r="B5" s="167"/>
      <c r="C5" s="173">
        <v>518</v>
      </c>
      <c r="D5" s="165"/>
      <c r="E5" s="202">
        <v>390536</v>
      </c>
      <c r="F5" s="202">
        <v>-214444</v>
      </c>
      <c r="G5" s="202">
        <v>245441</v>
      </c>
      <c r="H5" s="166">
        <f t="shared" ref="H5:H17" si="0">SUM(F5:G5)</f>
        <v>30997</v>
      </c>
      <c r="I5" s="174">
        <f t="shared" ref="I5:I17" si="1">E5+H5</f>
        <v>421533</v>
      </c>
      <c r="J5" s="165"/>
      <c r="K5" s="165"/>
      <c r="L5" s="165"/>
      <c r="M5" s="165"/>
    </row>
    <row r="6" spans="1:13">
      <c r="A6" s="199" t="s">
        <v>149</v>
      </c>
      <c r="B6" s="167"/>
      <c r="C6" s="173">
        <v>22371</v>
      </c>
      <c r="D6" s="165"/>
      <c r="E6" s="202">
        <v>41984754</v>
      </c>
      <c r="F6" s="202">
        <v>-24312596</v>
      </c>
      <c r="G6" s="202">
        <v>27642739</v>
      </c>
      <c r="H6" s="166">
        <f t="shared" si="0"/>
        <v>3330143</v>
      </c>
      <c r="I6" s="174">
        <f t="shared" si="1"/>
        <v>45314897</v>
      </c>
      <c r="J6" s="165"/>
      <c r="K6" s="165"/>
      <c r="L6" s="165"/>
      <c r="M6" s="165"/>
    </row>
    <row r="7" spans="1:13">
      <c r="A7" s="199" t="s">
        <v>150</v>
      </c>
      <c r="B7" s="167"/>
      <c r="C7" s="173">
        <v>9114</v>
      </c>
      <c r="D7" s="165"/>
      <c r="E7" s="202">
        <v>3899016</v>
      </c>
      <c r="F7" s="202">
        <v>-2064024</v>
      </c>
      <c r="G7" s="202">
        <v>2577126</v>
      </c>
      <c r="H7" s="166">
        <f t="shared" si="0"/>
        <v>513102</v>
      </c>
      <c r="I7" s="174">
        <f t="shared" si="1"/>
        <v>4412118</v>
      </c>
      <c r="J7" s="165"/>
      <c r="K7" s="165"/>
      <c r="L7" s="165"/>
      <c r="M7" s="165"/>
    </row>
    <row r="8" spans="1:13">
      <c r="A8" s="199" t="s">
        <v>151</v>
      </c>
      <c r="B8" s="167"/>
      <c r="C8" s="173">
        <v>1841</v>
      </c>
      <c r="D8" s="165"/>
      <c r="E8" s="202">
        <v>109043415</v>
      </c>
      <c r="F8" s="202">
        <v>-61116558</v>
      </c>
      <c r="G8" s="202">
        <v>71576593</v>
      </c>
      <c r="H8" s="166">
        <f t="shared" si="0"/>
        <v>10460035</v>
      </c>
      <c r="I8" s="174">
        <f t="shared" si="1"/>
        <v>119503450</v>
      </c>
      <c r="J8" s="165"/>
      <c r="K8" s="165"/>
      <c r="L8" s="165"/>
      <c r="M8" s="165"/>
    </row>
    <row r="9" spans="1:13">
      <c r="A9" s="199" t="s">
        <v>152</v>
      </c>
      <c r="B9" s="167"/>
      <c r="C9" s="173">
        <v>48</v>
      </c>
      <c r="D9" s="165"/>
      <c r="E9" s="202">
        <v>2327960</v>
      </c>
      <c r="F9" s="202">
        <v>-1313470</v>
      </c>
      <c r="G9" s="202">
        <v>1534003</v>
      </c>
      <c r="H9" s="166">
        <f t="shared" si="0"/>
        <v>220533</v>
      </c>
      <c r="I9" s="174">
        <f t="shared" si="1"/>
        <v>2548493</v>
      </c>
      <c r="J9" s="165"/>
      <c r="K9" s="165"/>
      <c r="L9" s="165"/>
      <c r="M9" s="165"/>
    </row>
    <row r="10" spans="1:13">
      <c r="A10" s="199" t="s">
        <v>153</v>
      </c>
      <c r="B10" s="167"/>
      <c r="C10" s="173">
        <v>20</v>
      </c>
      <c r="D10" s="165"/>
      <c r="E10" s="202">
        <f>91087801-E11</f>
        <v>55710367</v>
      </c>
      <c r="F10" s="202">
        <v>-4399998</v>
      </c>
      <c r="G10" s="202">
        <v>6727326</v>
      </c>
      <c r="H10" s="166">
        <f t="shared" si="0"/>
        <v>2327328</v>
      </c>
      <c r="I10" s="174">
        <f t="shared" si="1"/>
        <v>58037695</v>
      </c>
      <c r="J10" s="165"/>
      <c r="K10" s="165"/>
      <c r="L10" s="165"/>
      <c r="M10" s="165"/>
    </row>
    <row r="11" spans="1:13">
      <c r="A11" s="199" t="s">
        <v>208</v>
      </c>
      <c r="B11" s="167"/>
      <c r="C11" s="173"/>
      <c r="D11" s="165"/>
      <c r="E11" s="202">
        <v>35377434</v>
      </c>
      <c r="F11" s="202">
        <v>0</v>
      </c>
      <c r="G11" s="202">
        <v>0</v>
      </c>
      <c r="H11" s="166">
        <f t="shared" si="0"/>
        <v>0</v>
      </c>
      <c r="I11" s="174">
        <f t="shared" si="1"/>
        <v>35377434</v>
      </c>
      <c r="J11" s="165"/>
      <c r="K11" s="165"/>
      <c r="L11" s="165"/>
      <c r="M11" s="165"/>
    </row>
    <row r="12" spans="1:13">
      <c r="A12" s="199" t="s">
        <v>209</v>
      </c>
      <c r="B12" s="167"/>
      <c r="C12" s="173">
        <v>30</v>
      </c>
      <c r="D12" s="165"/>
      <c r="E12" s="202">
        <v>2204980</v>
      </c>
      <c r="F12" s="202">
        <v>0</v>
      </c>
      <c r="G12" s="202">
        <v>0</v>
      </c>
      <c r="H12" s="166">
        <f t="shared" si="0"/>
        <v>0</v>
      </c>
      <c r="I12" s="174">
        <f t="shared" si="1"/>
        <v>2204980</v>
      </c>
      <c r="J12" s="165"/>
      <c r="K12" s="165"/>
      <c r="L12" s="165"/>
      <c r="M12" s="165"/>
    </row>
    <row r="13" spans="1:13">
      <c r="A13" s="199" t="s">
        <v>154</v>
      </c>
      <c r="B13" s="167"/>
      <c r="C13" s="173">
        <v>1219</v>
      </c>
      <c r="D13" s="165"/>
      <c r="E13" s="202">
        <v>9354539</v>
      </c>
      <c r="F13" s="202">
        <v>-5843601</v>
      </c>
      <c r="G13" s="202">
        <v>4939490</v>
      </c>
      <c r="H13" s="166">
        <f t="shared" si="0"/>
        <v>-904111</v>
      </c>
      <c r="I13" s="174">
        <f t="shared" si="1"/>
        <v>8450428</v>
      </c>
      <c r="J13" s="165"/>
      <c r="K13" s="165"/>
      <c r="L13" s="165"/>
      <c r="M13" s="165"/>
    </row>
    <row r="14" spans="1:13">
      <c r="A14" s="199" t="s">
        <v>155</v>
      </c>
      <c r="B14" s="167"/>
      <c r="C14" s="173">
        <v>1205</v>
      </c>
      <c r="D14" s="165"/>
      <c r="E14" s="202">
        <v>540533</v>
      </c>
      <c r="F14" s="202">
        <v>-562916</v>
      </c>
      <c r="G14" s="202">
        <v>245441</v>
      </c>
      <c r="H14" s="166">
        <f t="shared" si="0"/>
        <v>-317475</v>
      </c>
      <c r="I14" s="174">
        <f t="shared" si="1"/>
        <v>223058</v>
      </c>
      <c r="J14" s="165"/>
      <c r="K14" s="165"/>
      <c r="L14" s="165"/>
      <c r="M14" s="165"/>
    </row>
    <row r="15" spans="1:13">
      <c r="A15" s="199" t="s">
        <v>210</v>
      </c>
      <c r="B15" s="167"/>
      <c r="C15" s="173">
        <v>405</v>
      </c>
      <c r="D15" s="165"/>
      <c r="E15" s="202">
        <v>1171771</v>
      </c>
      <c r="F15" s="202"/>
      <c r="G15" s="202"/>
      <c r="H15" s="166"/>
      <c r="I15" s="174">
        <f t="shared" si="1"/>
        <v>1171771</v>
      </c>
      <c r="J15" s="165"/>
      <c r="K15" s="165"/>
      <c r="L15" s="165"/>
      <c r="M15" s="165"/>
    </row>
    <row r="16" spans="1:13">
      <c r="A16" s="199" t="s">
        <v>211</v>
      </c>
      <c r="B16" s="167"/>
      <c r="C16" s="173"/>
      <c r="D16" s="165"/>
      <c r="E16" s="202">
        <v>449351</v>
      </c>
      <c r="F16" s="202"/>
      <c r="G16" s="202"/>
      <c r="H16" s="166">
        <f t="shared" si="0"/>
        <v>0</v>
      </c>
      <c r="I16" s="174">
        <f t="shared" si="1"/>
        <v>449351</v>
      </c>
      <c r="J16" s="165"/>
      <c r="K16" s="165"/>
      <c r="L16" s="165"/>
      <c r="M16" s="165"/>
    </row>
    <row r="17" spans="1:13">
      <c r="A17" s="199" t="s">
        <v>212</v>
      </c>
      <c r="B17" s="167"/>
      <c r="C17" s="173"/>
      <c r="D17" s="165"/>
      <c r="E17" s="202">
        <v>236001</v>
      </c>
      <c r="F17" s="202"/>
      <c r="G17" s="202"/>
      <c r="H17" s="166">
        <f t="shared" si="0"/>
        <v>0</v>
      </c>
      <c r="I17" s="174">
        <f t="shared" si="1"/>
        <v>236001</v>
      </c>
      <c r="J17" s="165"/>
      <c r="K17" s="165"/>
      <c r="L17" s="165"/>
      <c r="M17" s="165"/>
    </row>
    <row r="18" spans="1:13">
      <c r="A18" s="167"/>
      <c r="B18" s="167"/>
      <c r="C18" s="175">
        <f>SUM(C4:C17)</f>
        <v>246927</v>
      </c>
      <c r="D18" s="165"/>
      <c r="E18" s="175">
        <f t="shared" ref="E18:I18" si="2">SUM(E4:E17)</f>
        <v>410362227</v>
      </c>
      <c r="F18" s="175">
        <f t="shared" si="2"/>
        <v>-188151757</v>
      </c>
      <c r="G18" s="175">
        <f t="shared" si="2"/>
        <v>212897367</v>
      </c>
      <c r="H18" s="175">
        <f t="shared" si="2"/>
        <v>24745610</v>
      </c>
      <c r="I18" s="175">
        <f t="shared" si="2"/>
        <v>435107837</v>
      </c>
      <c r="J18" s="165"/>
      <c r="K18" s="165"/>
      <c r="L18" s="165"/>
      <c r="M18" s="165"/>
    </row>
    <row r="19" spans="1:13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  <c r="L19" s="165"/>
      <c r="M19" s="165"/>
    </row>
    <row r="20" spans="1:13">
      <c r="A20" s="167" t="s">
        <v>19</v>
      </c>
      <c r="B20" s="167"/>
      <c r="C20" s="176">
        <f>C4+C5</f>
        <v>210674</v>
      </c>
      <c r="D20" s="165"/>
      <c r="E20" s="177">
        <f>E4+E5</f>
        <v>148062106</v>
      </c>
      <c r="F20" s="177">
        <f t="shared" ref="F20:I20" si="3">F4+F5</f>
        <v>-88538594</v>
      </c>
      <c r="G20" s="177">
        <f t="shared" si="3"/>
        <v>97654649</v>
      </c>
      <c r="H20" s="177">
        <f t="shared" si="3"/>
        <v>9116055</v>
      </c>
      <c r="I20" s="176">
        <f t="shared" si="3"/>
        <v>157178161</v>
      </c>
      <c r="J20" s="165"/>
      <c r="K20" s="165"/>
      <c r="L20" s="165"/>
      <c r="M20" s="165"/>
    </row>
    <row r="21" spans="1:13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  <c r="L21" s="165"/>
      <c r="M21" s="165"/>
    </row>
    <row r="22" spans="1:13" ht="15" thickBot="1">
      <c r="A22" s="167" t="s">
        <v>213</v>
      </c>
      <c r="B22" s="167"/>
      <c r="C22" s="195">
        <f>SUM(C6:C9,C12:C14)</f>
        <v>35828</v>
      </c>
      <c r="D22" s="165"/>
      <c r="E22" s="196">
        <f>SUM(E6:E9,E12:E14)</f>
        <v>169355197</v>
      </c>
      <c r="F22" s="196">
        <f t="shared" ref="F22:H22" si="4">SUM(F6:F9,F12:F14)</f>
        <v>-95213165</v>
      </c>
      <c r="G22" s="196">
        <f t="shared" si="4"/>
        <v>108515392</v>
      </c>
      <c r="H22" s="196">
        <f t="shared" si="4"/>
        <v>13302227</v>
      </c>
      <c r="I22" s="195">
        <f>SUM(I6:I9,I12:I14)</f>
        <v>182657424</v>
      </c>
      <c r="J22" s="165"/>
      <c r="K22" s="165"/>
      <c r="L22" s="165"/>
      <c r="M22" s="165"/>
    </row>
    <row r="23" spans="1:13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  <c r="L23" s="165"/>
      <c r="M23" s="165"/>
    </row>
    <row r="24" spans="1:13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  <c r="L24" s="165"/>
      <c r="M24" s="165"/>
    </row>
    <row r="25" spans="1:13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  <c r="L25" s="165"/>
      <c r="M25" s="165"/>
    </row>
    <row r="26" spans="1:13">
      <c r="A26" s="199" t="s">
        <v>148</v>
      </c>
      <c r="B26" s="167"/>
      <c r="C26" s="200">
        <v>1830583</v>
      </c>
      <c r="D26" s="200">
        <v>13178584.16</v>
      </c>
      <c r="E26" s="203">
        <v>-8160145</v>
      </c>
      <c r="F26" s="203">
        <v>8836388</v>
      </c>
      <c r="G26" s="191">
        <f>SUM(D26:F26)</f>
        <v>13854827.16</v>
      </c>
      <c r="H26" s="191">
        <f>-I63</f>
        <v>-32282.071260000001</v>
      </c>
      <c r="I26" s="191">
        <f>SUM(G26:H26)</f>
        <v>13822545.088740001</v>
      </c>
      <c r="J26" s="165"/>
      <c r="K26" s="165"/>
      <c r="L26" s="165"/>
      <c r="M26" s="165"/>
    </row>
    <row r="27" spans="1:13">
      <c r="A27" s="199" t="s">
        <v>207</v>
      </c>
      <c r="B27" s="167"/>
      <c r="C27" s="200">
        <v>4445.5</v>
      </c>
      <c r="D27" s="200">
        <v>34404.83</v>
      </c>
      <c r="E27" s="203">
        <v>-13122</v>
      </c>
      <c r="F27" s="203">
        <v>14474</v>
      </c>
      <c r="G27" s="191">
        <f t="shared" ref="G27:G36" si="5">SUM(D27:F27)</f>
        <v>35756.83</v>
      </c>
      <c r="H27" s="191">
        <f t="shared" ref="H27:H35" si="6">-I64</f>
        <v>872.40767999999991</v>
      </c>
      <c r="I27" s="191">
        <f t="shared" ref="I27:I36" si="7">SUM(G27:H27)</f>
        <v>36629.237679999998</v>
      </c>
      <c r="J27" s="165"/>
      <c r="K27" s="165"/>
      <c r="L27" s="165"/>
      <c r="M27" s="165"/>
    </row>
    <row r="28" spans="1:13">
      <c r="A28" s="199" t="s">
        <v>149</v>
      </c>
      <c r="B28" s="167"/>
      <c r="C28" s="200">
        <v>410853.68</v>
      </c>
      <c r="D28" s="200">
        <v>4977825.51</v>
      </c>
      <c r="E28" s="203">
        <v>-2819257</v>
      </c>
      <c r="F28" s="203">
        <v>3214030</v>
      </c>
      <c r="G28" s="191">
        <f t="shared" si="5"/>
        <v>5372598.5099999998</v>
      </c>
      <c r="H28" s="191">
        <f t="shared" si="6"/>
        <v>-17739.901449999998</v>
      </c>
      <c r="I28" s="191">
        <f t="shared" si="7"/>
        <v>5354858.60855</v>
      </c>
      <c r="J28" s="165"/>
      <c r="K28" s="165"/>
      <c r="L28" s="165"/>
      <c r="M28" s="165"/>
    </row>
    <row r="29" spans="1:13">
      <c r="A29" s="199" t="s">
        <v>150</v>
      </c>
      <c r="B29" s="167"/>
      <c r="C29" s="200">
        <v>166177</v>
      </c>
      <c r="D29" s="200">
        <v>595288.81000000006</v>
      </c>
      <c r="E29" s="203">
        <v>-318583</v>
      </c>
      <c r="F29" s="203">
        <v>377434</v>
      </c>
      <c r="G29" s="191">
        <f t="shared" si="5"/>
        <v>654139.81000000006</v>
      </c>
      <c r="H29" s="191">
        <f t="shared" si="6"/>
        <v>-2443.4109599999997</v>
      </c>
      <c r="I29" s="191">
        <f t="shared" si="7"/>
        <v>651696.39904000005</v>
      </c>
      <c r="J29" s="165"/>
      <c r="K29" s="165"/>
      <c r="L29" s="165"/>
      <c r="M29" s="165"/>
    </row>
    <row r="30" spans="1:13">
      <c r="A30" s="199" t="s">
        <v>151</v>
      </c>
      <c r="B30" s="167"/>
      <c r="C30" s="200">
        <v>922116.66</v>
      </c>
      <c r="D30" s="200">
        <v>9957698.7799999993</v>
      </c>
      <c r="E30" s="203">
        <v>-4969882</v>
      </c>
      <c r="F30" s="203">
        <v>5743007</v>
      </c>
      <c r="G30" s="191">
        <f t="shared" si="5"/>
        <v>10730823.779999999</v>
      </c>
      <c r="H30" s="191">
        <f t="shared" si="6"/>
        <v>-39737.677710000011</v>
      </c>
      <c r="I30" s="191">
        <f t="shared" si="7"/>
        <v>10691086.102289999</v>
      </c>
      <c r="J30" s="165"/>
      <c r="K30" s="165"/>
      <c r="L30" s="165"/>
      <c r="M30" s="165"/>
    </row>
    <row r="31" spans="1:13">
      <c r="A31" s="199" t="s">
        <v>152</v>
      </c>
      <c r="B31" s="167"/>
      <c r="C31" s="200">
        <v>24000</v>
      </c>
      <c r="D31" s="200">
        <v>209692.57</v>
      </c>
      <c r="E31" s="203">
        <v>-110150</v>
      </c>
      <c r="F31" s="203">
        <v>126298</v>
      </c>
      <c r="G31" s="191">
        <f t="shared" si="5"/>
        <v>225840.57</v>
      </c>
      <c r="H31" s="191">
        <f t="shared" si="6"/>
        <v>-780.0058600000001</v>
      </c>
      <c r="I31" s="191">
        <f t="shared" si="7"/>
        <v>225060.56414</v>
      </c>
      <c r="J31" s="165"/>
      <c r="K31" s="165"/>
      <c r="L31" s="165"/>
      <c r="M31" s="165"/>
    </row>
    <row r="32" spans="1:13">
      <c r="A32" s="199" t="s">
        <v>153</v>
      </c>
      <c r="B32" s="167"/>
      <c r="C32" s="200">
        <v>420000</v>
      </c>
      <c r="D32" s="200">
        <f>5337161.2-81569.7</f>
        <v>5255591.5</v>
      </c>
      <c r="E32" s="203">
        <v>-296996</v>
      </c>
      <c r="F32" s="203">
        <v>430987</v>
      </c>
      <c r="G32" s="191">
        <f t="shared" si="5"/>
        <v>5389582.5</v>
      </c>
      <c r="H32" s="191">
        <f t="shared" si="6"/>
        <v>-4877.2024800000008</v>
      </c>
      <c r="I32" s="191">
        <f t="shared" si="7"/>
        <v>5384705.2975199996</v>
      </c>
      <c r="J32" s="165"/>
      <c r="K32" s="165"/>
      <c r="L32" s="165"/>
      <c r="M32" s="165"/>
    </row>
    <row r="33" spans="1:13">
      <c r="A33" s="199" t="s">
        <v>209</v>
      </c>
      <c r="B33" s="167"/>
      <c r="C33" s="200">
        <v>540</v>
      </c>
      <c r="D33" s="200">
        <v>150993.45000000001</v>
      </c>
      <c r="E33" s="203">
        <v>0</v>
      </c>
      <c r="F33" s="203">
        <v>0</v>
      </c>
      <c r="G33" s="191">
        <f t="shared" si="5"/>
        <v>150993.45000000001</v>
      </c>
      <c r="H33" s="191">
        <f t="shared" si="6"/>
        <v>0</v>
      </c>
      <c r="I33" s="191">
        <f t="shared" si="7"/>
        <v>150993.45000000001</v>
      </c>
      <c r="J33" s="165"/>
      <c r="K33" s="165"/>
      <c r="L33" s="165"/>
      <c r="M33" s="165"/>
    </row>
    <row r="34" spans="1:13">
      <c r="A34" s="199" t="s">
        <v>154</v>
      </c>
      <c r="B34" s="167"/>
      <c r="C34" s="200">
        <v>21996</v>
      </c>
      <c r="D34" s="200">
        <v>775709.43</v>
      </c>
      <c r="E34" s="203">
        <v>-476320</v>
      </c>
      <c r="F34" s="203">
        <v>419765</v>
      </c>
      <c r="G34" s="191">
        <f t="shared" si="5"/>
        <v>719154.43</v>
      </c>
      <c r="H34" s="191">
        <f t="shared" si="6"/>
        <v>2434.0458200000003</v>
      </c>
      <c r="I34" s="191">
        <f t="shared" si="7"/>
        <v>721588.47582000005</v>
      </c>
      <c r="J34" s="165"/>
      <c r="K34" s="165"/>
      <c r="L34" s="165"/>
      <c r="M34" s="165"/>
    </row>
    <row r="35" spans="1:13">
      <c r="A35" s="199" t="s">
        <v>155</v>
      </c>
      <c r="B35" s="167"/>
      <c r="C35" s="200">
        <v>21852</v>
      </c>
      <c r="D35" s="200">
        <v>69625.820000000007</v>
      </c>
      <c r="E35" s="203">
        <v>-55715</v>
      </c>
      <c r="F35" s="203">
        <v>31027</v>
      </c>
      <c r="G35" s="191">
        <f t="shared" si="5"/>
        <v>44937.820000000007</v>
      </c>
      <c r="H35" s="191">
        <f t="shared" si="6"/>
        <v>858.32978999999989</v>
      </c>
      <c r="I35" s="191">
        <f t="shared" si="7"/>
        <v>45796.14979000001</v>
      </c>
      <c r="J35" s="165"/>
      <c r="K35" s="165"/>
      <c r="L35" s="165"/>
      <c r="M35" s="165"/>
    </row>
    <row r="36" spans="1:13">
      <c r="A36" s="199" t="s">
        <v>221</v>
      </c>
      <c r="B36" s="167"/>
      <c r="C36" s="191"/>
      <c r="D36" s="200">
        <v>557747.61</v>
      </c>
      <c r="E36" s="200"/>
      <c r="F36" s="200"/>
      <c r="G36" s="191">
        <f t="shared" si="5"/>
        <v>557747.61</v>
      </c>
      <c r="H36" s="191"/>
      <c r="I36" s="191">
        <f t="shared" si="7"/>
        <v>557747.61</v>
      </c>
      <c r="J36" s="165"/>
      <c r="K36" s="165"/>
      <c r="L36" s="165"/>
      <c r="M36" s="165"/>
    </row>
    <row r="37" spans="1:13">
      <c r="A37" s="199" t="s">
        <v>222</v>
      </c>
      <c r="B37" s="167"/>
      <c r="C37" s="186"/>
      <c r="D37" s="200">
        <v>1225337.17</v>
      </c>
      <c r="E37" s="200"/>
      <c r="F37" s="200"/>
      <c r="G37" s="191"/>
      <c r="H37" s="191"/>
      <c r="I37" s="191"/>
      <c r="J37" s="165"/>
      <c r="K37" s="165"/>
      <c r="L37" s="165"/>
      <c r="M37" s="165"/>
    </row>
    <row r="38" spans="1:13">
      <c r="A38" s="199" t="s">
        <v>223</v>
      </c>
      <c r="B38" s="167"/>
      <c r="C38" s="186"/>
      <c r="D38" s="200">
        <v>1381155.34</v>
      </c>
      <c r="E38" s="200"/>
      <c r="F38" s="200"/>
      <c r="G38" s="191"/>
      <c r="H38" s="191"/>
      <c r="I38" s="191"/>
      <c r="J38" s="165"/>
      <c r="K38" s="165"/>
      <c r="L38" s="165"/>
      <c r="M38" s="165"/>
    </row>
    <row r="39" spans="1:13">
      <c r="A39" s="167"/>
      <c r="B39" s="167"/>
      <c r="C39" s="181">
        <f>SUM(C26:C38)</f>
        <v>3822563.8400000003</v>
      </c>
      <c r="D39" s="181">
        <f t="shared" ref="D39:I39" si="8">SUM(D26:D38)</f>
        <v>38369654.980000004</v>
      </c>
      <c r="E39" s="181">
        <f t="shared" si="8"/>
        <v>-17220170</v>
      </c>
      <c r="F39" s="181">
        <f t="shared" si="8"/>
        <v>19193410</v>
      </c>
      <c r="G39" s="181">
        <f t="shared" si="8"/>
        <v>37736402.469999999</v>
      </c>
      <c r="H39" s="181">
        <f t="shared" si="8"/>
        <v>-93695.486430000019</v>
      </c>
      <c r="I39" s="181">
        <f t="shared" si="8"/>
        <v>37642706.983569987</v>
      </c>
      <c r="J39" s="165"/>
      <c r="K39" s="165"/>
      <c r="L39" s="165"/>
      <c r="M39" s="165"/>
    </row>
    <row r="40" spans="1:13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  <c r="L40" s="165"/>
      <c r="M40" s="165"/>
    </row>
    <row r="41" spans="1:13">
      <c r="A41" s="167" t="s">
        <v>19</v>
      </c>
      <c r="B41" s="167"/>
      <c r="C41" s="184">
        <f>C26+C27</f>
        <v>1835028.5</v>
      </c>
      <c r="D41" s="183">
        <f t="shared" ref="D41:I41" si="9">D26+D27</f>
        <v>13212988.99</v>
      </c>
      <c r="E41" s="183">
        <f t="shared" si="9"/>
        <v>-8173267</v>
      </c>
      <c r="F41" s="183">
        <f t="shared" si="9"/>
        <v>8850862</v>
      </c>
      <c r="G41" s="183">
        <f t="shared" si="9"/>
        <v>13890583.99</v>
      </c>
      <c r="H41" s="183">
        <f t="shared" si="9"/>
        <v>-31409.66358</v>
      </c>
      <c r="I41" s="184">
        <f t="shared" si="9"/>
        <v>13859174.32642</v>
      </c>
      <c r="J41" s="165"/>
      <c r="K41" s="165"/>
      <c r="L41" s="165"/>
      <c r="M41" s="165"/>
    </row>
    <row r="42" spans="1:13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  <c r="L42" s="165"/>
      <c r="M42" s="165"/>
    </row>
    <row r="43" spans="1:13" ht="15" thickBot="1">
      <c r="A43" s="167" t="s">
        <v>213</v>
      </c>
      <c r="B43" s="167"/>
      <c r="C43" s="193">
        <f>SUM(C28:C31,C33:C35)</f>
        <v>1567535.3399999999</v>
      </c>
      <c r="D43" s="194">
        <f t="shared" ref="D43:I43" si="10">SUM(D28:D31,D33:D35)</f>
        <v>16736834.369999999</v>
      </c>
      <c r="E43" s="194">
        <f t="shared" si="10"/>
        <v>-8749907</v>
      </c>
      <c r="F43" s="194">
        <f t="shared" si="10"/>
        <v>9911561</v>
      </c>
      <c r="G43" s="194">
        <f t="shared" si="10"/>
        <v>17898488.369999997</v>
      </c>
      <c r="H43" s="194">
        <f t="shared" si="10"/>
        <v>-57408.620370000004</v>
      </c>
      <c r="I43" s="193">
        <f t="shared" si="10"/>
        <v>17841079.74963</v>
      </c>
      <c r="J43" s="165"/>
      <c r="K43" s="165"/>
      <c r="L43" s="165"/>
      <c r="M43" s="165"/>
    </row>
    <row r="44" spans="1:13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  <c r="L44" s="165"/>
      <c r="M44" s="165"/>
    </row>
    <row r="45" spans="1:13">
      <c r="A45" s="172"/>
      <c r="B45" s="165"/>
      <c r="C45" s="165"/>
      <c r="D45" s="167"/>
      <c r="E45" s="105"/>
      <c r="F45" s="165"/>
      <c r="G45" s="165"/>
      <c r="H45" s="165"/>
      <c r="I45" s="105"/>
      <c r="J45" s="165"/>
      <c r="K45" s="165"/>
      <c r="L45" s="165"/>
      <c r="M45" s="165"/>
    </row>
    <row r="46" spans="1:13">
      <c r="A46" s="165"/>
      <c r="B46" s="165"/>
      <c r="C46" s="188">
        <v>42309</v>
      </c>
      <c r="D46" s="188">
        <v>42278</v>
      </c>
      <c r="E46" s="164">
        <v>42583</v>
      </c>
      <c r="F46" s="164">
        <v>42380</v>
      </c>
      <c r="G46" s="164">
        <v>42380</v>
      </c>
      <c r="H46" s="164">
        <v>42552</v>
      </c>
      <c r="I46" s="164">
        <v>42644</v>
      </c>
      <c r="J46" s="165"/>
      <c r="K46" s="165"/>
      <c r="L46" s="165"/>
      <c r="M46" s="165"/>
    </row>
    <row r="47" spans="1:13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65"/>
      <c r="K47" s="165"/>
      <c r="L47" s="165"/>
      <c r="M47" s="165"/>
    </row>
    <row r="48" spans="1:13">
      <c r="A48" s="199" t="s">
        <v>148</v>
      </c>
      <c r="B48" s="167"/>
      <c r="C48" s="187">
        <v>-2.7E-4</v>
      </c>
      <c r="D48" s="187"/>
      <c r="E48" s="187">
        <v>2.6199999999999999E-3</v>
      </c>
      <c r="F48" s="187">
        <v>9.1E-4</v>
      </c>
      <c r="G48" s="187">
        <v>0</v>
      </c>
      <c r="H48" s="187">
        <v>-3.5E-4</v>
      </c>
      <c r="I48" s="187">
        <v>9.7000000000000005E-4</v>
      </c>
      <c r="J48" s="165"/>
      <c r="K48" s="165"/>
      <c r="L48" s="165"/>
      <c r="M48" s="165"/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2.6199999999999999E-3</v>
      </c>
      <c r="F49" s="187">
        <v>9.1E-4</v>
      </c>
      <c r="G49" s="187">
        <v>0</v>
      </c>
      <c r="H49" s="187">
        <v>-3.5E-4</v>
      </c>
      <c r="I49" s="187">
        <v>9.7000000000000005E-4</v>
      </c>
      <c r="J49" s="165"/>
      <c r="K49" s="165"/>
      <c r="L49" s="165"/>
      <c r="M49" s="165"/>
    </row>
    <row r="50" spans="1:13">
      <c r="A50" s="199" t="s">
        <v>149</v>
      </c>
      <c r="B50" s="167"/>
      <c r="C50" s="187">
        <v>0</v>
      </c>
      <c r="D50" s="187"/>
      <c r="E50" s="187">
        <v>3.62E-3</v>
      </c>
      <c r="F50" s="187">
        <v>1.32E-3</v>
      </c>
      <c r="G50" s="187">
        <v>0</v>
      </c>
      <c r="H50" s="187">
        <v>-3.6000000000000002E-4</v>
      </c>
      <c r="I50" s="187">
        <v>1.41E-3</v>
      </c>
      <c r="J50" s="165"/>
      <c r="K50" s="165"/>
      <c r="L50" s="165"/>
      <c r="M50" s="165"/>
    </row>
    <row r="51" spans="1:13">
      <c r="A51" s="199" t="s">
        <v>150</v>
      </c>
      <c r="B51" s="167"/>
      <c r="C51" s="187">
        <v>-2.7E-4</v>
      </c>
      <c r="D51" s="187"/>
      <c r="E51" s="187">
        <v>3.62E-3</v>
      </c>
      <c r="F51" s="187">
        <v>1.32E-3</v>
      </c>
      <c r="G51" s="187">
        <v>0</v>
      </c>
      <c r="H51" s="187">
        <v>-3.6000000000000002E-4</v>
      </c>
      <c r="I51" s="187">
        <v>1.41E-3</v>
      </c>
      <c r="J51" s="165"/>
      <c r="K51" s="165"/>
      <c r="L51" s="165"/>
      <c r="M51" s="165"/>
    </row>
    <row r="52" spans="1:13">
      <c r="A52" s="199" t="s">
        <v>151</v>
      </c>
      <c r="B52" s="167"/>
      <c r="C52" s="187">
        <v>0</v>
      </c>
      <c r="D52" s="187"/>
      <c r="E52" s="187">
        <v>2.7299999999999998E-3</v>
      </c>
      <c r="F52" s="187">
        <v>9.5E-4</v>
      </c>
      <c r="G52" s="187">
        <v>0</v>
      </c>
      <c r="H52" s="187">
        <v>-3.6000000000000002E-4</v>
      </c>
      <c r="I52" s="187">
        <v>1.0200000000000001E-3</v>
      </c>
      <c r="J52" s="165"/>
      <c r="K52" s="165"/>
      <c r="L52" s="165"/>
      <c r="M52" s="165"/>
    </row>
    <row r="53" spans="1:13">
      <c r="A53" s="199" t="s">
        <v>152</v>
      </c>
      <c r="B53" s="167"/>
      <c r="C53" s="187">
        <v>-2.7E-4</v>
      </c>
      <c r="D53" s="187"/>
      <c r="E53" s="187">
        <v>2.7299999999999998E-3</v>
      </c>
      <c r="F53" s="187">
        <v>9.5E-4</v>
      </c>
      <c r="G53" s="187">
        <v>0</v>
      </c>
      <c r="H53" s="187">
        <v>-3.6000000000000002E-4</v>
      </c>
      <c r="I53" s="187">
        <v>1.0200000000000001E-3</v>
      </c>
      <c r="J53" s="165"/>
      <c r="K53" s="165"/>
      <c r="L53" s="165"/>
      <c r="M53" s="165"/>
    </row>
    <row r="54" spans="1:13">
      <c r="A54" s="199" t="s">
        <v>153</v>
      </c>
      <c r="B54" s="167"/>
      <c r="C54" s="187">
        <v>0</v>
      </c>
      <c r="D54" s="187"/>
      <c r="E54" s="187">
        <v>1.72E-3</v>
      </c>
      <c r="F54" s="187">
        <v>5.9999999999999995E-4</v>
      </c>
      <c r="G54" s="187">
        <v>0</v>
      </c>
      <c r="H54" s="187">
        <v>-3.4000000000000002E-4</v>
      </c>
      <c r="I54" s="187">
        <v>6.4000000000000005E-4</v>
      </c>
      <c r="J54" s="165"/>
      <c r="K54" s="165"/>
      <c r="L54" s="165"/>
      <c r="M54" s="165"/>
    </row>
    <row r="55" spans="1:13">
      <c r="A55" s="199" t="s">
        <v>208</v>
      </c>
      <c r="B55" s="167"/>
      <c r="C55" s="187">
        <v>0</v>
      </c>
      <c r="D55" s="187"/>
      <c r="E55" s="187">
        <v>1.72E-3</v>
      </c>
      <c r="F55" s="187">
        <v>0</v>
      </c>
      <c r="G55" s="187">
        <v>0</v>
      </c>
      <c r="H55" s="187">
        <v>-3.4000000000000002E-4</v>
      </c>
      <c r="I55" s="187">
        <v>0</v>
      </c>
      <c r="J55" s="165"/>
      <c r="K55" s="165"/>
      <c r="L55" s="165"/>
      <c r="M55" s="165"/>
    </row>
    <row r="56" spans="1:13">
      <c r="A56" s="199" t="s">
        <v>209</v>
      </c>
      <c r="B56" s="167"/>
      <c r="C56" s="187">
        <v>0</v>
      </c>
      <c r="D56" s="187"/>
      <c r="E56" s="187">
        <v>2.6099999999999999E-3</v>
      </c>
      <c r="F56" s="187">
        <v>8.3000000000000001E-4</v>
      </c>
      <c r="G56" s="187">
        <v>0</v>
      </c>
      <c r="H56" s="187">
        <v>-4.2000000000000002E-4</v>
      </c>
      <c r="I56" s="187">
        <v>8.8999999999999995E-4</v>
      </c>
      <c r="J56" s="165"/>
      <c r="K56" s="165"/>
      <c r="L56" s="165"/>
      <c r="M56" s="165"/>
    </row>
    <row r="57" spans="1:13">
      <c r="A57" s="199" t="s">
        <v>154</v>
      </c>
      <c r="B57" s="167"/>
      <c r="C57" s="187">
        <v>0</v>
      </c>
      <c r="D57" s="187"/>
      <c r="E57" s="187">
        <v>2.6099999999999999E-3</v>
      </c>
      <c r="F57" s="187">
        <v>8.3000000000000001E-4</v>
      </c>
      <c r="G57" s="187">
        <v>0</v>
      </c>
      <c r="H57" s="187">
        <v>-4.2000000000000002E-4</v>
      </c>
      <c r="I57" s="187">
        <v>8.8999999999999995E-4</v>
      </c>
      <c r="J57" s="165"/>
      <c r="K57" s="165"/>
      <c r="L57" s="165"/>
      <c r="M57" s="165"/>
    </row>
    <row r="58" spans="1:13">
      <c r="A58" s="199" t="s">
        <v>155</v>
      </c>
      <c r="B58" s="167"/>
      <c r="C58" s="187">
        <v>-2.7E-4</v>
      </c>
      <c r="D58" s="187"/>
      <c r="E58" s="187">
        <v>2.6099999999999999E-3</v>
      </c>
      <c r="F58" s="187">
        <v>8.3000000000000001E-4</v>
      </c>
      <c r="G58" s="187">
        <v>0</v>
      </c>
      <c r="H58" s="187">
        <v>-4.2000000000000002E-4</v>
      </c>
      <c r="I58" s="187">
        <v>8.8999999999999995E-4</v>
      </c>
      <c r="J58" s="165"/>
      <c r="K58" s="165"/>
      <c r="L58" s="165"/>
      <c r="M58" s="165"/>
    </row>
    <row r="59" spans="1:13" ht="14.4" customHeight="1">
      <c r="A59" s="199" t="s">
        <v>221</v>
      </c>
      <c r="B59" s="167"/>
      <c r="C59" s="187"/>
      <c r="D59" s="187"/>
      <c r="E59" s="214">
        <v>8.6199999999999992E-3</v>
      </c>
      <c r="F59" s="233" t="s">
        <v>241</v>
      </c>
      <c r="G59" s="187">
        <v>0</v>
      </c>
      <c r="H59" s="208">
        <v>-3.6999999999999999E-4</v>
      </c>
      <c r="I59" s="233" t="s">
        <v>249</v>
      </c>
      <c r="J59" s="165"/>
      <c r="K59" s="165"/>
      <c r="L59" s="165"/>
      <c r="M59" s="165"/>
    </row>
    <row r="60" spans="1:13">
      <c r="A60" s="199" t="s">
        <v>212</v>
      </c>
      <c r="B60" s="167"/>
      <c r="C60" s="187">
        <v>-2.7E-4</v>
      </c>
      <c r="D60" s="187"/>
      <c r="E60" s="214">
        <v>8.6199999999999992E-3</v>
      </c>
      <c r="F60" s="233"/>
      <c r="G60" s="187">
        <v>0</v>
      </c>
      <c r="H60" s="208">
        <v>-3.6999999999999999E-4</v>
      </c>
      <c r="I60" s="233"/>
      <c r="J60" s="165"/>
      <c r="K60" s="165"/>
      <c r="L60" s="165"/>
      <c r="M60" s="165"/>
    </row>
    <row r="61" spans="1:13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  <c r="L61" s="165"/>
      <c r="M61" s="165"/>
    </row>
    <row r="62" spans="1:13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  <c r="L62" s="180" t="s">
        <v>246</v>
      </c>
      <c r="M62" s="165"/>
    </row>
    <row r="63" spans="1:13">
      <c r="A63" s="199" t="s">
        <v>148</v>
      </c>
      <c r="B63" s="165"/>
      <c r="C63" s="183">
        <f t="shared" ref="C63:G68" si="11">$H4*C48</f>
        <v>-2452.9656599999998</v>
      </c>
      <c r="D63" s="183">
        <f t="shared" si="11"/>
        <v>0</v>
      </c>
      <c r="E63" s="183">
        <f>$H4*E48</f>
        <v>23802.85196</v>
      </c>
      <c r="F63" s="213">
        <f t="shared" ref="F63:F68" si="12">$F4*F48+$G4*$I48</f>
        <v>14111.955260000002</v>
      </c>
      <c r="G63" s="183">
        <f t="shared" ref="G63:H68" si="13">$H4*G48</f>
        <v>0</v>
      </c>
      <c r="H63" s="183">
        <f t="shared" si="13"/>
        <v>-3179.7703000000001</v>
      </c>
      <c r="I63" s="183">
        <f>SUM(C63:H63)</f>
        <v>32282.071260000001</v>
      </c>
      <c r="J63" s="165"/>
      <c r="K63" s="165"/>
      <c r="L63" s="213">
        <f t="shared" ref="L63:L68" si="14">$F4*L48+$G4*$I48</f>
        <v>94486.931760000007</v>
      </c>
      <c r="M63" s="165"/>
    </row>
    <row r="64" spans="1:13">
      <c r="A64" s="199" t="s">
        <v>207</v>
      </c>
      <c r="B64" s="165"/>
      <c r="C64" s="183">
        <f t="shared" si="11"/>
        <v>-8.3691899999999997</v>
      </c>
      <c r="D64" s="183">
        <f t="shared" si="11"/>
        <v>-977.33541000000002</v>
      </c>
      <c r="E64" s="183">
        <f t="shared" si="11"/>
        <v>81.212139999999991</v>
      </c>
      <c r="F64" s="213">
        <f t="shared" si="12"/>
        <v>42.933730000000025</v>
      </c>
      <c r="G64" s="183">
        <f t="shared" si="11"/>
        <v>0</v>
      </c>
      <c r="H64" s="183">
        <f t="shared" si="13"/>
        <v>-10.84895</v>
      </c>
      <c r="I64" s="183">
        <f t="shared" ref="I64:I73" si="15">SUM(C64:H64)</f>
        <v>-872.40767999999991</v>
      </c>
      <c r="J64" s="165"/>
      <c r="K64" s="165"/>
      <c r="L64" s="213">
        <f t="shared" si="14"/>
        <v>238.07777000000002</v>
      </c>
      <c r="M64" s="165"/>
    </row>
    <row r="65" spans="1:13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12055.11766</v>
      </c>
      <c r="F65" s="213">
        <f t="shared" si="12"/>
        <v>6883.6352699999989</v>
      </c>
      <c r="G65" s="183">
        <f t="shared" si="11"/>
        <v>0</v>
      </c>
      <c r="H65" s="183">
        <f t="shared" si="13"/>
        <v>-1198.85148</v>
      </c>
      <c r="I65" s="183">
        <f t="shared" si="15"/>
        <v>17739.901449999998</v>
      </c>
      <c r="J65" s="165"/>
      <c r="K65" s="165"/>
      <c r="L65" s="213">
        <f t="shared" si="14"/>
        <v>38976.261989999999</v>
      </c>
      <c r="M65" s="165"/>
    </row>
    <row r="66" spans="1:13">
      <c r="A66" s="199" t="s">
        <v>150</v>
      </c>
      <c r="B66" s="165"/>
      <c r="C66" s="183">
        <f t="shared" si="11"/>
        <v>-138.53754000000001</v>
      </c>
      <c r="D66" s="183">
        <f t="shared" si="11"/>
        <v>0</v>
      </c>
      <c r="E66" s="183">
        <f t="shared" si="11"/>
        <v>1857.4292399999999</v>
      </c>
      <c r="F66" s="213">
        <f t="shared" si="12"/>
        <v>909.23597999999993</v>
      </c>
      <c r="G66" s="183">
        <f t="shared" si="11"/>
        <v>0</v>
      </c>
      <c r="H66" s="183">
        <f t="shared" si="13"/>
        <v>-184.71672000000001</v>
      </c>
      <c r="I66" s="183">
        <f t="shared" si="15"/>
        <v>2443.4109599999997</v>
      </c>
      <c r="J66" s="165"/>
      <c r="K66" s="165"/>
      <c r="L66" s="213">
        <f t="shared" si="14"/>
        <v>3633.74766</v>
      </c>
      <c r="M66" s="165"/>
    </row>
    <row r="67" spans="1:13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28555.895549999997</v>
      </c>
      <c r="F67" s="213">
        <f t="shared" si="12"/>
        <v>14947.39476000001</v>
      </c>
      <c r="G67" s="183">
        <f t="shared" si="11"/>
        <v>0</v>
      </c>
      <c r="H67" s="183">
        <f t="shared" si="13"/>
        <v>-3765.6126000000004</v>
      </c>
      <c r="I67" s="183">
        <f t="shared" si="15"/>
        <v>39737.677710000011</v>
      </c>
      <c r="J67" s="165"/>
      <c r="K67" s="165"/>
      <c r="L67" s="213">
        <f t="shared" si="14"/>
        <v>73008.124860000011</v>
      </c>
      <c r="M67" s="165"/>
    </row>
    <row r="68" spans="1:13">
      <c r="A68" s="199" t="s">
        <v>152</v>
      </c>
      <c r="B68" s="165"/>
      <c r="C68" s="183">
        <f t="shared" si="11"/>
        <v>-59.543910000000004</v>
      </c>
      <c r="D68" s="183">
        <f t="shared" si="11"/>
        <v>0</v>
      </c>
      <c r="E68" s="183">
        <f t="shared" si="11"/>
        <v>602.05508999999995</v>
      </c>
      <c r="F68" s="213">
        <f t="shared" si="12"/>
        <v>316.88656000000015</v>
      </c>
      <c r="G68" s="183">
        <f t="shared" si="11"/>
        <v>0</v>
      </c>
      <c r="H68" s="183">
        <f t="shared" si="13"/>
        <v>-79.39188</v>
      </c>
      <c r="I68" s="183">
        <f t="shared" si="15"/>
        <v>780.0058600000001</v>
      </c>
      <c r="J68" s="165"/>
      <c r="K68" s="165"/>
      <c r="L68" s="213">
        <f t="shared" si="14"/>
        <v>1564.6830600000001</v>
      </c>
      <c r="M68" s="165"/>
    </row>
    <row r="69" spans="1:13">
      <c r="A69" s="199" t="s">
        <v>153</v>
      </c>
      <c r="B69" s="165"/>
      <c r="C69" s="183">
        <f t="shared" ref="C69:H69" si="16">$H10*C54+$H11*C55</f>
        <v>0</v>
      </c>
      <c r="D69" s="183">
        <f t="shared" si="16"/>
        <v>0</v>
      </c>
      <c r="E69" s="183">
        <f t="shared" si="16"/>
        <v>4003.00416</v>
      </c>
      <c r="F69" s="213">
        <f>$F10*F54+$F11*F55+$G10*$I54+$G11*$I55</f>
        <v>1665.4898400000006</v>
      </c>
      <c r="G69" s="183">
        <f t="shared" si="16"/>
        <v>0</v>
      </c>
      <c r="H69" s="183">
        <f t="shared" si="16"/>
        <v>-791.29152000000011</v>
      </c>
      <c r="I69" s="183">
        <f t="shared" si="15"/>
        <v>4877.2024800000008</v>
      </c>
      <c r="J69" s="165"/>
      <c r="K69" s="165"/>
      <c r="L69" s="213">
        <f>$F10*L54+$F11*L55+$G10*$I54+$G11*$I55</f>
        <v>4305.4886400000005</v>
      </c>
      <c r="M69" s="165"/>
    </row>
    <row r="70" spans="1:13">
      <c r="A70" s="199" t="s">
        <v>209</v>
      </c>
      <c r="B70" s="165"/>
      <c r="C70" s="183">
        <f t="shared" ref="C70:H72" si="17">$H12*C56</f>
        <v>0</v>
      </c>
      <c r="D70" s="183">
        <f t="shared" si="17"/>
        <v>0</v>
      </c>
      <c r="E70" s="183">
        <f t="shared" si="17"/>
        <v>0</v>
      </c>
      <c r="F70" s="213">
        <f>$F12*F56+$G12*$I56</f>
        <v>0</v>
      </c>
      <c r="G70" s="183">
        <f t="shared" si="17"/>
        <v>0</v>
      </c>
      <c r="H70" s="183">
        <f t="shared" si="17"/>
        <v>0</v>
      </c>
      <c r="I70" s="183">
        <f t="shared" si="15"/>
        <v>0</v>
      </c>
      <c r="J70" s="165"/>
      <c r="K70" s="165"/>
      <c r="L70" s="213">
        <f>$F12*L56+$G12*$I56</f>
        <v>0</v>
      </c>
      <c r="M70" s="165"/>
    </row>
    <row r="71" spans="1:13">
      <c r="A71" s="199" t="s">
        <v>154</v>
      </c>
      <c r="B71" s="165"/>
      <c r="C71" s="183">
        <f t="shared" si="17"/>
        <v>0</v>
      </c>
      <c r="D71" s="183">
        <f t="shared" si="17"/>
        <v>0</v>
      </c>
      <c r="E71" s="183">
        <f t="shared" si="17"/>
        <v>-2359.7297100000001</v>
      </c>
      <c r="F71" s="213">
        <f>$F13*F57+$G13*$I57</f>
        <v>-454.04273000000012</v>
      </c>
      <c r="G71" s="183">
        <f t="shared" si="17"/>
        <v>0</v>
      </c>
      <c r="H71" s="183">
        <f t="shared" si="17"/>
        <v>379.72662000000003</v>
      </c>
      <c r="I71" s="183">
        <f t="shared" si="15"/>
        <v>-2434.0458200000003</v>
      </c>
      <c r="J71" s="165"/>
      <c r="K71" s="165"/>
      <c r="L71" s="213">
        <f>$F13*L57+$G13*$I57</f>
        <v>4396.1460999999999</v>
      </c>
      <c r="M71" s="165"/>
    </row>
    <row r="72" spans="1:13">
      <c r="A72" s="199" t="s">
        <v>155</v>
      </c>
      <c r="B72" s="165"/>
      <c r="C72" s="183">
        <f t="shared" si="17"/>
        <v>85.718249999999998</v>
      </c>
      <c r="D72" s="183">
        <f t="shared" si="17"/>
        <v>0</v>
      </c>
      <c r="E72" s="183">
        <f t="shared" si="17"/>
        <v>-828.60974999999996</v>
      </c>
      <c r="F72" s="213">
        <f>$F14*F58+$G14*$I58</f>
        <v>-248.77779000000001</v>
      </c>
      <c r="G72" s="183">
        <f t="shared" si="17"/>
        <v>0</v>
      </c>
      <c r="H72" s="183">
        <f t="shared" si="17"/>
        <v>133.33950000000002</v>
      </c>
      <c r="I72" s="183">
        <f t="shared" si="15"/>
        <v>-858.32978999999989</v>
      </c>
      <c r="J72" s="165"/>
      <c r="K72" s="165"/>
      <c r="L72" s="213">
        <f>$F14*L58+$G14*$I58</f>
        <v>218.44248999999999</v>
      </c>
      <c r="M72" s="165"/>
    </row>
    <row r="73" spans="1:13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183">
        <f>($H15+$H16+$H17)*E59</f>
        <v>0</v>
      </c>
      <c r="F73" s="213">
        <v>0</v>
      </c>
      <c r="G73" s="203">
        <v>0</v>
      </c>
      <c r="H73" s="203">
        <v>0</v>
      </c>
      <c r="I73" s="183">
        <f t="shared" si="15"/>
        <v>0</v>
      </c>
      <c r="J73" s="165"/>
      <c r="K73" s="165"/>
      <c r="L73" s="213" t="e">
        <f>($F15+$F16+$F17)*L59+($G15+$G16+$G17)*$I59</f>
        <v>#VALUE!</v>
      </c>
      <c r="M73" s="165"/>
    </row>
    <row r="74" spans="1:13">
      <c r="A74" s="172"/>
      <c r="B74" s="165"/>
      <c r="C74" s="198">
        <f>SUM(C63:C73)</f>
        <v>-2573.6980499999995</v>
      </c>
      <c r="D74" s="198">
        <f t="shared" ref="D74:I74" si="18">SUM(D63:D73)</f>
        <v>-977.33541000000002</v>
      </c>
      <c r="E74" s="198">
        <f t="shared" si="18"/>
        <v>67769.226339999979</v>
      </c>
      <c r="F74" s="198">
        <f t="shared" si="18"/>
        <v>38174.710880000013</v>
      </c>
      <c r="G74" s="198">
        <f t="shared" si="18"/>
        <v>0</v>
      </c>
      <c r="H74" s="198">
        <f t="shared" si="18"/>
        <v>-8697.417330000002</v>
      </c>
      <c r="I74" s="198">
        <f t="shared" si="18"/>
        <v>93695.486430000019</v>
      </c>
      <c r="J74" s="165"/>
      <c r="K74" s="165"/>
      <c r="L74" s="165"/>
      <c r="M74" s="165"/>
    </row>
    <row r="75" spans="1:13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</row>
    <row r="76" spans="1:13">
      <c r="A76" s="167" t="s">
        <v>19</v>
      </c>
      <c r="B76" s="167"/>
      <c r="C76" s="183">
        <f>C63+C64</f>
        <v>-2461.3348499999997</v>
      </c>
      <c r="D76" s="183">
        <f t="shared" ref="D76:I76" si="19">D63+D64</f>
        <v>-977.33541000000002</v>
      </c>
      <c r="E76" s="183">
        <f t="shared" si="19"/>
        <v>23884.0641</v>
      </c>
      <c r="F76" s="183">
        <f t="shared" si="19"/>
        <v>14154.888990000003</v>
      </c>
      <c r="G76" s="183">
        <f t="shared" si="19"/>
        <v>0</v>
      </c>
      <c r="H76" s="183">
        <f t="shared" si="19"/>
        <v>-3190.6192500000002</v>
      </c>
      <c r="I76" s="183">
        <f t="shared" si="19"/>
        <v>31409.66358</v>
      </c>
      <c r="J76" s="165"/>
      <c r="K76" s="165"/>
      <c r="L76" s="165"/>
      <c r="M76" s="165"/>
    </row>
    <row r="77" spans="1:13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  <c r="L77" s="165"/>
      <c r="M77" s="165"/>
    </row>
    <row r="78" spans="1:13">
      <c r="A78" s="167" t="s">
        <v>213</v>
      </c>
      <c r="B78" s="167"/>
      <c r="C78" s="194">
        <f>SUM(C65:C68,C70:C72)</f>
        <v>-112.36320000000002</v>
      </c>
      <c r="D78" s="194">
        <f t="shared" ref="D78:I78" si="20">SUM(D65:D68,D70:D72)</f>
        <v>0</v>
      </c>
      <c r="E78" s="194">
        <f t="shared" si="20"/>
        <v>39882.158079999994</v>
      </c>
      <c r="F78" s="194">
        <f t="shared" si="20"/>
        <v>22354.332050000005</v>
      </c>
      <c r="G78" s="194">
        <f t="shared" si="20"/>
        <v>0</v>
      </c>
      <c r="H78" s="194">
        <f t="shared" si="20"/>
        <v>-4715.5065599999998</v>
      </c>
      <c r="I78" s="194">
        <f t="shared" si="20"/>
        <v>57408.620370000004</v>
      </c>
      <c r="J78" s="165"/>
      <c r="K78" s="165"/>
      <c r="L78" s="165"/>
      <c r="M78" s="165"/>
    </row>
    <row r="79" spans="1:13">
      <c r="A79" s="165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</row>
  </sheetData>
  <mergeCells count="3">
    <mergeCell ref="A1:I1"/>
    <mergeCell ref="F59:F60"/>
    <mergeCell ref="I59:I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L78"/>
  <sheetViews>
    <sheetView topLeftCell="A57" zoomScaleNormal="100" workbookViewId="0">
      <selection activeCell="B85" sqref="B85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12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  <c r="L1" s="165"/>
    </row>
    <row r="2" spans="1:12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  <c r="L2" s="165"/>
    </row>
    <row r="3" spans="1:12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  <c r="L3" s="165"/>
    </row>
    <row r="4" spans="1:12">
      <c r="A4" s="199" t="s">
        <v>148</v>
      </c>
      <c r="B4" s="167"/>
      <c r="C4" s="173">
        <v>209789</v>
      </c>
      <c r="D4" s="165"/>
      <c r="E4" s="202">
        <v>176135628</v>
      </c>
      <c r="F4" s="202">
        <v>-110639700</v>
      </c>
      <c r="G4" s="202">
        <v>88324150</v>
      </c>
      <c r="H4" s="166">
        <f>SUM(F4:G4)</f>
        <v>-22315550</v>
      </c>
      <c r="I4" s="174">
        <f>E4+H4</f>
        <v>153820078</v>
      </c>
      <c r="J4" s="165"/>
      <c r="K4" s="165"/>
      <c r="L4" s="165"/>
    </row>
    <row r="5" spans="1:12">
      <c r="A5" s="199" t="s">
        <v>207</v>
      </c>
      <c r="B5" s="167"/>
      <c r="C5" s="173">
        <v>525</v>
      </c>
      <c r="D5" s="165"/>
      <c r="E5" s="202">
        <v>419668</v>
      </c>
      <c r="F5" s="202">
        <v>-271093</v>
      </c>
      <c r="G5" s="202">
        <v>214444</v>
      </c>
      <c r="H5" s="166">
        <f t="shared" ref="H5:H17" si="0">SUM(F5:G5)</f>
        <v>-56649</v>
      </c>
      <c r="I5" s="174">
        <f t="shared" ref="I5:I17" si="1">E5+H5</f>
        <v>363019</v>
      </c>
      <c r="J5" s="165"/>
      <c r="K5" s="165"/>
      <c r="L5" s="165"/>
    </row>
    <row r="6" spans="1:12">
      <c r="A6" s="199" t="s">
        <v>149</v>
      </c>
      <c r="B6" s="167"/>
      <c r="C6" s="173">
        <v>22243</v>
      </c>
      <c r="D6" s="165"/>
      <c r="E6" s="202">
        <v>48591667</v>
      </c>
      <c r="F6" s="202">
        <v>-29955741</v>
      </c>
      <c r="G6" s="202">
        <v>24312596</v>
      </c>
      <c r="H6" s="166">
        <f t="shared" si="0"/>
        <v>-5643145</v>
      </c>
      <c r="I6" s="174">
        <f t="shared" si="1"/>
        <v>42948522</v>
      </c>
      <c r="J6" s="165"/>
      <c r="K6" s="165"/>
      <c r="L6" s="165"/>
    </row>
    <row r="7" spans="1:12">
      <c r="A7" s="199" t="s">
        <v>150</v>
      </c>
      <c r="B7" s="167"/>
      <c r="C7" s="173">
        <v>9062</v>
      </c>
      <c r="D7" s="165"/>
      <c r="E7" s="202">
        <v>4099118</v>
      </c>
      <c r="F7" s="202">
        <v>-2439834</v>
      </c>
      <c r="G7" s="202">
        <v>2064024</v>
      </c>
      <c r="H7" s="166">
        <f t="shared" si="0"/>
        <v>-375810</v>
      </c>
      <c r="I7" s="174">
        <f t="shared" si="1"/>
        <v>3723308</v>
      </c>
      <c r="J7" s="165"/>
      <c r="K7" s="165"/>
      <c r="L7" s="165"/>
    </row>
    <row r="8" spans="1:12">
      <c r="A8" s="199" t="s">
        <v>151</v>
      </c>
      <c r="B8" s="167"/>
      <c r="C8" s="173">
        <v>1850</v>
      </c>
      <c r="D8" s="165"/>
      <c r="E8" s="202">
        <v>122473384</v>
      </c>
      <c r="F8" s="202">
        <v>-73025590</v>
      </c>
      <c r="G8" s="202">
        <v>61116558</v>
      </c>
      <c r="H8" s="166">
        <f t="shared" si="0"/>
        <v>-11909032</v>
      </c>
      <c r="I8" s="174">
        <f t="shared" si="1"/>
        <v>110564352</v>
      </c>
      <c r="J8" s="165"/>
      <c r="K8" s="165"/>
      <c r="L8" s="165"/>
    </row>
    <row r="9" spans="1:12">
      <c r="A9" s="199" t="s">
        <v>152</v>
      </c>
      <c r="B9" s="167"/>
      <c r="C9" s="173">
        <v>49</v>
      </c>
      <c r="D9" s="165"/>
      <c r="E9" s="202">
        <v>2594580</v>
      </c>
      <c r="F9" s="202">
        <v>-1592670</v>
      </c>
      <c r="G9" s="202">
        <v>1313470</v>
      </c>
      <c r="H9" s="166">
        <f t="shared" si="0"/>
        <v>-279200</v>
      </c>
      <c r="I9" s="174">
        <f t="shared" si="1"/>
        <v>2315380</v>
      </c>
      <c r="J9" s="165"/>
      <c r="K9" s="165"/>
      <c r="L9" s="165"/>
    </row>
    <row r="10" spans="1:12">
      <c r="A10" s="199" t="s">
        <v>153</v>
      </c>
      <c r="B10" s="167"/>
      <c r="C10" s="173">
        <v>20</v>
      </c>
      <c r="D10" s="165"/>
      <c r="E10" s="202">
        <f>86043771-E11</f>
        <v>51887349</v>
      </c>
      <c r="F10" s="202">
        <v>0</v>
      </c>
      <c r="G10" s="202">
        <v>4399998</v>
      </c>
      <c r="H10" s="166">
        <f t="shared" si="0"/>
        <v>4399998</v>
      </c>
      <c r="I10" s="174">
        <f t="shared" si="1"/>
        <v>56287347</v>
      </c>
      <c r="J10" s="165"/>
      <c r="K10" s="165"/>
      <c r="L10" s="165"/>
    </row>
    <row r="11" spans="1:12">
      <c r="A11" s="199" t="s">
        <v>208</v>
      </c>
      <c r="B11" s="167"/>
      <c r="C11" s="173"/>
      <c r="D11" s="165"/>
      <c r="E11" s="202">
        <v>34156422</v>
      </c>
      <c r="F11" s="202">
        <v>0</v>
      </c>
      <c r="G11" s="202">
        <v>0</v>
      </c>
      <c r="H11" s="166">
        <f t="shared" si="0"/>
        <v>0</v>
      </c>
      <c r="I11" s="174">
        <f t="shared" si="1"/>
        <v>34156422</v>
      </c>
      <c r="J11" s="165"/>
      <c r="K11" s="165"/>
      <c r="L11" s="165"/>
    </row>
    <row r="12" spans="1:12">
      <c r="A12" s="199" t="s">
        <v>209</v>
      </c>
      <c r="B12" s="167"/>
      <c r="C12" s="173">
        <v>31</v>
      </c>
      <c r="D12" s="165"/>
      <c r="E12" s="202">
        <v>4337600</v>
      </c>
      <c r="F12" s="202">
        <v>0</v>
      </c>
      <c r="G12" s="202">
        <v>0</v>
      </c>
      <c r="H12" s="166">
        <f t="shared" si="0"/>
        <v>0</v>
      </c>
      <c r="I12" s="174">
        <f t="shared" si="1"/>
        <v>4337600</v>
      </c>
      <c r="J12" s="165"/>
      <c r="K12" s="165"/>
      <c r="L12" s="165"/>
    </row>
    <row r="13" spans="1:12">
      <c r="A13" s="199" t="s">
        <v>154</v>
      </c>
      <c r="B13" s="167"/>
      <c r="C13" s="173">
        <v>1218</v>
      </c>
      <c r="D13" s="165"/>
      <c r="E13" s="202">
        <v>15957000</v>
      </c>
      <c r="F13" s="202">
        <v>-8437760</v>
      </c>
      <c r="G13" s="202">
        <v>5843601</v>
      </c>
      <c r="H13" s="166">
        <f t="shared" si="0"/>
        <v>-2594159</v>
      </c>
      <c r="I13" s="174">
        <f t="shared" si="1"/>
        <v>13362841</v>
      </c>
      <c r="J13" s="165"/>
      <c r="K13" s="165"/>
      <c r="L13" s="165"/>
    </row>
    <row r="14" spans="1:12">
      <c r="A14" s="199" t="s">
        <v>155</v>
      </c>
      <c r="B14" s="167"/>
      <c r="C14" s="173">
        <v>1216</v>
      </c>
      <c r="D14" s="165"/>
      <c r="E14" s="202">
        <v>1427378</v>
      </c>
      <c r="F14" s="202">
        <v>-711618</v>
      </c>
      <c r="G14" s="202">
        <v>562916</v>
      </c>
      <c r="H14" s="166">
        <f t="shared" si="0"/>
        <v>-148702</v>
      </c>
      <c r="I14" s="174">
        <f t="shared" si="1"/>
        <v>1278676</v>
      </c>
      <c r="J14" s="165"/>
      <c r="K14" s="165"/>
      <c r="L14" s="165"/>
    </row>
    <row r="15" spans="1:12">
      <c r="A15" s="199" t="s">
        <v>210</v>
      </c>
      <c r="B15" s="167"/>
      <c r="C15" s="173">
        <v>390</v>
      </c>
      <c r="D15" s="165"/>
      <c r="E15" s="202">
        <v>1192953</v>
      </c>
      <c r="F15" s="202"/>
      <c r="G15" s="202"/>
      <c r="H15" s="166"/>
      <c r="I15" s="174">
        <f t="shared" si="1"/>
        <v>1192953</v>
      </c>
      <c r="J15" s="165"/>
      <c r="K15" s="165"/>
      <c r="L15" s="165"/>
    </row>
    <row r="16" spans="1:12">
      <c r="A16" s="199" t="s">
        <v>211</v>
      </c>
      <c r="B16" s="167"/>
      <c r="C16" s="173"/>
      <c r="D16" s="165"/>
      <c r="E16" s="202">
        <v>470077</v>
      </c>
      <c r="F16" s="202"/>
      <c r="G16" s="202"/>
      <c r="H16" s="166">
        <f t="shared" si="0"/>
        <v>0</v>
      </c>
      <c r="I16" s="174">
        <f t="shared" si="1"/>
        <v>470077</v>
      </c>
      <c r="J16" s="165"/>
      <c r="K16" s="165"/>
      <c r="L16" s="165"/>
    </row>
    <row r="17" spans="1:12">
      <c r="A17" s="199" t="s">
        <v>212</v>
      </c>
      <c r="B17" s="167"/>
      <c r="C17" s="173"/>
      <c r="D17" s="165"/>
      <c r="E17" s="202">
        <v>246682</v>
      </c>
      <c r="F17" s="202"/>
      <c r="G17" s="202"/>
      <c r="H17" s="166">
        <f t="shared" si="0"/>
        <v>0</v>
      </c>
      <c r="I17" s="174">
        <f t="shared" si="1"/>
        <v>246682</v>
      </c>
      <c r="J17" s="165"/>
      <c r="K17" s="165"/>
      <c r="L17" s="165"/>
    </row>
    <row r="18" spans="1:12">
      <c r="A18" s="167"/>
      <c r="B18" s="167"/>
      <c r="C18" s="175">
        <f>SUM(C4:C17)</f>
        <v>246393</v>
      </c>
      <c r="D18" s="165"/>
      <c r="E18" s="175">
        <f t="shared" ref="E18:I18" si="2">SUM(E4:E17)</f>
        <v>463989506</v>
      </c>
      <c r="F18" s="175">
        <f t="shared" si="2"/>
        <v>-227074006</v>
      </c>
      <c r="G18" s="175">
        <f t="shared" si="2"/>
        <v>188151757</v>
      </c>
      <c r="H18" s="175">
        <f t="shared" si="2"/>
        <v>-38922249</v>
      </c>
      <c r="I18" s="175">
        <f t="shared" si="2"/>
        <v>425067257</v>
      </c>
      <c r="J18" s="165"/>
      <c r="K18" s="165"/>
      <c r="L18" s="165"/>
    </row>
    <row r="19" spans="1:12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  <c r="L19" s="165"/>
    </row>
    <row r="20" spans="1:12">
      <c r="A20" s="167" t="s">
        <v>19</v>
      </c>
      <c r="B20" s="167"/>
      <c r="C20" s="176">
        <f>C4+C5</f>
        <v>210314</v>
      </c>
      <c r="D20" s="165"/>
      <c r="E20" s="177">
        <f>E4+E5</f>
        <v>176555296</v>
      </c>
      <c r="F20" s="177">
        <f t="shared" ref="F20:I20" si="3">F4+F5</f>
        <v>-110910793</v>
      </c>
      <c r="G20" s="177">
        <f t="shared" si="3"/>
        <v>88538594</v>
      </c>
      <c r="H20" s="177">
        <f t="shared" si="3"/>
        <v>-22372199</v>
      </c>
      <c r="I20" s="176">
        <f t="shared" si="3"/>
        <v>154183097</v>
      </c>
      <c r="J20" s="165"/>
      <c r="K20" s="165"/>
      <c r="L20" s="165"/>
    </row>
    <row r="21" spans="1:12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  <c r="L21" s="165"/>
    </row>
    <row r="22" spans="1:12" ht="15" thickBot="1">
      <c r="A22" s="167" t="s">
        <v>213</v>
      </c>
      <c r="B22" s="167"/>
      <c r="C22" s="195">
        <f>SUM(C6:C9,C12:C14)</f>
        <v>35669</v>
      </c>
      <c r="D22" s="165"/>
      <c r="E22" s="196">
        <f>SUM(E6:E9,E12:E14)</f>
        <v>199480727</v>
      </c>
      <c r="F22" s="196">
        <f t="shared" ref="F22:H22" si="4">SUM(F6:F9,F12:F14)</f>
        <v>-116163213</v>
      </c>
      <c r="G22" s="196">
        <f t="shared" si="4"/>
        <v>95213165</v>
      </c>
      <c r="H22" s="196">
        <f t="shared" si="4"/>
        <v>-20950048</v>
      </c>
      <c r="I22" s="195">
        <f>SUM(I6:I9,I12:I14)</f>
        <v>178530679</v>
      </c>
      <c r="J22" s="165"/>
      <c r="K22" s="165"/>
      <c r="L22" s="165"/>
    </row>
    <row r="23" spans="1:12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  <c r="L23" s="165"/>
    </row>
    <row r="24" spans="1:12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  <c r="L24" s="165"/>
    </row>
    <row r="25" spans="1:12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  <c r="L25" s="165"/>
    </row>
    <row r="26" spans="1:12">
      <c r="A26" s="199" t="s">
        <v>148</v>
      </c>
      <c r="B26" s="167"/>
      <c r="C26" s="200">
        <v>1833951.5</v>
      </c>
      <c r="D26" s="200">
        <v>15623435.310000001</v>
      </c>
      <c r="E26" s="203">
        <v>-10055686</v>
      </c>
      <c r="F26" s="203">
        <v>8160145</v>
      </c>
      <c r="G26" s="191">
        <f>SUM(D26:F26)</f>
        <v>13727894.310000001</v>
      </c>
      <c r="H26" s="191">
        <f>-I63</f>
        <v>64938.250500000002</v>
      </c>
      <c r="I26" s="191">
        <f>SUM(G26:H26)</f>
        <v>13792832.5605</v>
      </c>
      <c r="J26" s="165"/>
      <c r="K26" s="165"/>
      <c r="L26" s="165"/>
    </row>
    <row r="27" spans="1:12">
      <c r="A27" s="199" t="s">
        <v>207</v>
      </c>
      <c r="B27" s="167"/>
      <c r="C27" s="200">
        <v>4564.5</v>
      </c>
      <c r="D27" s="200">
        <v>37049.31</v>
      </c>
      <c r="E27" s="203">
        <v>-16133</v>
      </c>
      <c r="F27" s="203">
        <v>13122</v>
      </c>
      <c r="G27" s="191">
        <f t="shared" ref="G27:G36" si="5">SUM(D27:F27)</f>
        <v>34038.31</v>
      </c>
      <c r="H27" s="191">
        <f t="shared" ref="H27:H35" si="6">-I64</f>
        <v>-1621.29438</v>
      </c>
      <c r="I27" s="191">
        <f t="shared" ref="I27:I36" si="7">SUM(G27:H27)</f>
        <v>32417.015619999998</v>
      </c>
      <c r="J27" s="165"/>
      <c r="K27" s="165"/>
      <c r="L27" s="165"/>
    </row>
    <row r="28" spans="1:12">
      <c r="A28" s="199" t="s">
        <v>149</v>
      </c>
      <c r="B28" s="167"/>
      <c r="C28" s="200">
        <v>409507.85</v>
      </c>
      <c r="D28" s="200">
        <v>5617732.1699999999</v>
      </c>
      <c r="E28" s="203">
        <v>-3437702</v>
      </c>
      <c r="F28" s="203">
        <v>2819257</v>
      </c>
      <c r="G28" s="191">
        <f t="shared" si="5"/>
        <v>4999287.17</v>
      </c>
      <c r="H28" s="191">
        <f t="shared" si="6"/>
        <v>25845.604099999997</v>
      </c>
      <c r="I28" s="191">
        <f t="shared" si="7"/>
        <v>5025132.7741</v>
      </c>
      <c r="J28" s="165"/>
      <c r="K28" s="165"/>
      <c r="L28" s="165"/>
    </row>
    <row r="29" spans="1:12">
      <c r="A29" s="199" t="s">
        <v>150</v>
      </c>
      <c r="B29" s="167"/>
      <c r="C29" s="200">
        <v>164952.10999999999</v>
      </c>
      <c r="D29" s="200">
        <v>613985.27</v>
      </c>
      <c r="E29" s="203">
        <v>-366328</v>
      </c>
      <c r="F29" s="203">
        <v>318583</v>
      </c>
      <c r="G29" s="191">
        <f t="shared" si="5"/>
        <v>566240.27</v>
      </c>
      <c r="H29" s="191">
        <f t="shared" si="6"/>
        <v>1619.7411000000002</v>
      </c>
      <c r="I29" s="191">
        <f t="shared" si="7"/>
        <v>567860.0111</v>
      </c>
      <c r="J29" s="165"/>
      <c r="K29" s="165"/>
      <c r="L29" s="165"/>
    </row>
    <row r="30" spans="1:12">
      <c r="A30" s="199" t="s">
        <v>151</v>
      </c>
      <c r="B30" s="167"/>
      <c r="C30" s="200">
        <v>927016.66</v>
      </c>
      <c r="D30" s="200">
        <v>10923413.68</v>
      </c>
      <c r="E30" s="203">
        <v>-5859412</v>
      </c>
      <c r="F30" s="203">
        <v>4969882</v>
      </c>
      <c r="G30" s="191">
        <f t="shared" si="5"/>
        <v>10033883.68</v>
      </c>
      <c r="H30" s="191">
        <f t="shared" si="6"/>
        <v>39537.986239999998</v>
      </c>
      <c r="I30" s="191">
        <f t="shared" si="7"/>
        <v>10073421.666239999</v>
      </c>
      <c r="J30" s="165"/>
      <c r="K30" s="165"/>
      <c r="L30" s="165"/>
    </row>
    <row r="31" spans="1:12">
      <c r="A31" s="199" t="s">
        <v>152</v>
      </c>
      <c r="B31" s="167"/>
      <c r="C31" s="200">
        <v>24500</v>
      </c>
      <c r="D31" s="200">
        <v>231555.05</v>
      </c>
      <c r="E31" s="203">
        <v>-130901</v>
      </c>
      <c r="F31" s="203">
        <v>110150</v>
      </c>
      <c r="G31" s="191">
        <f t="shared" si="5"/>
        <v>210804.05</v>
      </c>
      <c r="H31" s="191">
        <f t="shared" si="6"/>
        <v>851.56</v>
      </c>
      <c r="I31" s="191">
        <f t="shared" si="7"/>
        <v>211655.61</v>
      </c>
      <c r="J31" s="165"/>
      <c r="K31" s="165"/>
      <c r="L31" s="165"/>
    </row>
    <row r="32" spans="1:12">
      <c r="A32" s="199" t="s">
        <v>153</v>
      </c>
      <c r="B32" s="167"/>
      <c r="C32" s="200">
        <v>420000</v>
      </c>
      <c r="D32" s="200">
        <f>5091715.85-82685.5</f>
        <v>5009030.3499999996</v>
      </c>
      <c r="E32" s="203">
        <v>0</v>
      </c>
      <c r="F32" s="203">
        <v>296996</v>
      </c>
      <c r="G32" s="191">
        <f t="shared" si="5"/>
        <v>5306026.3499999996</v>
      </c>
      <c r="H32" s="191">
        <f t="shared" si="6"/>
        <v>-8711.9960399999982</v>
      </c>
      <c r="I32" s="191">
        <f t="shared" si="7"/>
        <v>5297314.35396</v>
      </c>
      <c r="J32" s="165"/>
      <c r="K32" s="165"/>
      <c r="L32" s="165"/>
    </row>
    <row r="33" spans="1:12">
      <c r="A33" s="199" t="s">
        <v>209</v>
      </c>
      <c r="B33" s="167"/>
      <c r="C33" s="200">
        <v>558</v>
      </c>
      <c r="D33" s="200">
        <v>296516.98</v>
      </c>
      <c r="E33" s="203">
        <v>0</v>
      </c>
      <c r="F33" s="203">
        <v>0</v>
      </c>
      <c r="G33" s="191">
        <f t="shared" si="5"/>
        <v>296516.98</v>
      </c>
      <c r="H33" s="191">
        <f t="shared" si="6"/>
        <v>0</v>
      </c>
      <c r="I33" s="191">
        <f t="shared" si="7"/>
        <v>296516.98</v>
      </c>
      <c r="J33" s="165"/>
      <c r="K33" s="165"/>
      <c r="L33" s="165"/>
    </row>
    <row r="34" spans="1:12">
      <c r="A34" s="199" t="s">
        <v>154</v>
      </c>
      <c r="B34" s="167"/>
      <c r="C34" s="200">
        <v>21978</v>
      </c>
      <c r="D34" s="200">
        <v>1266906.6399999999</v>
      </c>
      <c r="E34" s="203">
        <v>-675160</v>
      </c>
      <c r="F34" s="203">
        <v>476320</v>
      </c>
      <c r="G34" s="191">
        <f t="shared" si="5"/>
        <v>1068066.6399999999</v>
      </c>
      <c r="H34" s="191">
        <f t="shared" si="6"/>
        <v>7834.3601799999997</v>
      </c>
      <c r="I34" s="191">
        <f t="shared" si="7"/>
        <v>1075901.00018</v>
      </c>
      <c r="J34" s="165"/>
      <c r="K34" s="165"/>
      <c r="L34" s="165"/>
    </row>
    <row r="35" spans="1:12">
      <c r="A35" s="199" t="s">
        <v>155</v>
      </c>
      <c r="B35" s="167"/>
      <c r="C35" s="200">
        <v>22068</v>
      </c>
      <c r="D35" s="200">
        <v>140081.13</v>
      </c>
      <c r="E35" s="203">
        <v>-67078</v>
      </c>
      <c r="F35" s="203">
        <v>55715</v>
      </c>
      <c r="G35" s="191">
        <f t="shared" si="5"/>
        <v>128718.13</v>
      </c>
      <c r="H35" s="191">
        <f t="shared" si="6"/>
        <v>408.93049999999999</v>
      </c>
      <c r="I35" s="191">
        <f t="shared" si="7"/>
        <v>129127.06050000001</v>
      </c>
      <c r="J35" s="165"/>
      <c r="K35" s="165"/>
      <c r="L35" s="165"/>
    </row>
    <row r="36" spans="1:12">
      <c r="A36" s="199" t="s">
        <v>221</v>
      </c>
      <c r="B36" s="167"/>
      <c r="C36" s="191"/>
      <c r="D36" s="200">
        <v>568406.96</v>
      </c>
      <c r="E36" s="200"/>
      <c r="F36" s="200"/>
      <c r="G36" s="191">
        <f t="shared" si="5"/>
        <v>568406.96</v>
      </c>
      <c r="H36" s="191"/>
      <c r="I36" s="191">
        <f t="shared" si="7"/>
        <v>568406.96</v>
      </c>
      <c r="J36" s="165"/>
      <c r="K36" s="165"/>
      <c r="L36" s="165"/>
    </row>
    <row r="37" spans="1:12">
      <c r="A37" s="199" t="s">
        <v>222</v>
      </c>
      <c r="B37" s="167"/>
      <c r="C37" s="186"/>
      <c r="D37" s="200">
        <v>1388147.23</v>
      </c>
      <c r="E37" s="200"/>
      <c r="F37" s="200"/>
      <c r="G37" s="191"/>
      <c r="H37" s="191"/>
      <c r="I37" s="191"/>
      <c r="J37" s="165"/>
      <c r="K37" s="165"/>
      <c r="L37" s="165"/>
    </row>
    <row r="38" spans="1:12">
      <c r="A38" s="199" t="s">
        <v>223</v>
      </c>
      <c r="B38" s="167"/>
      <c r="C38" s="186"/>
      <c r="D38" s="200">
        <v>1563324.11</v>
      </c>
      <c r="E38" s="200"/>
      <c r="F38" s="200"/>
      <c r="G38" s="191"/>
      <c r="H38" s="191"/>
      <c r="I38" s="191"/>
      <c r="J38" s="165"/>
      <c r="K38" s="165"/>
      <c r="L38" s="165"/>
    </row>
    <row r="39" spans="1:12">
      <c r="A39" s="167"/>
      <c r="B39" s="167"/>
      <c r="C39" s="181">
        <f>SUM(C26:C38)</f>
        <v>3829096.62</v>
      </c>
      <c r="D39" s="181">
        <f t="shared" ref="D39:I39" si="8">SUM(D26:D38)</f>
        <v>43279584.189999998</v>
      </c>
      <c r="E39" s="181">
        <f t="shared" si="8"/>
        <v>-20608400</v>
      </c>
      <c r="F39" s="181">
        <f t="shared" si="8"/>
        <v>17220170</v>
      </c>
      <c r="G39" s="181">
        <f t="shared" si="8"/>
        <v>36939882.850000001</v>
      </c>
      <c r="H39" s="181">
        <f t="shared" si="8"/>
        <v>130703.1422</v>
      </c>
      <c r="I39" s="181">
        <f t="shared" si="8"/>
        <v>37070585.992200002</v>
      </c>
      <c r="J39" s="165"/>
      <c r="K39" s="165"/>
      <c r="L39" s="165"/>
    </row>
    <row r="40" spans="1:12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  <c r="L40" s="165"/>
    </row>
    <row r="41" spans="1:12">
      <c r="A41" s="167" t="s">
        <v>19</v>
      </c>
      <c r="B41" s="167"/>
      <c r="C41" s="184">
        <f>C26+C27</f>
        <v>1838516</v>
      </c>
      <c r="D41" s="183">
        <f t="shared" ref="D41:I41" si="9">D26+D27</f>
        <v>15660484.620000001</v>
      </c>
      <c r="E41" s="183">
        <f t="shared" si="9"/>
        <v>-10071819</v>
      </c>
      <c r="F41" s="183">
        <f t="shared" si="9"/>
        <v>8173267</v>
      </c>
      <c r="G41" s="183">
        <f t="shared" si="9"/>
        <v>13761932.620000001</v>
      </c>
      <c r="H41" s="183">
        <f t="shared" si="9"/>
        <v>63316.956120000003</v>
      </c>
      <c r="I41" s="184">
        <f t="shared" si="9"/>
        <v>13825249.57612</v>
      </c>
      <c r="J41" s="165"/>
      <c r="K41" s="165"/>
      <c r="L41" s="165"/>
    </row>
    <row r="42" spans="1:12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  <c r="L42" s="165"/>
    </row>
    <row r="43" spans="1:12" ht="15" thickBot="1">
      <c r="A43" s="167" t="s">
        <v>213</v>
      </c>
      <c r="B43" s="167"/>
      <c r="C43" s="193">
        <f>SUM(C28:C31,C33:C35)</f>
        <v>1570580.62</v>
      </c>
      <c r="D43" s="194">
        <f t="shared" ref="D43:I43" si="10">SUM(D28:D31,D33:D35)</f>
        <v>19090190.919999998</v>
      </c>
      <c r="E43" s="194">
        <f t="shared" si="10"/>
        <v>-10536581</v>
      </c>
      <c r="F43" s="194">
        <f t="shared" si="10"/>
        <v>8749907</v>
      </c>
      <c r="G43" s="194">
        <f t="shared" si="10"/>
        <v>17303516.919999998</v>
      </c>
      <c r="H43" s="194">
        <f t="shared" si="10"/>
        <v>76098.182119999998</v>
      </c>
      <c r="I43" s="193">
        <f t="shared" si="10"/>
        <v>17379615.102119997</v>
      </c>
      <c r="J43" s="165"/>
      <c r="K43" s="165"/>
      <c r="L43" s="165"/>
    </row>
    <row r="44" spans="1:12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  <c r="L44" s="165"/>
    </row>
    <row r="45" spans="1:12">
      <c r="A45" s="172"/>
      <c r="B45" s="165"/>
      <c r="C45" s="165"/>
      <c r="D45" s="167"/>
      <c r="E45" s="105"/>
      <c r="F45" s="165"/>
      <c r="G45" s="165"/>
      <c r="H45" s="165"/>
      <c r="I45" s="105"/>
      <c r="J45" s="165"/>
      <c r="K45" s="165"/>
      <c r="L45" s="165"/>
    </row>
    <row r="46" spans="1:12">
      <c r="A46" s="165"/>
      <c r="B46" s="165"/>
      <c r="C46" s="188">
        <v>42309</v>
      </c>
      <c r="D46" s="188">
        <v>42278</v>
      </c>
      <c r="E46" s="164">
        <v>42583</v>
      </c>
      <c r="F46" s="164">
        <v>42380</v>
      </c>
      <c r="G46" s="164">
        <v>42380</v>
      </c>
      <c r="H46" s="164">
        <v>42552</v>
      </c>
      <c r="I46" s="164"/>
      <c r="J46" s="165"/>
      <c r="K46" s="165"/>
      <c r="L46" s="165"/>
    </row>
    <row r="47" spans="1:12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  <c r="J47" s="165"/>
      <c r="K47" s="165"/>
      <c r="L47" s="165"/>
    </row>
    <row r="48" spans="1:12">
      <c r="A48" s="199" t="s">
        <v>148</v>
      </c>
      <c r="B48" s="167"/>
      <c r="C48" s="187">
        <v>-2.7E-4</v>
      </c>
      <c r="D48" s="187"/>
      <c r="E48" s="187">
        <v>2.6199999999999999E-3</v>
      </c>
      <c r="F48" s="187">
        <v>9.1E-4</v>
      </c>
      <c r="G48" s="187">
        <v>0</v>
      </c>
      <c r="H48" s="187">
        <v>-3.5E-4</v>
      </c>
      <c r="I48" s="187"/>
      <c r="J48" s="165"/>
      <c r="K48" s="165"/>
      <c r="L48" s="165"/>
    </row>
    <row r="49" spans="1:12">
      <c r="A49" s="199" t="s">
        <v>207</v>
      </c>
      <c r="B49" s="167"/>
      <c r="C49" s="187">
        <v>-2.7E-4</v>
      </c>
      <c r="D49" s="187">
        <v>-3.1530000000000002E-2</v>
      </c>
      <c r="E49" s="187">
        <v>2.6199999999999999E-3</v>
      </c>
      <c r="F49" s="187">
        <v>9.1E-4</v>
      </c>
      <c r="G49" s="187">
        <v>0</v>
      </c>
      <c r="H49" s="187">
        <v>-3.5E-4</v>
      </c>
      <c r="I49" s="187"/>
      <c r="J49" s="165"/>
      <c r="K49" s="165"/>
      <c r="L49" s="165"/>
    </row>
    <row r="50" spans="1:12">
      <c r="A50" s="199" t="s">
        <v>149</v>
      </c>
      <c r="B50" s="167"/>
      <c r="C50" s="187">
        <v>0</v>
      </c>
      <c r="D50" s="187"/>
      <c r="E50" s="187">
        <v>3.62E-3</v>
      </c>
      <c r="F50" s="187">
        <v>1.32E-3</v>
      </c>
      <c r="G50" s="187">
        <v>0</v>
      </c>
      <c r="H50" s="187">
        <v>-3.6000000000000002E-4</v>
      </c>
      <c r="I50" s="187"/>
      <c r="J50" s="165"/>
      <c r="K50" s="165"/>
      <c r="L50" s="165"/>
    </row>
    <row r="51" spans="1:12">
      <c r="A51" s="199" t="s">
        <v>150</v>
      </c>
      <c r="B51" s="167"/>
      <c r="C51" s="187">
        <v>-2.7E-4</v>
      </c>
      <c r="D51" s="187"/>
      <c r="E51" s="187">
        <v>3.62E-3</v>
      </c>
      <c r="F51" s="187">
        <v>1.32E-3</v>
      </c>
      <c r="G51" s="187">
        <v>0</v>
      </c>
      <c r="H51" s="187">
        <v>-3.6000000000000002E-4</v>
      </c>
      <c r="I51" s="187"/>
      <c r="J51" s="165"/>
      <c r="K51" s="165"/>
      <c r="L51" s="165"/>
    </row>
    <row r="52" spans="1:12">
      <c r="A52" s="199" t="s">
        <v>151</v>
      </c>
      <c r="B52" s="167"/>
      <c r="C52" s="187">
        <v>0</v>
      </c>
      <c r="D52" s="187"/>
      <c r="E52" s="187">
        <v>2.7299999999999998E-3</v>
      </c>
      <c r="F52" s="187">
        <v>9.5E-4</v>
      </c>
      <c r="G52" s="187">
        <v>0</v>
      </c>
      <c r="H52" s="187">
        <v>-3.6000000000000002E-4</v>
      </c>
      <c r="I52" s="187"/>
      <c r="J52" s="165"/>
      <c r="K52" s="165"/>
      <c r="L52" s="165"/>
    </row>
    <row r="53" spans="1:12">
      <c r="A53" s="199" t="s">
        <v>152</v>
      </c>
      <c r="B53" s="167"/>
      <c r="C53" s="187">
        <v>-2.7E-4</v>
      </c>
      <c r="D53" s="187"/>
      <c r="E53" s="187">
        <v>2.7299999999999998E-3</v>
      </c>
      <c r="F53" s="187">
        <v>9.5E-4</v>
      </c>
      <c r="G53" s="187">
        <v>0</v>
      </c>
      <c r="H53" s="187">
        <v>-3.6000000000000002E-4</v>
      </c>
      <c r="I53" s="187"/>
      <c r="J53" s="165"/>
      <c r="K53" s="165"/>
      <c r="L53" s="165"/>
    </row>
    <row r="54" spans="1:12">
      <c r="A54" s="199" t="s">
        <v>153</v>
      </c>
      <c r="B54" s="167"/>
      <c r="C54" s="187">
        <v>0</v>
      </c>
      <c r="D54" s="187"/>
      <c r="E54" s="187">
        <v>1.72E-3</v>
      </c>
      <c r="F54" s="187">
        <v>5.9999999999999995E-4</v>
      </c>
      <c r="G54" s="187">
        <v>0</v>
      </c>
      <c r="H54" s="187">
        <v>-3.4000000000000002E-4</v>
      </c>
      <c r="I54" s="187"/>
      <c r="J54" s="165"/>
      <c r="K54" s="165"/>
      <c r="L54" s="165"/>
    </row>
    <row r="55" spans="1:12">
      <c r="A55" s="199" t="s">
        <v>208</v>
      </c>
      <c r="B55" s="167"/>
      <c r="C55" s="187">
        <v>0</v>
      </c>
      <c r="D55" s="187"/>
      <c r="E55" s="187">
        <v>1.72E-3</v>
      </c>
      <c r="F55" s="187">
        <v>0</v>
      </c>
      <c r="G55" s="187">
        <v>0</v>
      </c>
      <c r="H55" s="187">
        <v>-3.4000000000000002E-4</v>
      </c>
      <c r="I55" s="187"/>
      <c r="J55" s="165"/>
      <c r="K55" s="165"/>
      <c r="L55" s="165"/>
    </row>
    <row r="56" spans="1:12">
      <c r="A56" s="199" t="s">
        <v>209</v>
      </c>
      <c r="B56" s="167"/>
      <c r="C56" s="187">
        <v>0</v>
      </c>
      <c r="D56" s="187"/>
      <c r="E56" s="187">
        <v>2.6099999999999999E-3</v>
      </c>
      <c r="F56" s="187">
        <v>8.3000000000000001E-4</v>
      </c>
      <c r="G56" s="187">
        <v>0</v>
      </c>
      <c r="H56" s="187">
        <v>-4.2000000000000002E-4</v>
      </c>
      <c r="I56" s="187"/>
      <c r="J56" s="165"/>
      <c r="K56" s="165"/>
      <c r="L56" s="165"/>
    </row>
    <row r="57" spans="1:12">
      <c r="A57" s="199" t="s">
        <v>154</v>
      </c>
      <c r="B57" s="167"/>
      <c r="C57" s="187">
        <v>0</v>
      </c>
      <c r="D57" s="187"/>
      <c r="E57" s="187">
        <v>2.6099999999999999E-3</v>
      </c>
      <c r="F57" s="187">
        <v>8.3000000000000001E-4</v>
      </c>
      <c r="G57" s="187">
        <v>0</v>
      </c>
      <c r="H57" s="187">
        <v>-4.2000000000000002E-4</v>
      </c>
      <c r="I57" s="187"/>
      <c r="J57" s="165"/>
      <c r="K57" s="165"/>
      <c r="L57" s="165"/>
    </row>
    <row r="58" spans="1:12">
      <c r="A58" s="199" t="s">
        <v>155</v>
      </c>
      <c r="B58" s="167"/>
      <c r="C58" s="187">
        <v>-2.7E-4</v>
      </c>
      <c r="D58" s="187"/>
      <c r="E58" s="187">
        <v>2.6099999999999999E-3</v>
      </c>
      <c r="F58" s="187">
        <v>8.3000000000000001E-4</v>
      </c>
      <c r="G58" s="187">
        <v>0</v>
      </c>
      <c r="H58" s="187">
        <v>-4.2000000000000002E-4</v>
      </c>
      <c r="I58" s="187"/>
      <c r="J58" s="165"/>
      <c r="K58" s="165"/>
      <c r="L58" s="165"/>
    </row>
    <row r="59" spans="1:12" ht="14.4" customHeight="1">
      <c r="A59" s="199" t="s">
        <v>221</v>
      </c>
      <c r="B59" s="167"/>
      <c r="C59" s="187"/>
      <c r="D59" s="187"/>
      <c r="E59" s="214">
        <v>8.6199999999999992E-3</v>
      </c>
      <c r="F59" s="233" t="s">
        <v>241</v>
      </c>
      <c r="G59" s="187">
        <v>0</v>
      </c>
      <c r="H59" s="208">
        <v>-3.6999999999999999E-4</v>
      </c>
      <c r="I59" s="208"/>
      <c r="J59" s="165"/>
      <c r="K59" s="165"/>
      <c r="L59" s="165"/>
    </row>
    <row r="60" spans="1:12">
      <c r="A60" s="199" t="s">
        <v>212</v>
      </c>
      <c r="B60" s="167"/>
      <c r="C60" s="187">
        <v>-2.7E-4</v>
      </c>
      <c r="D60" s="187"/>
      <c r="E60" s="214">
        <v>8.6199999999999992E-3</v>
      </c>
      <c r="F60" s="233"/>
      <c r="G60" s="187">
        <v>0</v>
      </c>
      <c r="H60" s="208">
        <v>-3.6999999999999999E-4</v>
      </c>
      <c r="I60" s="208"/>
      <c r="J60" s="165"/>
      <c r="K60" s="165"/>
      <c r="L60" s="165"/>
    </row>
    <row r="61" spans="1:12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  <c r="L61" s="165"/>
    </row>
    <row r="62" spans="1:12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  <c r="L62" s="180" t="s">
        <v>246</v>
      </c>
    </row>
    <row r="63" spans="1:12">
      <c r="A63" s="199" t="s">
        <v>148</v>
      </c>
      <c r="B63" s="165"/>
      <c r="C63" s="183">
        <f t="shared" ref="C63:G68" si="11">$H4*C48</f>
        <v>6025.1985000000004</v>
      </c>
      <c r="D63" s="183">
        <f t="shared" si="11"/>
        <v>0</v>
      </c>
      <c r="E63" s="183">
        <f>$H4*E48</f>
        <v>-58466.741000000002</v>
      </c>
      <c r="F63" s="183">
        <f>$H4*F48</f>
        <v>-20307.1505</v>
      </c>
      <c r="G63" s="183">
        <f t="shared" ref="G63:H68" si="12">$H4*G48</f>
        <v>0</v>
      </c>
      <c r="H63" s="183">
        <f t="shared" si="12"/>
        <v>7810.4425000000001</v>
      </c>
      <c r="I63" s="183">
        <f>SUM(C63:H63)</f>
        <v>-64938.250500000002</v>
      </c>
      <c r="J63" s="165"/>
      <c r="K63" s="165"/>
      <c r="L63" s="213">
        <f t="shared" ref="L63:L68" si="13">$F4*L48+$G4*$I48</f>
        <v>0</v>
      </c>
    </row>
    <row r="64" spans="1:12">
      <c r="A64" s="199" t="s">
        <v>207</v>
      </c>
      <c r="B64" s="165"/>
      <c r="C64" s="183">
        <f t="shared" si="11"/>
        <v>15.29523</v>
      </c>
      <c r="D64" s="183">
        <f t="shared" si="11"/>
        <v>1786.1429700000001</v>
      </c>
      <c r="E64" s="183">
        <f t="shared" ref="E64" si="14">$H5*E49</f>
        <v>-148.42037999999999</v>
      </c>
      <c r="F64" s="183">
        <f t="shared" si="11"/>
        <v>-51.55059</v>
      </c>
      <c r="G64" s="183">
        <f t="shared" si="11"/>
        <v>0</v>
      </c>
      <c r="H64" s="183">
        <f t="shared" si="12"/>
        <v>19.82715</v>
      </c>
      <c r="I64" s="183">
        <f t="shared" ref="I64:I73" si="15">SUM(C64:H64)</f>
        <v>1621.29438</v>
      </c>
      <c r="J64" s="165"/>
      <c r="K64" s="165"/>
      <c r="L64" s="213">
        <f t="shared" si="13"/>
        <v>0</v>
      </c>
    </row>
    <row r="65" spans="1:12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ref="E65" si="16">$H6*E50</f>
        <v>-20428.1849</v>
      </c>
      <c r="F65" s="183">
        <f t="shared" si="11"/>
        <v>-7448.9513999999999</v>
      </c>
      <c r="G65" s="183">
        <f t="shared" si="11"/>
        <v>0</v>
      </c>
      <c r="H65" s="183">
        <f t="shared" si="12"/>
        <v>2031.5322000000001</v>
      </c>
      <c r="I65" s="183">
        <f t="shared" si="15"/>
        <v>-25845.604099999997</v>
      </c>
      <c r="J65" s="165"/>
      <c r="K65" s="165"/>
      <c r="L65" s="213">
        <f t="shared" si="13"/>
        <v>0</v>
      </c>
    </row>
    <row r="66" spans="1:12">
      <c r="A66" s="199" t="s">
        <v>150</v>
      </c>
      <c r="B66" s="165"/>
      <c r="C66" s="183">
        <f t="shared" si="11"/>
        <v>101.4687</v>
      </c>
      <c r="D66" s="183">
        <f t="shared" si="11"/>
        <v>0</v>
      </c>
      <c r="E66" s="183">
        <f t="shared" ref="E66" si="17">$H7*E51</f>
        <v>-1360.4322</v>
      </c>
      <c r="F66" s="183">
        <f t="shared" si="11"/>
        <v>-496.06920000000002</v>
      </c>
      <c r="G66" s="183">
        <f t="shared" si="11"/>
        <v>0</v>
      </c>
      <c r="H66" s="183">
        <f t="shared" si="12"/>
        <v>135.29160000000002</v>
      </c>
      <c r="I66" s="183">
        <f t="shared" si="15"/>
        <v>-1619.7411000000002</v>
      </c>
      <c r="J66" s="165"/>
      <c r="K66" s="165"/>
      <c r="L66" s="213">
        <f t="shared" si="13"/>
        <v>0</v>
      </c>
    </row>
    <row r="67" spans="1:12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ref="E67" si="18">$H8*E52</f>
        <v>-32511.657359999997</v>
      </c>
      <c r="F67" s="183">
        <f t="shared" si="11"/>
        <v>-11313.580400000001</v>
      </c>
      <c r="G67" s="183">
        <f t="shared" si="11"/>
        <v>0</v>
      </c>
      <c r="H67" s="183">
        <f t="shared" si="12"/>
        <v>4287.2515200000007</v>
      </c>
      <c r="I67" s="183">
        <f t="shared" si="15"/>
        <v>-39537.986239999998</v>
      </c>
      <c r="J67" s="165"/>
      <c r="K67" s="165"/>
      <c r="L67" s="213">
        <f t="shared" si="13"/>
        <v>0</v>
      </c>
    </row>
    <row r="68" spans="1:12">
      <c r="A68" s="199" t="s">
        <v>152</v>
      </c>
      <c r="B68" s="165"/>
      <c r="C68" s="183">
        <f t="shared" si="11"/>
        <v>75.384</v>
      </c>
      <c r="D68" s="183">
        <f t="shared" si="11"/>
        <v>0</v>
      </c>
      <c r="E68" s="183">
        <f t="shared" ref="E68" si="19">$H9*E53</f>
        <v>-762.21599999999989</v>
      </c>
      <c r="F68" s="183">
        <f t="shared" si="11"/>
        <v>-265.24</v>
      </c>
      <c r="G68" s="183">
        <f t="shared" si="11"/>
        <v>0</v>
      </c>
      <c r="H68" s="183">
        <f t="shared" si="12"/>
        <v>100.512</v>
      </c>
      <c r="I68" s="183">
        <f t="shared" si="15"/>
        <v>-851.56</v>
      </c>
      <c r="J68" s="165"/>
      <c r="K68" s="165"/>
      <c r="L68" s="213">
        <f t="shared" si="13"/>
        <v>0</v>
      </c>
    </row>
    <row r="69" spans="1:12">
      <c r="A69" s="199" t="s">
        <v>153</v>
      </c>
      <c r="B69" s="165"/>
      <c r="C69" s="183">
        <f t="shared" ref="C69:H69" si="20">$H10*C54+$H11*C55</f>
        <v>0</v>
      </c>
      <c r="D69" s="183">
        <f t="shared" si="20"/>
        <v>0</v>
      </c>
      <c r="E69" s="183">
        <f t="shared" ref="E69" si="21">$H10*E54+$H11*E55</f>
        <v>7567.9965599999996</v>
      </c>
      <c r="F69" s="183">
        <f t="shared" si="20"/>
        <v>2639.9987999999998</v>
      </c>
      <c r="G69" s="183">
        <f t="shared" si="20"/>
        <v>0</v>
      </c>
      <c r="H69" s="183">
        <f t="shared" si="20"/>
        <v>-1495.9993200000001</v>
      </c>
      <c r="I69" s="183">
        <f t="shared" si="15"/>
        <v>8711.9960399999982</v>
      </c>
      <c r="J69" s="165"/>
      <c r="K69" s="165"/>
      <c r="L69" s="213">
        <f>$F10*L54+$F11*L55+$G10*$I54+$G11*$I55</f>
        <v>0</v>
      </c>
    </row>
    <row r="70" spans="1:12">
      <c r="A70" s="199" t="s">
        <v>209</v>
      </c>
      <c r="B70" s="165"/>
      <c r="C70" s="183">
        <f t="shared" ref="C70:H72" si="22">$H12*C56</f>
        <v>0</v>
      </c>
      <c r="D70" s="183">
        <f t="shared" si="22"/>
        <v>0</v>
      </c>
      <c r="E70" s="183">
        <f t="shared" ref="E70" si="23">$H12*E56</f>
        <v>0</v>
      </c>
      <c r="F70" s="183">
        <f t="shared" si="22"/>
        <v>0</v>
      </c>
      <c r="G70" s="183">
        <f t="shared" si="22"/>
        <v>0</v>
      </c>
      <c r="H70" s="183">
        <f t="shared" si="22"/>
        <v>0</v>
      </c>
      <c r="I70" s="183">
        <f t="shared" si="15"/>
        <v>0</v>
      </c>
      <c r="J70" s="165"/>
      <c r="K70" s="165"/>
      <c r="L70" s="213">
        <f>$F12*L56+$G12*$I56</f>
        <v>0</v>
      </c>
    </row>
    <row r="71" spans="1:12">
      <c r="A71" s="199" t="s">
        <v>154</v>
      </c>
      <c r="B71" s="165"/>
      <c r="C71" s="183">
        <f t="shared" si="22"/>
        <v>0</v>
      </c>
      <c r="D71" s="183">
        <f t="shared" si="22"/>
        <v>0</v>
      </c>
      <c r="E71" s="183">
        <f t="shared" ref="E71" si="24">$H13*E57</f>
        <v>-6770.7549899999995</v>
      </c>
      <c r="F71" s="183">
        <f t="shared" si="22"/>
        <v>-2153.1519699999999</v>
      </c>
      <c r="G71" s="183">
        <f t="shared" si="22"/>
        <v>0</v>
      </c>
      <c r="H71" s="183">
        <f t="shared" si="22"/>
        <v>1089.5467800000001</v>
      </c>
      <c r="I71" s="183">
        <f t="shared" si="15"/>
        <v>-7834.3601799999997</v>
      </c>
      <c r="J71" s="165"/>
      <c r="K71" s="165"/>
      <c r="L71" s="213">
        <f>$F13*L57+$G13*$I57</f>
        <v>0</v>
      </c>
    </row>
    <row r="72" spans="1:12">
      <c r="A72" s="199" t="s">
        <v>155</v>
      </c>
      <c r="B72" s="165"/>
      <c r="C72" s="183">
        <f t="shared" si="22"/>
        <v>40.149540000000002</v>
      </c>
      <c r="D72" s="183">
        <f t="shared" si="22"/>
        <v>0</v>
      </c>
      <c r="E72" s="183">
        <f t="shared" ref="E72" si="25">$H14*E58</f>
        <v>-388.11221999999998</v>
      </c>
      <c r="F72" s="183">
        <f t="shared" si="22"/>
        <v>-123.42266000000001</v>
      </c>
      <c r="G72" s="183">
        <f t="shared" si="22"/>
        <v>0</v>
      </c>
      <c r="H72" s="183">
        <f t="shared" si="22"/>
        <v>62.454840000000004</v>
      </c>
      <c r="I72" s="183">
        <f t="shared" si="15"/>
        <v>-408.93049999999999</v>
      </c>
      <c r="J72" s="165"/>
      <c r="K72" s="165"/>
      <c r="L72" s="213">
        <f>$F14*L58+$G14*$I58</f>
        <v>0</v>
      </c>
    </row>
    <row r="73" spans="1:12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183">
        <f>($H15+$H16+$H17)*E59</f>
        <v>0</v>
      </c>
      <c r="F73" s="203">
        <v>0</v>
      </c>
      <c r="G73" s="203">
        <v>0</v>
      </c>
      <c r="H73" s="203">
        <v>0</v>
      </c>
      <c r="I73" s="183">
        <f t="shared" si="15"/>
        <v>0</v>
      </c>
      <c r="J73" s="165"/>
      <c r="K73" s="165"/>
      <c r="L73" s="213">
        <f>($F15+$F16+$F17)*L59+($G15+$G16+$G17)*$I59</f>
        <v>0</v>
      </c>
    </row>
    <row r="74" spans="1:12">
      <c r="A74" s="172"/>
      <c r="B74" s="165"/>
      <c r="C74" s="198">
        <f>SUM(C63:C73)</f>
        <v>6257.4959700000009</v>
      </c>
      <c r="D74" s="198">
        <f t="shared" ref="D74:I74" si="26">SUM(D63:D73)</f>
        <v>1786.1429700000001</v>
      </c>
      <c r="E74" s="198">
        <f t="shared" si="26"/>
        <v>-113268.52248999999</v>
      </c>
      <c r="F74" s="198">
        <f t="shared" si="26"/>
        <v>-39519.117919999997</v>
      </c>
      <c r="G74" s="198">
        <f t="shared" si="26"/>
        <v>0</v>
      </c>
      <c r="H74" s="198">
        <f t="shared" si="26"/>
        <v>14040.859270000003</v>
      </c>
      <c r="I74" s="198">
        <f t="shared" si="26"/>
        <v>-130703.1422</v>
      </c>
      <c r="J74" s="165"/>
      <c r="K74" s="165"/>
      <c r="L74" s="165"/>
    </row>
    <row r="75" spans="1:12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</row>
    <row r="76" spans="1:12">
      <c r="A76" s="167" t="s">
        <v>19</v>
      </c>
      <c r="B76" s="167"/>
      <c r="C76" s="183">
        <f>C63+C64</f>
        <v>6040.4937300000001</v>
      </c>
      <c r="D76" s="183">
        <f t="shared" ref="D76:I76" si="27">D63+D64</f>
        <v>1786.1429700000001</v>
      </c>
      <c r="E76" s="183">
        <f t="shared" si="27"/>
        <v>-58615.161380000005</v>
      </c>
      <c r="F76" s="183">
        <f t="shared" si="27"/>
        <v>-20358.701089999999</v>
      </c>
      <c r="G76" s="183">
        <f t="shared" si="27"/>
        <v>0</v>
      </c>
      <c r="H76" s="183">
        <f t="shared" si="27"/>
        <v>7830.2696500000002</v>
      </c>
      <c r="I76" s="183">
        <f t="shared" si="27"/>
        <v>-63316.956120000003</v>
      </c>
      <c r="J76" s="165"/>
      <c r="K76" s="165"/>
      <c r="L76" s="165"/>
    </row>
    <row r="77" spans="1:12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  <c r="L77" s="165"/>
    </row>
    <row r="78" spans="1:12">
      <c r="A78" s="167" t="s">
        <v>213</v>
      </c>
      <c r="B78" s="167"/>
      <c r="C78" s="194">
        <f>SUM(C65:C68,C70:C72)</f>
        <v>217.00224</v>
      </c>
      <c r="D78" s="194">
        <f t="shared" ref="D78:I78" si="28">SUM(D65:D68,D70:D72)</f>
        <v>0</v>
      </c>
      <c r="E78" s="194">
        <f t="shared" si="28"/>
        <v>-62221.357670000005</v>
      </c>
      <c r="F78" s="194">
        <f t="shared" si="28"/>
        <v>-21800.415630000003</v>
      </c>
      <c r="G78" s="194">
        <f t="shared" si="28"/>
        <v>0</v>
      </c>
      <c r="H78" s="194">
        <f t="shared" si="28"/>
        <v>7706.5889400000015</v>
      </c>
      <c r="I78" s="194">
        <f t="shared" si="28"/>
        <v>-76098.182119999998</v>
      </c>
      <c r="J78" s="165"/>
      <c r="K78" s="165"/>
      <c r="L78" s="165"/>
    </row>
  </sheetData>
  <mergeCells count="2">
    <mergeCell ref="A1:I1"/>
    <mergeCell ref="F59:F60"/>
  </mergeCells>
  <printOptions horizontalCentered="1"/>
  <pageMargins left="0.7" right="0.7" top="0.5" bottom="0.5" header="0.3" footer="0.3"/>
  <pageSetup scale="80" orientation="landscape" r:id="rId1"/>
  <headerFooter>
    <oddFooter>&amp;L&amp;F / 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L78"/>
  <sheetViews>
    <sheetView topLeftCell="B53" workbookViewId="0">
      <selection sqref="A1:L78"/>
    </sheetView>
  </sheetViews>
  <sheetFormatPr defaultRowHeight="14.4"/>
  <cols>
    <col min="1" max="1" width="17.6640625" customWidth="1"/>
    <col min="3" max="3" width="18.33203125" customWidth="1"/>
    <col min="4" max="4" width="22" customWidth="1"/>
    <col min="5" max="5" width="17.33203125" customWidth="1"/>
    <col min="6" max="6" width="16.33203125" customWidth="1"/>
    <col min="7" max="8" width="15.6640625" customWidth="1"/>
    <col min="9" max="9" width="21.33203125" customWidth="1"/>
    <col min="12" max="12" width="13.44140625" bestFit="1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7.399999999999999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208991</v>
      </c>
      <c r="D4" s="165"/>
      <c r="E4" s="202">
        <v>176503515</v>
      </c>
      <c r="F4" s="202">
        <v>-105999608</v>
      </c>
      <c r="G4" s="202">
        <v>110639700</v>
      </c>
      <c r="H4" s="166">
        <f>SUM(F4:G4)</f>
        <v>4640092</v>
      </c>
      <c r="I4" s="174">
        <f>E4+H4</f>
        <v>181143607</v>
      </c>
    </row>
    <row r="5" spans="1:9">
      <c r="A5" s="199" t="s">
        <v>207</v>
      </c>
      <c r="B5" s="167"/>
      <c r="C5" s="173">
        <v>521</v>
      </c>
      <c r="D5" s="165"/>
      <c r="E5" s="202">
        <v>418243</v>
      </c>
      <c r="F5" s="202">
        <v>-265165</v>
      </c>
      <c r="G5" s="202">
        <v>271093</v>
      </c>
      <c r="H5" s="166">
        <f t="shared" ref="H5:H17" si="0">SUM(F5:G5)</f>
        <v>5928</v>
      </c>
      <c r="I5" s="174">
        <f t="shared" ref="I5:I17" si="1">E5+H5</f>
        <v>424171</v>
      </c>
    </row>
    <row r="6" spans="1:9">
      <c r="A6" s="199" t="s">
        <v>149</v>
      </c>
      <c r="B6" s="167"/>
      <c r="C6" s="173">
        <v>22315</v>
      </c>
      <c r="D6" s="165"/>
      <c r="E6" s="202">
        <v>47880694</v>
      </c>
      <c r="F6" s="202">
        <v>-29234413</v>
      </c>
      <c r="G6" s="202">
        <v>29955741</v>
      </c>
      <c r="H6" s="166">
        <f t="shared" si="0"/>
        <v>721328</v>
      </c>
      <c r="I6" s="174">
        <f t="shared" si="1"/>
        <v>48602022</v>
      </c>
    </row>
    <row r="7" spans="1:9">
      <c r="A7" s="199" t="s">
        <v>150</v>
      </c>
      <c r="B7" s="167"/>
      <c r="C7" s="173">
        <v>9028</v>
      </c>
      <c r="D7" s="165"/>
      <c r="E7" s="202">
        <v>3884948</v>
      </c>
      <c r="F7" s="202">
        <v>-2386483</v>
      </c>
      <c r="G7" s="202">
        <v>2439834</v>
      </c>
      <c r="H7" s="166">
        <f t="shared" si="0"/>
        <v>53351</v>
      </c>
      <c r="I7" s="174">
        <f t="shared" si="1"/>
        <v>3938299</v>
      </c>
    </row>
    <row r="8" spans="1:9">
      <c r="A8" s="199" t="s">
        <v>151</v>
      </c>
      <c r="B8" s="167"/>
      <c r="C8" s="173">
        <v>1840</v>
      </c>
      <c r="D8" s="165"/>
      <c r="E8" s="202">
        <v>117004743</v>
      </c>
      <c r="F8" s="202">
        <v>-75671390</v>
      </c>
      <c r="G8" s="202">
        <v>73025590</v>
      </c>
      <c r="H8" s="166">
        <f t="shared" si="0"/>
        <v>-2645800</v>
      </c>
      <c r="I8" s="174">
        <f t="shared" si="1"/>
        <v>114358943</v>
      </c>
    </row>
    <row r="9" spans="1:9">
      <c r="A9" s="199" t="s">
        <v>152</v>
      </c>
      <c r="B9" s="167"/>
      <c r="C9" s="173">
        <v>47</v>
      </c>
      <c r="D9" s="165"/>
      <c r="E9" s="202">
        <v>2512500</v>
      </c>
      <c r="F9" s="202">
        <v>-1590988</v>
      </c>
      <c r="G9" s="202">
        <v>1592670</v>
      </c>
      <c r="H9" s="166">
        <f t="shared" si="0"/>
        <v>1682</v>
      </c>
      <c r="I9" s="174">
        <f t="shared" si="1"/>
        <v>2514182</v>
      </c>
    </row>
    <row r="10" spans="1:9">
      <c r="A10" s="199" t="s">
        <v>153</v>
      </c>
      <c r="B10" s="167"/>
      <c r="C10" s="173">
        <v>21</v>
      </c>
      <c r="D10" s="165"/>
      <c r="E10" s="202">
        <f>98320357-E11</f>
        <v>61802464</v>
      </c>
      <c r="F10" s="202">
        <v>0</v>
      </c>
      <c r="G10" s="202">
        <v>0</v>
      </c>
      <c r="H10" s="166">
        <f t="shared" si="0"/>
        <v>0</v>
      </c>
      <c r="I10" s="174">
        <f t="shared" si="1"/>
        <v>61802464</v>
      </c>
    </row>
    <row r="11" spans="1:9">
      <c r="A11" s="199" t="s">
        <v>208</v>
      </c>
      <c r="B11" s="167"/>
      <c r="C11" s="173"/>
      <c r="D11" s="165"/>
      <c r="E11" s="202">
        <v>36517893</v>
      </c>
      <c r="F11" s="202">
        <v>0</v>
      </c>
      <c r="G11" s="202">
        <v>0</v>
      </c>
      <c r="H11" s="166">
        <f t="shared" si="0"/>
        <v>0</v>
      </c>
      <c r="I11" s="174">
        <f t="shared" si="1"/>
        <v>36517893</v>
      </c>
    </row>
    <row r="12" spans="1:9">
      <c r="A12" s="199" t="s">
        <v>209</v>
      </c>
      <c r="B12" s="167"/>
      <c r="C12" s="173">
        <v>29</v>
      </c>
      <c r="D12" s="165"/>
      <c r="E12" s="202">
        <v>3786800</v>
      </c>
      <c r="F12" s="202">
        <v>0</v>
      </c>
      <c r="G12" s="202">
        <v>0</v>
      </c>
      <c r="H12" s="166">
        <f t="shared" si="0"/>
        <v>0</v>
      </c>
      <c r="I12" s="174">
        <f t="shared" si="1"/>
        <v>3786800</v>
      </c>
    </row>
    <row r="13" spans="1:9">
      <c r="A13" s="199" t="s">
        <v>154</v>
      </c>
      <c r="B13" s="167"/>
      <c r="C13" s="173">
        <v>1242</v>
      </c>
      <c r="D13" s="165"/>
      <c r="E13" s="202">
        <v>18943118</v>
      </c>
      <c r="F13" s="202">
        <v>-7391467</v>
      </c>
      <c r="G13" s="202">
        <v>8437760</v>
      </c>
      <c r="H13" s="166">
        <f t="shared" si="0"/>
        <v>1046293</v>
      </c>
      <c r="I13" s="174">
        <f t="shared" si="1"/>
        <v>19989411</v>
      </c>
    </row>
    <row r="14" spans="1:9">
      <c r="A14" s="199" t="s">
        <v>155</v>
      </c>
      <c r="B14" s="167"/>
      <c r="C14" s="173">
        <v>1193</v>
      </c>
      <c r="D14" s="165"/>
      <c r="E14" s="202">
        <v>1643487</v>
      </c>
      <c r="F14" s="202">
        <v>-662912</v>
      </c>
      <c r="G14" s="202">
        <v>711618</v>
      </c>
      <c r="H14" s="166">
        <f t="shared" si="0"/>
        <v>48706</v>
      </c>
      <c r="I14" s="174">
        <f t="shared" si="1"/>
        <v>1692193</v>
      </c>
    </row>
    <row r="15" spans="1:9">
      <c r="A15" s="199" t="s">
        <v>210</v>
      </c>
      <c r="B15" s="167"/>
      <c r="C15" s="173">
        <v>414</v>
      </c>
      <c r="D15" s="165"/>
      <c r="E15" s="202">
        <v>1240947</v>
      </c>
      <c r="F15" s="202"/>
      <c r="G15" s="202"/>
      <c r="H15" s="166"/>
      <c r="I15" s="174">
        <f t="shared" si="1"/>
        <v>1240947</v>
      </c>
    </row>
    <row r="16" spans="1:9">
      <c r="A16" s="199" t="s">
        <v>211</v>
      </c>
      <c r="B16" s="167"/>
      <c r="C16" s="173"/>
      <c r="D16" s="165"/>
      <c r="E16" s="202">
        <v>463818</v>
      </c>
      <c r="F16" s="202"/>
      <c r="G16" s="202"/>
      <c r="H16" s="166">
        <f t="shared" si="0"/>
        <v>0</v>
      </c>
      <c r="I16" s="174">
        <f t="shared" si="1"/>
        <v>463818</v>
      </c>
    </row>
    <row r="17" spans="1:9">
      <c r="A17" s="199" t="s">
        <v>212</v>
      </c>
      <c r="B17" s="167"/>
      <c r="C17" s="173"/>
      <c r="D17" s="165"/>
      <c r="E17" s="202">
        <v>245683</v>
      </c>
      <c r="F17" s="202"/>
      <c r="G17" s="202"/>
      <c r="H17" s="166">
        <f t="shared" si="0"/>
        <v>0</v>
      </c>
      <c r="I17" s="174">
        <f t="shared" si="1"/>
        <v>245683</v>
      </c>
    </row>
    <row r="18" spans="1:9">
      <c r="A18" s="167"/>
      <c r="B18" s="167"/>
      <c r="C18" s="175">
        <f>SUM(C4:C17)</f>
        <v>245641</v>
      </c>
      <c r="D18" s="165"/>
      <c r="E18" s="175">
        <f t="shared" ref="E18:I18" si="2">SUM(E4:E17)</f>
        <v>472848853</v>
      </c>
      <c r="F18" s="175">
        <f t="shared" si="2"/>
        <v>-223202426</v>
      </c>
      <c r="G18" s="175">
        <f t="shared" si="2"/>
        <v>227074006</v>
      </c>
      <c r="H18" s="175">
        <f t="shared" si="2"/>
        <v>3871580</v>
      </c>
      <c r="I18" s="175">
        <f t="shared" si="2"/>
        <v>476720433</v>
      </c>
    </row>
    <row r="19" spans="1:9" ht="9" customHeight="1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209512</v>
      </c>
      <c r="D20" s="165"/>
      <c r="E20" s="177">
        <f>E4+E5</f>
        <v>176921758</v>
      </c>
      <c r="F20" s="177">
        <f t="shared" ref="F20:I20" si="3">F4+F5</f>
        <v>-106264773</v>
      </c>
      <c r="G20" s="177">
        <f t="shared" si="3"/>
        <v>110910793</v>
      </c>
      <c r="H20" s="177">
        <f t="shared" si="3"/>
        <v>4646020</v>
      </c>
      <c r="I20" s="176">
        <f t="shared" si="3"/>
        <v>181567778</v>
      </c>
    </row>
    <row r="21" spans="1:9" ht="10.199999999999999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35694</v>
      </c>
      <c r="D22" s="165"/>
      <c r="E22" s="196">
        <f>SUM(E6:E9,E12:E14)</f>
        <v>195656290</v>
      </c>
      <c r="F22" s="196">
        <f t="shared" ref="F22:H22" si="4">SUM(F6:F9,F12:F14)</f>
        <v>-116937653</v>
      </c>
      <c r="G22" s="196">
        <f t="shared" si="4"/>
        <v>116163213</v>
      </c>
      <c r="H22" s="196">
        <f t="shared" si="4"/>
        <v>-774440</v>
      </c>
      <c r="I22" s="195">
        <f>SUM(I6:I9,I12:I14)</f>
        <v>194881850</v>
      </c>
    </row>
    <row r="23" spans="1:9" ht="8.4" customHeight="1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1843794.5</v>
      </c>
      <c r="D26" s="200">
        <v>15679128.289999999</v>
      </c>
      <c r="E26" s="203">
        <v>-9485478</v>
      </c>
      <c r="F26" s="203">
        <v>10055686</v>
      </c>
      <c r="G26" s="191">
        <f>SUM(D26:F26)</f>
        <v>16249336.289999999</v>
      </c>
      <c r="H26" s="191">
        <f>-I63</f>
        <v>-78162.42859999997</v>
      </c>
      <c r="I26" s="191">
        <f>SUM(G26:H26)</f>
        <v>16171173.861399999</v>
      </c>
    </row>
    <row r="27" spans="1:9">
      <c r="A27" s="199" t="s">
        <v>207</v>
      </c>
      <c r="B27" s="167"/>
      <c r="C27" s="200">
        <v>4539</v>
      </c>
      <c r="D27" s="200">
        <v>36898.94</v>
      </c>
      <c r="E27" s="203">
        <v>-15441</v>
      </c>
      <c r="F27" s="203">
        <v>16133</v>
      </c>
      <c r="G27" s="191">
        <f t="shared" ref="G27:G36" si="5">SUM(D27:F27)</f>
        <v>37590.94</v>
      </c>
      <c r="H27" s="191">
        <f t="shared" ref="H27:H35" si="6">-I64</f>
        <v>7.908710000000104</v>
      </c>
      <c r="I27" s="191">
        <f t="shared" ref="I27:I36" si="7">SUM(G27:H27)</f>
        <v>37598.848710000006</v>
      </c>
    </row>
    <row r="28" spans="1:9">
      <c r="A28" s="199" t="s">
        <v>149</v>
      </c>
      <c r="B28" s="167"/>
      <c r="C28" s="200">
        <v>410513.41</v>
      </c>
      <c r="D28" s="200">
        <v>5543616.8499999996</v>
      </c>
      <c r="E28" s="203">
        <v>-3362906</v>
      </c>
      <c r="F28" s="203">
        <v>3437702</v>
      </c>
      <c r="G28" s="191">
        <f t="shared" si="5"/>
        <v>5618412.8499999996</v>
      </c>
      <c r="H28" s="191">
        <f t="shared" si="6"/>
        <v>-29614.653939999993</v>
      </c>
      <c r="I28" s="191">
        <f t="shared" si="7"/>
        <v>5588798.19606</v>
      </c>
    </row>
    <row r="29" spans="1:9">
      <c r="A29" s="199" t="s">
        <v>150</v>
      </c>
      <c r="B29" s="167"/>
      <c r="C29" s="200">
        <v>164916.92000000001</v>
      </c>
      <c r="D29" s="200">
        <v>592261.52</v>
      </c>
      <c r="E29" s="203">
        <v>-358493</v>
      </c>
      <c r="F29" s="203">
        <v>366328</v>
      </c>
      <c r="G29" s="191">
        <f t="shared" si="5"/>
        <v>600096.52</v>
      </c>
      <c r="H29" s="191">
        <f t="shared" si="6"/>
        <v>-2377.7775099999999</v>
      </c>
      <c r="I29" s="191">
        <f t="shared" si="7"/>
        <v>597718.74248999998</v>
      </c>
    </row>
    <row r="30" spans="1:9">
      <c r="A30" s="199" t="s">
        <v>151</v>
      </c>
      <c r="B30" s="167"/>
      <c r="C30" s="200">
        <v>921549.99</v>
      </c>
      <c r="D30" s="200">
        <v>10579360.4</v>
      </c>
      <c r="E30" s="203">
        <v>-6002265</v>
      </c>
      <c r="F30" s="203">
        <v>5859412</v>
      </c>
      <c r="G30" s="191">
        <f t="shared" si="5"/>
        <v>10436507.4</v>
      </c>
      <c r="H30" s="191">
        <f t="shared" si="6"/>
        <v>-40402.347499999996</v>
      </c>
      <c r="I30" s="191">
        <f t="shared" si="7"/>
        <v>10396105.0525</v>
      </c>
    </row>
    <row r="31" spans="1:9">
      <c r="A31" s="199" t="s">
        <v>152</v>
      </c>
      <c r="B31" s="167"/>
      <c r="C31" s="200">
        <v>23500</v>
      </c>
      <c r="D31" s="200">
        <v>224667.56</v>
      </c>
      <c r="E31" s="203">
        <v>-129707</v>
      </c>
      <c r="F31" s="203">
        <v>130901</v>
      </c>
      <c r="G31" s="191">
        <f t="shared" si="5"/>
        <v>225861.56</v>
      </c>
      <c r="H31" s="191">
        <f t="shared" si="6"/>
        <v>-1039.2723000000001</v>
      </c>
      <c r="I31" s="191">
        <f t="shared" si="7"/>
        <v>224822.28769999999</v>
      </c>
    </row>
    <row r="32" spans="1:9">
      <c r="A32" s="199" t="s">
        <v>153</v>
      </c>
      <c r="B32" s="167"/>
      <c r="C32" s="200">
        <v>441000</v>
      </c>
      <c r="D32" s="200">
        <f>5773585.81-84774.6</f>
        <v>5688811.21</v>
      </c>
      <c r="E32" s="203">
        <v>0</v>
      </c>
      <c r="F32" s="203">
        <v>0</v>
      </c>
      <c r="G32" s="191">
        <f t="shared" si="5"/>
        <v>5688811.21</v>
      </c>
      <c r="H32" s="191">
        <f t="shared" si="6"/>
        <v>0</v>
      </c>
      <c r="I32" s="191">
        <f t="shared" si="7"/>
        <v>5688811.21</v>
      </c>
    </row>
    <row r="33" spans="1:9">
      <c r="A33" s="199" t="s">
        <v>209</v>
      </c>
      <c r="B33" s="167"/>
      <c r="C33" s="200">
        <v>522</v>
      </c>
      <c r="D33" s="200">
        <v>258922.12</v>
      </c>
      <c r="E33" s="203">
        <v>0</v>
      </c>
      <c r="F33" s="203">
        <v>0</v>
      </c>
      <c r="G33" s="191">
        <f t="shared" si="5"/>
        <v>258922.12</v>
      </c>
      <c r="H33" s="191">
        <f t="shared" si="6"/>
        <v>0</v>
      </c>
      <c r="I33" s="191">
        <f t="shared" si="7"/>
        <v>258922.12</v>
      </c>
    </row>
    <row r="34" spans="1:9">
      <c r="A34" s="199" t="s">
        <v>154</v>
      </c>
      <c r="B34" s="167"/>
      <c r="C34" s="200">
        <v>22410</v>
      </c>
      <c r="D34" s="200">
        <v>1477373.19</v>
      </c>
      <c r="E34" s="203">
        <v>-606740</v>
      </c>
      <c r="F34" s="203">
        <v>675160</v>
      </c>
      <c r="G34" s="191">
        <f t="shared" si="5"/>
        <v>1545793.19</v>
      </c>
      <c r="H34" s="191">
        <f t="shared" si="6"/>
        <v>-8407.7464299999992</v>
      </c>
      <c r="I34" s="191">
        <f t="shared" si="7"/>
        <v>1537385.4435699999</v>
      </c>
    </row>
    <row r="35" spans="1:9">
      <c r="A35" s="199" t="s">
        <v>155</v>
      </c>
      <c r="B35" s="167"/>
      <c r="C35" s="200">
        <v>21726</v>
      </c>
      <c r="D35" s="200">
        <v>156442.73000000001</v>
      </c>
      <c r="E35" s="203">
        <v>-64405</v>
      </c>
      <c r="F35" s="203">
        <v>67078</v>
      </c>
      <c r="G35" s="191">
        <f t="shared" si="5"/>
        <v>159115.73000000001</v>
      </c>
      <c r="H35" s="191">
        <f t="shared" si="6"/>
        <v>-604.60901999999999</v>
      </c>
      <c r="I35" s="191">
        <f t="shared" si="7"/>
        <v>158511.12098000001</v>
      </c>
    </row>
    <row r="36" spans="1:9">
      <c r="A36" s="199" t="s">
        <v>221</v>
      </c>
      <c r="B36" s="167"/>
      <c r="C36" s="191"/>
      <c r="D36" s="200">
        <v>570206.16</v>
      </c>
      <c r="E36" s="200"/>
      <c r="F36" s="200"/>
      <c r="G36" s="191">
        <f t="shared" si="5"/>
        <v>570206.16</v>
      </c>
      <c r="H36" s="191"/>
      <c r="I36" s="191">
        <f t="shared" si="7"/>
        <v>570206.16</v>
      </c>
    </row>
    <row r="37" spans="1:9">
      <c r="A37" s="199" t="s">
        <v>222</v>
      </c>
      <c r="B37" s="167"/>
      <c r="C37" s="186"/>
      <c r="D37" s="200">
        <v>1253999.02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1592021.4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3854471.8200000003</v>
      </c>
      <c r="D39" s="181">
        <f t="shared" ref="D39:I39" si="8">SUM(D26:D38)</f>
        <v>43653709.389999986</v>
      </c>
      <c r="E39" s="181">
        <f t="shared" si="8"/>
        <v>-20025435</v>
      </c>
      <c r="F39" s="181">
        <f t="shared" si="8"/>
        <v>20608400</v>
      </c>
      <c r="G39" s="181">
        <f t="shared" si="8"/>
        <v>41390653.969999984</v>
      </c>
      <c r="H39" s="181">
        <f t="shared" si="8"/>
        <v>-160600.92658999996</v>
      </c>
      <c r="I39" s="181">
        <f t="shared" si="8"/>
        <v>41230053.043409996</v>
      </c>
    </row>
    <row r="40" spans="1:9" ht="9" customHeight="1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1848333.5</v>
      </c>
      <c r="D41" s="183">
        <f t="shared" ref="D41:I41" si="9">D26+D27</f>
        <v>15716027.229999999</v>
      </c>
      <c r="E41" s="183">
        <f t="shared" si="9"/>
        <v>-9500919</v>
      </c>
      <c r="F41" s="183">
        <f t="shared" si="9"/>
        <v>10071819</v>
      </c>
      <c r="G41" s="183">
        <f t="shared" si="9"/>
        <v>16286927.229999999</v>
      </c>
      <c r="H41" s="183">
        <f t="shared" si="9"/>
        <v>-78154.519889999967</v>
      </c>
      <c r="I41" s="184">
        <f t="shared" si="9"/>
        <v>16208772.710109999</v>
      </c>
    </row>
    <row r="42" spans="1:9" ht="10.199999999999999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1565138.3199999998</v>
      </c>
      <c r="D43" s="194">
        <f t="shared" ref="D43:I43" si="10">SUM(D28:D31,D33:D35)</f>
        <v>18832644.370000001</v>
      </c>
      <c r="E43" s="194">
        <f t="shared" si="10"/>
        <v>-10524516</v>
      </c>
      <c r="F43" s="194">
        <f t="shared" si="10"/>
        <v>10536581</v>
      </c>
      <c r="G43" s="194">
        <f t="shared" si="10"/>
        <v>18844709.370000001</v>
      </c>
      <c r="H43" s="194">
        <f t="shared" si="10"/>
        <v>-82446.406699999992</v>
      </c>
      <c r="I43" s="193">
        <f t="shared" si="10"/>
        <v>18762262.963300001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64">
        <v>42552</v>
      </c>
      <c r="I46" s="164">
        <v>42583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227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-3.5E-4</v>
      </c>
      <c r="I48" s="211">
        <v>2.6199999999999999E-3</v>
      </c>
    </row>
    <row r="49" spans="1:12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-3.5E-4</v>
      </c>
      <c r="I49" s="211">
        <v>2.6199999999999999E-3</v>
      </c>
    </row>
    <row r="50" spans="1:12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-3.6000000000000002E-4</v>
      </c>
      <c r="I50" s="211">
        <v>3.62E-3</v>
      </c>
    </row>
    <row r="51" spans="1:12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-3.6000000000000002E-4</v>
      </c>
      <c r="I51" s="211">
        <v>3.62E-3</v>
      </c>
    </row>
    <row r="52" spans="1:12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-3.6000000000000002E-4</v>
      </c>
      <c r="I52" s="211">
        <v>2.7299999999999998E-3</v>
      </c>
    </row>
    <row r="53" spans="1:12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-3.6000000000000002E-4</v>
      </c>
      <c r="I53" s="211">
        <v>2.7299999999999998E-3</v>
      </c>
    </row>
    <row r="54" spans="1:12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-3.4000000000000002E-4</v>
      </c>
      <c r="I54" s="211">
        <v>1.72E-3</v>
      </c>
    </row>
    <row r="55" spans="1:12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-3.4000000000000002E-4</v>
      </c>
      <c r="I55" s="211">
        <v>1.72E-3</v>
      </c>
    </row>
    <row r="56" spans="1:12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-4.2000000000000002E-4</v>
      </c>
      <c r="I56" s="211">
        <v>2.6099999999999999E-3</v>
      </c>
    </row>
    <row r="57" spans="1:12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-4.2000000000000002E-4</v>
      </c>
      <c r="I57" s="211">
        <v>2.6099999999999999E-3</v>
      </c>
    </row>
    <row r="58" spans="1:12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-4.2000000000000002E-4</v>
      </c>
      <c r="I58" s="211">
        <v>2.6099999999999999E-3</v>
      </c>
    </row>
    <row r="59" spans="1:12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208">
        <v>-3.6999999999999999E-4</v>
      </c>
      <c r="I59" s="212">
        <v>8.6199999999999992E-3</v>
      </c>
    </row>
    <row r="60" spans="1:12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208">
        <v>-3.6999999999999999E-4</v>
      </c>
      <c r="I60" s="212">
        <v>8.6199999999999992E-3</v>
      </c>
    </row>
    <row r="61" spans="1:12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12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L62" s="180" t="s">
        <v>246</v>
      </c>
    </row>
    <row r="63" spans="1:12">
      <c r="A63" s="199" t="s">
        <v>148</v>
      </c>
      <c r="B63" s="165"/>
      <c r="C63" s="183">
        <f t="shared" ref="C63:G68" si="11">$H4*C48</f>
        <v>-1252.82484</v>
      </c>
      <c r="D63" s="183">
        <f t="shared" si="11"/>
        <v>0</v>
      </c>
      <c r="E63" s="213">
        <f t="shared" ref="E63:E67" si="12">$F4*E48+$G4*$I48</f>
        <v>76816.801919999969</v>
      </c>
      <c r="F63" s="183">
        <f>$H4*F48</f>
        <v>4222.4837200000002</v>
      </c>
      <c r="G63" s="183">
        <f t="shared" ref="G63:H63" si="13">$H4*G48</f>
        <v>0</v>
      </c>
      <c r="H63" s="183">
        <f t="shared" si="13"/>
        <v>-1624.0321999999999</v>
      </c>
      <c r="I63" s="183">
        <f>SUM(C63:H63)</f>
        <v>78162.42859999997</v>
      </c>
      <c r="L63" s="213">
        <f t="shared" ref="L63:L68" si="14">$F4*L48+$G4*$I48</f>
        <v>289876.01399999997</v>
      </c>
    </row>
    <row r="64" spans="1:12">
      <c r="A64" s="199" t="s">
        <v>207</v>
      </c>
      <c r="B64" s="165"/>
      <c r="C64" s="183">
        <f t="shared" si="11"/>
        <v>-1.60056</v>
      </c>
      <c r="D64" s="183">
        <f t="shared" si="11"/>
        <v>-186.90984</v>
      </c>
      <c r="E64" s="213">
        <f t="shared" si="12"/>
        <v>177.2820099999999</v>
      </c>
      <c r="F64" s="183">
        <f t="shared" si="11"/>
        <v>5.3944799999999997</v>
      </c>
      <c r="G64" s="183">
        <f t="shared" si="11"/>
        <v>0</v>
      </c>
      <c r="H64" s="183">
        <f t="shared" ref="H64" si="15">$H5*H49</f>
        <v>-2.0748000000000002</v>
      </c>
      <c r="I64" s="183">
        <f t="shared" ref="I64:I73" si="16">SUM(C64:H64)</f>
        <v>-7.908710000000104</v>
      </c>
      <c r="L64" s="213">
        <f t="shared" si="14"/>
        <v>710.26365999999996</v>
      </c>
    </row>
    <row r="65" spans="1:12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213">
        <f t="shared" si="12"/>
        <v>28922.179059999995</v>
      </c>
      <c r="F65" s="183">
        <f t="shared" si="11"/>
        <v>952.15296000000001</v>
      </c>
      <c r="G65" s="183">
        <f t="shared" si="11"/>
        <v>0</v>
      </c>
      <c r="H65" s="183">
        <f t="shared" ref="H65" si="17">$H6*H50</f>
        <v>-259.67808000000002</v>
      </c>
      <c r="I65" s="183">
        <f t="shared" si="16"/>
        <v>29614.653939999993</v>
      </c>
      <c r="L65" s="213">
        <f t="shared" si="14"/>
        <v>108439.78242</v>
      </c>
    </row>
    <row r="66" spans="1:12">
      <c r="A66" s="199" t="s">
        <v>150</v>
      </c>
      <c r="B66" s="165"/>
      <c r="C66" s="183">
        <f t="shared" si="11"/>
        <v>-14.404770000000001</v>
      </c>
      <c r="D66" s="183">
        <f t="shared" si="11"/>
        <v>0</v>
      </c>
      <c r="E66" s="213">
        <f t="shared" si="12"/>
        <v>2340.9653200000002</v>
      </c>
      <c r="F66" s="183">
        <f t="shared" si="11"/>
        <v>70.423320000000004</v>
      </c>
      <c r="G66" s="183">
        <f t="shared" si="11"/>
        <v>0</v>
      </c>
      <c r="H66" s="183">
        <f t="shared" ref="H66" si="18">$H7*H51</f>
        <v>-19.20636</v>
      </c>
      <c r="I66" s="183">
        <f t="shared" si="16"/>
        <v>2377.7775099999999</v>
      </c>
      <c r="L66" s="213">
        <f t="shared" si="14"/>
        <v>8832.1990800000003</v>
      </c>
    </row>
    <row r="67" spans="1:12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213">
        <f t="shared" si="12"/>
        <v>41963.369500000001</v>
      </c>
      <c r="F67" s="183">
        <f t="shared" si="11"/>
        <v>-2513.5100000000002</v>
      </c>
      <c r="G67" s="183">
        <f t="shared" si="11"/>
        <v>0</v>
      </c>
      <c r="H67" s="183">
        <f t="shared" ref="H67" si="19">$H8*H52</f>
        <v>952.48800000000006</v>
      </c>
      <c r="I67" s="183">
        <f t="shared" si="16"/>
        <v>40402.347499999996</v>
      </c>
      <c r="L67" s="213">
        <f t="shared" si="14"/>
        <v>199359.86069999999</v>
      </c>
    </row>
    <row r="68" spans="1:12">
      <c r="A68" s="199" t="s">
        <v>152</v>
      </c>
      <c r="B68" s="165"/>
      <c r="C68" s="183">
        <f t="shared" si="11"/>
        <v>-0.45413999999999999</v>
      </c>
      <c r="D68" s="183">
        <f t="shared" si="11"/>
        <v>0</v>
      </c>
      <c r="E68" s="213">
        <f>$F9*E53+$G9*$I53</f>
        <v>1038.7340600000002</v>
      </c>
      <c r="F68" s="183">
        <f t="shared" si="11"/>
        <v>1.5979000000000001</v>
      </c>
      <c r="G68" s="183">
        <f t="shared" si="11"/>
        <v>0</v>
      </c>
      <c r="H68" s="183">
        <f t="shared" ref="H68" si="20">$H9*H53</f>
        <v>-0.60552000000000006</v>
      </c>
      <c r="I68" s="183">
        <f t="shared" si="16"/>
        <v>1039.2723000000001</v>
      </c>
      <c r="L68" s="213">
        <f t="shared" si="14"/>
        <v>4347.9890999999998</v>
      </c>
    </row>
    <row r="69" spans="1:12">
      <c r="A69" s="199" t="s">
        <v>153</v>
      </c>
      <c r="B69" s="165"/>
      <c r="C69" s="183">
        <f t="shared" ref="C69:G69" si="21">$H10*C54+$H11*C55</f>
        <v>0</v>
      </c>
      <c r="D69" s="183">
        <f t="shared" si="21"/>
        <v>0</v>
      </c>
      <c r="E69" s="213">
        <f>$F10*E54+$F11*E55+$G10*$I54+$G11*$I55</f>
        <v>0</v>
      </c>
      <c r="F69" s="183">
        <f t="shared" si="21"/>
        <v>0</v>
      </c>
      <c r="G69" s="183">
        <f t="shared" si="21"/>
        <v>0</v>
      </c>
      <c r="H69" s="183">
        <f t="shared" ref="H69" si="22">$H10*H54+$H11*H55</f>
        <v>0</v>
      </c>
      <c r="I69" s="183">
        <f t="shared" si="16"/>
        <v>0</v>
      </c>
      <c r="L69" s="213">
        <f>$F10*L54+$F11*L55+$G10*$I54+$G11*$I55</f>
        <v>0</v>
      </c>
    </row>
    <row r="70" spans="1:12">
      <c r="A70" s="199" t="s">
        <v>209</v>
      </c>
      <c r="B70" s="165"/>
      <c r="C70" s="183">
        <f t="shared" ref="C70:G72" si="23">$H12*C56</f>
        <v>0</v>
      </c>
      <c r="D70" s="183">
        <f t="shared" si="23"/>
        <v>0</v>
      </c>
      <c r="E70" s="213">
        <f>$F12*E56+$G12*$I56</f>
        <v>0</v>
      </c>
      <c r="F70" s="183">
        <f t="shared" si="23"/>
        <v>0</v>
      </c>
      <c r="G70" s="183">
        <f t="shared" si="23"/>
        <v>0</v>
      </c>
      <c r="H70" s="183">
        <f t="shared" ref="H70" si="24">$H12*H56</f>
        <v>0</v>
      </c>
      <c r="I70" s="183">
        <f t="shared" si="16"/>
        <v>0</v>
      </c>
      <c r="L70" s="213">
        <f>$F12*L56+$G12*$I56</f>
        <v>0</v>
      </c>
    </row>
    <row r="71" spans="1:12">
      <c r="A71" s="199" t="s">
        <v>154</v>
      </c>
      <c r="B71" s="165"/>
      <c r="C71" s="183">
        <f t="shared" si="23"/>
        <v>0</v>
      </c>
      <c r="D71" s="183">
        <f t="shared" si="23"/>
        <v>0</v>
      </c>
      <c r="E71" s="213">
        <f>$F13*E57+$G13*$I57</f>
        <v>7978.7662999999993</v>
      </c>
      <c r="F71" s="183">
        <f t="shared" si="23"/>
        <v>868.42318999999998</v>
      </c>
      <c r="G71" s="183">
        <f t="shared" si="23"/>
        <v>0</v>
      </c>
      <c r="H71" s="183">
        <f t="shared" ref="H71" si="25">$H13*H57</f>
        <v>-439.44306</v>
      </c>
      <c r="I71" s="183">
        <f t="shared" si="16"/>
        <v>8407.7464299999992</v>
      </c>
      <c r="L71" s="213">
        <f>$F13*L57+$G13*$I57</f>
        <v>22022.553599999999</v>
      </c>
    </row>
    <row r="72" spans="1:12">
      <c r="A72" s="199" t="s">
        <v>155</v>
      </c>
      <c r="B72" s="165"/>
      <c r="C72" s="183">
        <f t="shared" si="23"/>
        <v>-13.15062</v>
      </c>
      <c r="D72" s="183">
        <f t="shared" si="23"/>
        <v>0</v>
      </c>
      <c r="E72" s="213">
        <f>$F14*E58+$G14*$I58</f>
        <v>597.79017999999996</v>
      </c>
      <c r="F72" s="183">
        <f t="shared" si="23"/>
        <v>40.425980000000003</v>
      </c>
      <c r="G72" s="183">
        <f t="shared" si="23"/>
        <v>0</v>
      </c>
      <c r="H72" s="183">
        <f t="shared" ref="H72" si="26">$H14*H58</f>
        <v>-20.456520000000001</v>
      </c>
      <c r="I72" s="183">
        <f t="shared" si="16"/>
        <v>604.60901999999999</v>
      </c>
      <c r="L72" s="213">
        <f>$F14*L58+$G14*$I58</f>
        <v>1857.3229799999999</v>
      </c>
    </row>
    <row r="73" spans="1:12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203">
        <v>0</v>
      </c>
      <c r="I73" s="183">
        <f t="shared" si="16"/>
        <v>0</v>
      </c>
      <c r="L73" s="213">
        <f>($F15+$F16+$F17)*L59+($G15+$G16+$G17)*$I59</f>
        <v>0</v>
      </c>
    </row>
    <row r="74" spans="1:12">
      <c r="A74" s="172"/>
      <c r="B74" s="165"/>
      <c r="C74" s="198">
        <f>SUM(C63:C73)</f>
        <v>-1282.4349300000001</v>
      </c>
      <c r="D74" s="198">
        <f t="shared" ref="D74:I74" si="27">SUM(D63:D73)</f>
        <v>-186.90984</v>
      </c>
      <c r="E74" s="198">
        <f t="shared" si="27"/>
        <v>159835.88834999994</v>
      </c>
      <c r="F74" s="198">
        <f t="shared" si="27"/>
        <v>3647.3915500000003</v>
      </c>
      <c r="G74" s="198">
        <f t="shared" si="27"/>
        <v>0</v>
      </c>
      <c r="H74" s="198">
        <f t="shared" si="27"/>
        <v>-1413.0085399999998</v>
      </c>
      <c r="I74" s="198">
        <f t="shared" si="27"/>
        <v>160600.92658999996</v>
      </c>
    </row>
    <row r="75" spans="1:12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12">
      <c r="A76" s="167" t="s">
        <v>19</v>
      </c>
      <c r="B76" s="167"/>
      <c r="C76" s="183">
        <f>C63+C64</f>
        <v>-1254.4254000000001</v>
      </c>
      <c r="D76" s="183">
        <f t="shared" ref="D76:I76" si="28">D63+D64</f>
        <v>-186.90984</v>
      </c>
      <c r="E76" s="183">
        <f t="shared" si="28"/>
        <v>76994.083929999964</v>
      </c>
      <c r="F76" s="183">
        <f t="shared" si="28"/>
        <v>4227.8782000000001</v>
      </c>
      <c r="G76" s="183">
        <f t="shared" si="28"/>
        <v>0</v>
      </c>
      <c r="H76" s="183">
        <f t="shared" si="28"/>
        <v>-1626.107</v>
      </c>
      <c r="I76" s="183">
        <f t="shared" si="28"/>
        <v>78154.519889999967</v>
      </c>
    </row>
    <row r="77" spans="1:12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12">
      <c r="A78" s="167" t="s">
        <v>213</v>
      </c>
      <c r="B78" s="167"/>
      <c r="C78" s="194">
        <f>SUM(C65:C68,C70:C72)</f>
        <v>-28.009530000000002</v>
      </c>
      <c r="D78" s="194">
        <f t="shared" ref="D78:I78" si="29">SUM(D65:D68,D70:D72)</f>
        <v>0</v>
      </c>
      <c r="E78" s="194">
        <f t="shared" si="29"/>
        <v>82841.80442</v>
      </c>
      <c r="F78" s="194">
        <f t="shared" si="29"/>
        <v>-580.48665000000028</v>
      </c>
      <c r="G78" s="194">
        <f t="shared" si="29"/>
        <v>0</v>
      </c>
      <c r="H78" s="194">
        <f t="shared" si="29"/>
        <v>213.09846000000005</v>
      </c>
      <c r="I78" s="194">
        <f t="shared" si="29"/>
        <v>82446.406699999992</v>
      </c>
    </row>
  </sheetData>
  <mergeCells count="3">
    <mergeCell ref="A1:I1"/>
    <mergeCell ref="E59:E60"/>
    <mergeCell ref="F59:F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  <rowBreaks count="1" manualBreakCount="1">
    <brk id="4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208666</v>
      </c>
      <c r="D4" s="165"/>
      <c r="E4" s="202">
        <v>163015520</v>
      </c>
      <c r="F4" s="202">
        <v>-90823891</v>
      </c>
      <c r="G4" s="202">
        <v>105999608</v>
      </c>
      <c r="H4" s="166">
        <f>SUM(F4:G4)</f>
        <v>15175717</v>
      </c>
      <c r="I4" s="174">
        <f>E4+H4</f>
        <v>178191237</v>
      </c>
    </row>
    <row r="5" spans="1:9">
      <c r="A5" s="199" t="s">
        <v>207</v>
      </c>
      <c r="B5" s="167"/>
      <c r="C5" s="173">
        <v>538</v>
      </c>
      <c r="D5" s="165"/>
      <c r="E5" s="202">
        <v>410113</v>
      </c>
      <c r="F5" s="202">
        <v>-232064</v>
      </c>
      <c r="G5" s="202">
        <v>265165</v>
      </c>
      <c r="H5" s="166">
        <f t="shared" ref="H5:H17" si="0">SUM(F5:G5)</f>
        <v>33101</v>
      </c>
      <c r="I5" s="174">
        <f t="shared" ref="I5:I17" si="1">E5+H5</f>
        <v>443214</v>
      </c>
    </row>
    <row r="6" spans="1:9">
      <c r="A6" s="199" t="s">
        <v>149</v>
      </c>
      <c r="B6" s="167"/>
      <c r="C6" s="173">
        <v>22220</v>
      </c>
      <c r="D6" s="165"/>
      <c r="E6" s="202">
        <v>45054165</v>
      </c>
      <c r="F6" s="202">
        <v>-25526996</v>
      </c>
      <c r="G6" s="202">
        <v>29234413</v>
      </c>
      <c r="H6" s="166">
        <f t="shared" si="0"/>
        <v>3707417</v>
      </c>
      <c r="I6" s="174">
        <f t="shared" si="1"/>
        <v>48761582</v>
      </c>
    </row>
    <row r="7" spans="1:9">
      <c r="A7" s="199" t="s">
        <v>150</v>
      </c>
      <c r="B7" s="167"/>
      <c r="C7" s="173">
        <v>9036</v>
      </c>
      <c r="D7" s="165"/>
      <c r="E7" s="202">
        <v>3679642</v>
      </c>
      <c r="F7" s="202">
        <v>-2175596</v>
      </c>
      <c r="G7" s="202">
        <v>2386483</v>
      </c>
      <c r="H7" s="166">
        <f t="shared" si="0"/>
        <v>210887</v>
      </c>
      <c r="I7" s="174">
        <f t="shared" si="1"/>
        <v>3890529</v>
      </c>
    </row>
    <row r="8" spans="1:9">
      <c r="A8" s="199" t="s">
        <v>151</v>
      </c>
      <c r="B8" s="167"/>
      <c r="C8" s="173">
        <v>1847</v>
      </c>
      <c r="D8" s="165"/>
      <c r="E8" s="202">
        <v>116844899</v>
      </c>
      <c r="F8" s="202">
        <v>-67559516</v>
      </c>
      <c r="G8" s="202">
        <v>75671390</v>
      </c>
      <c r="H8" s="166">
        <f t="shared" si="0"/>
        <v>8111874</v>
      </c>
      <c r="I8" s="174">
        <f t="shared" si="1"/>
        <v>124956773</v>
      </c>
    </row>
    <row r="9" spans="1:9">
      <c r="A9" s="199" t="s">
        <v>152</v>
      </c>
      <c r="B9" s="167"/>
      <c r="C9" s="173">
        <v>48</v>
      </c>
      <c r="D9" s="165"/>
      <c r="E9" s="202">
        <v>2443540</v>
      </c>
      <c r="F9" s="202">
        <v>-2001549</v>
      </c>
      <c r="G9" s="202">
        <v>1590988</v>
      </c>
      <c r="H9" s="166">
        <f t="shared" si="0"/>
        <v>-410561</v>
      </c>
      <c r="I9" s="174">
        <f t="shared" si="1"/>
        <v>2032979</v>
      </c>
    </row>
    <row r="10" spans="1:9">
      <c r="A10" s="199" t="s">
        <v>153</v>
      </c>
      <c r="B10" s="167"/>
      <c r="C10" s="173">
        <v>23</v>
      </c>
      <c r="D10" s="165"/>
      <c r="E10" s="202">
        <f>135689737-E11</f>
        <v>64985487</v>
      </c>
      <c r="F10" s="202">
        <f>-41610047-F11</f>
        <v>-6610047</v>
      </c>
      <c r="G10" s="202">
        <v>0</v>
      </c>
      <c r="H10" s="166">
        <f t="shared" si="0"/>
        <v>-6610047</v>
      </c>
      <c r="I10" s="174">
        <f t="shared" si="1"/>
        <v>58375440</v>
      </c>
    </row>
    <row r="11" spans="1:9">
      <c r="A11" s="199" t="s">
        <v>208</v>
      </c>
      <c r="B11" s="167"/>
      <c r="C11" s="173"/>
      <c r="D11" s="165"/>
      <c r="E11" s="202">
        <v>70704250</v>
      </c>
      <c r="F11" s="202">
        <v>-35000000</v>
      </c>
      <c r="G11" s="202">
        <v>0</v>
      </c>
      <c r="H11" s="166">
        <f t="shared" si="0"/>
        <v>-35000000</v>
      </c>
      <c r="I11" s="174">
        <f t="shared" si="1"/>
        <v>35704250</v>
      </c>
    </row>
    <row r="12" spans="1:9">
      <c r="A12" s="199" t="s">
        <v>209</v>
      </c>
      <c r="B12" s="167"/>
      <c r="C12" s="173">
        <v>32</v>
      </c>
      <c r="D12" s="165"/>
      <c r="E12" s="202">
        <v>3672600</v>
      </c>
      <c r="F12" s="202">
        <v>0</v>
      </c>
      <c r="G12" s="202">
        <v>0</v>
      </c>
      <c r="H12" s="166">
        <f t="shared" si="0"/>
        <v>0</v>
      </c>
      <c r="I12" s="174">
        <f t="shared" si="1"/>
        <v>3672600</v>
      </c>
    </row>
    <row r="13" spans="1:9">
      <c r="A13" s="199" t="s">
        <v>154</v>
      </c>
      <c r="B13" s="167"/>
      <c r="C13" s="173">
        <v>1172</v>
      </c>
      <c r="D13" s="165"/>
      <c r="E13" s="202">
        <v>16212281</v>
      </c>
      <c r="F13" s="202">
        <v>-7339012</v>
      </c>
      <c r="G13" s="202">
        <v>7391467</v>
      </c>
      <c r="H13" s="166">
        <f t="shared" si="0"/>
        <v>52455</v>
      </c>
      <c r="I13" s="174">
        <f t="shared" si="1"/>
        <v>16264736</v>
      </c>
    </row>
    <row r="14" spans="1:9">
      <c r="A14" s="199" t="s">
        <v>155</v>
      </c>
      <c r="B14" s="167"/>
      <c r="C14" s="173">
        <v>1164</v>
      </c>
      <c r="D14" s="165"/>
      <c r="E14" s="202">
        <v>1355312</v>
      </c>
      <c r="F14" s="202">
        <v>-377103</v>
      </c>
      <c r="G14" s="202">
        <v>662912</v>
      </c>
      <c r="H14" s="166">
        <f t="shared" si="0"/>
        <v>285809</v>
      </c>
      <c r="I14" s="174">
        <f t="shared" si="1"/>
        <v>1641121</v>
      </c>
    </row>
    <row r="15" spans="1:9">
      <c r="A15" s="199" t="s">
        <v>210</v>
      </c>
      <c r="B15" s="167"/>
      <c r="C15" s="173">
        <v>416</v>
      </c>
      <c r="D15" s="165"/>
      <c r="E15" s="202">
        <v>1183438</v>
      </c>
      <c r="F15" s="202"/>
      <c r="G15" s="202"/>
      <c r="H15" s="166"/>
      <c r="I15" s="174">
        <f t="shared" si="1"/>
        <v>1183438</v>
      </c>
    </row>
    <row r="16" spans="1:9">
      <c r="A16" s="199" t="s">
        <v>211</v>
      </c>
      <c r="B16" s="167"/>
      <c r="C16" s="173"/>
      <c r="D16" s="165"/>
      <c r="E16" s="202">
        <v>467028</v>
      </c>
      <c r="F16" s="202"/>
      <c r="G16" s="202"/>
      <c r="H16" s="166">
        <f t="shared" si="0"/>
        <v>0</v>
      </c>
      <c r="I16" s="174">
        <f t="shared" si="1"/>
        <v>467028</v>
      </c>
    </row>
    <row r="17" spans="1:9">
      <c r="A17" s="199" t="s">
        <v>212</v>
      </c>
      <c r="B17" s="167"/>
      <c r="C17" s="173"/>
      <c r="D17" s="165"/>
      <c r="E17" s="202">
        <v>247428</v>
      </c>
      <c r="F17" s="202"/>
      <c r="G17" s="202"/>
      <c r="H17" s="166">
        <f t="shared" si="0"/>
        <v>0</v>
      </c>
      <c r="I17" s="174">
        <f t="shared" si="1"/>
        <v>247428</v>
      </c>
    </row>
    <row r="18" spans="1:9">
      <c r="A18" s="167"/>
      <c r="B18" s="167"/>
      <c r="C18" s="175">
        <f>SUM(C4:C17)</f>
        <v>245162</v>
      </c>
      <c r="D18" s="165"/>
      <c r="E18" s="175">
        <f t="shared" ref="E18:I18" si="2">SUM(E4:E17)</f>
        <v>490275703</v>
      </c>
      <c r="F18" s="175">
        <f t="shared" si="2"/>
        <v>-237645774</v>
      </c>
      <c r="G18" s="175">
        <f t="shared" si="2"/>
        <v>223202426</v>
      </c>
      <c r="H18" s="175">
        <f t="shared" si="2"/>
        <v>-14443348</v>
      </c>
      <c r="I18" s="175">
        <f t="shared" si="2"/>
        <v>475832355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209204</v>
      </c>
      <c r="D20" s="165"/>
      <c r="E20" s="177">
        <f>E4+E5</f>
        <v>163425633</v>
      </c>
      <c r="F20" s="177">
        <f t="shared" ref="F20:I20" si="3">F4+F5</f>
        <v>-91055955</v>
      </c>
      <c r="G20" s="177">
        <f t="shared" si="3"/>
        <v>106264773</v>
      </c>
      <c r="H20" s="177">
        <f t="shared" si="3"/>
        <v>15208818</v>
      </c>
      <c r="I20" s="176">
        <f t="shared" si="3"/>
        <v>178634451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35519</v>
      </c>
      <c r="D22" s="165"/>
      <c r="E22" s="196">
        <f>SUM(E6:E9,E12:E14)</f>
        <v>189262439</v>
      </c>
      <c r="F22" s="196">
        <f t="shared" ref="F22:H22" si="4">SUM(F6:F9,F12:F14)</f>
        <v>-104979772</v>
      </c>
      <c r="G22" s="196">
        <f t="shared" si="4"/>
        <v>116937653</v>
      </c>
      <c r="H22" s="196">
        <f t="shared" si="4"/>
        <v>11957881</v>
      </c>
      <c r="I22" s="195">
        <f>SUM(I6:I9,I12:I14)</f>
        <v>201220320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1828664.5</v>
      </c>
      <c r="D26" s="200">
        <v>14513464.439999999</v>
      </c>
      <c r="E26" s="203">
        <v>-8195145</v>
      </c>
      <c r="F26" s="203">
        <v>9485478</v>
      </c>
      <c r="G26" s="191">
        <f>SUM(D26:F26)</f>
        <v>15803797.439999999</v>
      </c>
      <c r="H26" s="191">
        <f>-I63</f>
        <v>-97572.633889999997</v>
      </c>
      <c r="I26" s="191">
        <f>SUM(G26:H26)</f>
        <v>15706224.80611</v>
      </c>
    </row>
    <row r="27" spans="1:9">
      <c r="A27" s="199" t="s">
        <v>207</v>
      </c>
      <c r="B27" s="167"/>
      <c r="C27" s="200">
        <v>4615.5</v>
      </c>
      <c r="D27" s="200">
        <v>36261.06</v>
      </c>
      <c r="E27" s="203">
        <v>-13564</v>
      </c>
      <c r="F27" s="203">
        <v>15441</v>
      </c>
      <c r="G27" s="191">
        <f t="shared" ref="G27:G36" si="5">SUM(D27:F27)</f>
        <v>38138.06</v>
      </c>
      <c r="H27" s="191">
        <f t="shared" ref="H27:H35" si="6">-I64</f>
        <v>807.41806999999994</v>
      </c>
      <c r="I27" s="191">
        <f t="shared" ref="I27:I36" si="7">SUM(G27:H27)</f>
        <v>38945.478069999997</v>
      </c>
    </row>
    <row r="28" spans="1:9">
      <c r="A28" s="199" t="s">
        <v>149</v>
      </c>
      <c r="B28" s="167"/>
      <c r="C28" s="200">
        <v>409069.95</v>
      </c>
      <c r="D28" s="200">
        <v>5260180.0599999996</v>
      </c>
      <c r="E28" s="203">
        <v>-2962559</v>
      </c>
      <c r="F28" s="203">
        <v>3362906</v>
      </c>
      <c r="G28" s="191">
        <f t="shared" si="5"/>
        <v>5660527.0599999996</v>
      </c>
      <c r="H28" s="191">
        <f t="shared" si="6"/>
        <v>-31001.651839999999</v>
      </c>
      <c r="I28" s="191">
        <f t="shared" si="7"/>
        <v>5629525.4081599992</v>
      </c>
    </row>
    <row r="29" spans="1:9">
      <c r="A29" s="199" t="s">
        <v>150</v>
      </c>
      <c r="B29" s="167"/>
      <c r="C29" s="200">
        <v>164707.66</v>
      </c>
      <c r="D29" s="200">
        <v>571129.61</v>
      </c>
      <c r="E29" s="203">
        <v>-333254</v>
      </c>
      <c r="F29" s="203">
        <v>358493</v>
      </c>
      <c r="G29" s="191">
        <f t="shared" si="5"/>
        <v>596368.61</v>
      </c>
      <c r="H29" s="191">
        <f t="shared" si="6"/>
        <v>-2198.5299500000001</v>
      </c>
      <c r="I29" s="191">
        <f t="shared" si="7"/>
        <v>594170.08004999999</v>
      </c>
    </row>
    <row r="30" spans="1:9">
      <c r="A30" s="199" t="s">
        <v>151</v>
      </c>
      <c r="B30" s="167"/>
      <c r="C30" s="200">
        <v>925566.68</v>
      </c>
      <c r="D30" s="200">
        <v>10572319.810000001</v>
      </c>
      <c r="E30" s="203">
        <v>-5365915</v>
      </c>
      <c r="F30" s="203">
        <v>6002265</v>
      </c>
      <c r="G30" s="191">
        <f t="shared" si="5"/>
        <v>11208669.810000001</v>
      </c>
      <c r="H30" s="191">
        <f t="shared" si="6"/>
        <v>-68950.364780000004</v>
      </c>
      <c r="I30" s="191">
        <f t="shared" si="7"/>
        <v>11139719.445220001</v>
      </c>
    </row>
    <row r="31" spans="1:9">
      <c r="A31" s="199" t="s">
        <v>152</v>
      </c>
      <c r="B31" s="167"/>
      <c r="C31" s="200">
        <v>24000</v>
      </c>
      <c r="D31" s="200">
        <v>219983.37</v>
      </c>
      <c r="E31" s="203">
        <v>-160035</v>
      </c>
      <c r="F31" s="203">
        <v>129707</v>
      </c>
      <c r="G31" s="191">
        <f t="shared" si="5"/>
        <v>189655.37</v>
      </c>
      <c r="H31" s="191">
        <f t="shared" si="6"/>
        <v>-415.73790000000008</v>
      </c>
      <c r="I31" s="191">
        <f t="shared" si="7"/>
        <v>189239.63209999999</v>
      </c>
    </row>
    <row r="32" spans="1:9">
      <c r="A32" s="199" t="s">
        <v>153</v>
      </c>
      <c r="B32" s="167"/>
      <c r="C32" s="200">
        <v>483000</v>
      </c>
      <c r="D32" s="200">
        <f>7809039.77-169727.8</f>
        <v>7639311.9699999997</v>
      </c>
      <c r="E32" s="203">
        <v>-2155719</v>
      </c>
      <c r="F32" s="203">
        <v>0</v>
      </c>
      <c r="G32" s="191">
        <f t="shared" si="5"/>
        <v>5483592.9699999997</v>
      </c>
      <c r="H32" s="191">
        <f t="shared" si="6"/>
        <v>15200.740890000001</v>
      </c>
      <c r="I32" s="191">
        <f t="shared" si="7"/>
        <v>5498793.7108899998</v>
      </c>
    </row>
    <row r="33" spans="1:9">
      <c r="A33" s="199" t="s">
        <v>209</v>
      </c>
      <c r="B33" s="167"/>
      <c r="C33" s="200">
        <v>594</v>
      </c>
      <c r="D33" s="200">
        <v>251209.60000000001</v>
      </c>
      <c r="E33" s="203">
        <v>0</v>
      </c>
      <c r="F33" s="203">
        <v>0</v>
      </c>
      <c r="G33" s="191">
        <f t="shared" si="5"/>
        <v>251209.60000000001</v>
      </c>
      <c r="H33" s="191">
        <f t="shared" si="6"/>
        <v>0</v>
      </c>
      <c r="I33" s="191">
        <f t="shared" si="7"/>
        <v>251209.60000000001</v>
      </c>
    </row>
    <row r="34" spans="1:9">
      <c r="A34" s="199" t="s">
        <v>154</v>
      </c>
      <c r="B34" s="167"/>
      <c r="C34" s="200">
        <v>21816</v>
      </c>
      <c r="D34" s="200">
        <v>1287596.43</v>
      </c>
      <c r="E34" s="203">
        <v>-614698</v>
      </c>
      <c r="F34" s="203">
        <v>606740</v>
      </c>
      <c r="G34" s="191">
        <f t="shared" si="5"/>
        <v>1279638.43</v>
      </c>
      <c r="H34" s="191">
        <f t="shared" si="6"/>
        <v>-5331.8695699999989</v>
      </c>
      <c r="I34" s="191">
        <f t="shared" si="7"/>
        <v>1274306.5604299998</v>
      </c>
    </row>
    <row r="35" spans="1:9">
      <c r="A35" s="199" t="s">
        <v>155</v>
      </c>
      <c r="B35" s="167"/>
      <c r="C35" s="200">
        <v>21618</v>
      </c>
      <c r="D35" s="200">
        <v>134378.44</v>
      </c>
      <c r="E35" s="203">
        <v>-41713</v>
      </c>
      <c r="F35" s="203">
        <v>64405</v>
      </c>
      <c r="G35" s="191">
        <f t="shared" si="5"/>
        <v>157070.44</v>
      </c>
      <c r="H35" s="191">
        <f t="shared" si="6"/>
        <v>-850.79349000000002</v>
      </c>
      <c r="I35" s="191">
        <f t="shared" si="7"/>
        <v>156219.64650999999</v>
      </c>
    </row>
    <row r="36" spans="1:9">
      <c r="A36" s="199" t="s">
        <v>221</v>
      </c>
      <c r="B36" s="167"/>
      <c r="C36" s="191"/>
      <c r="D36" s="200">
        <v>570362.26</v>
      </c>
      <c r="E36" s="200"/>
      <c r="F36" s="200"/>
      <c r="G36" s="191">
        <f t="shared" si="5"/>
        <v>570362.26</v>
      </c>
      <c r="H36" s="191"/>
      <c r="I36" s="191">
        <f t="shared" si="7"/>
        <v>570362.26</v>
      </c>
    </row>
    <row r="37" spans="1:9">
      <c r="A37" s="199" t="s">
        <v>222</v>
      </c>
      <c r="B37" s="167"/>
      <c r="C37" s="186"/>
      <c r="D37" s="200">
        <v>929518.81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1509882.41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3883652.2900000005</v>
      </c>
      <c r="D39" s="181">
        <f t="shared" ref="D39:I39" si="8">SUM(D26:D38)</f>
        <v>43495598.269999996</v>
      </c>
      <c r="E39" s="181">
        <f t="shared" si="8"/>
        <v>-19842602</v>
      </c>
      <c r="F39" s="181">
        <f t="shared" si="8"/>
        <v>20025435</v>
      </c>
      <c r="G39" s="181">
        <f t="shared" si="8"/>
        <v>41239030.049999997</v>
      </c>
      <c r="H39" s="181">
        <f t="shared" si="8"/>
        <v>-190313.42246</v>
      </c>
      <c r="I39" s="181">
        <f t="shared" si="8"/>
        <v>41048716.62754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1833280</v>
      </c>
      <c r="D41" s="183">
        <f t="shared" ref="D41:I41" si="9">D26+D27</f>
        <v>14549725.5</v>
      </c>
      <c r="E41" s="183">
        <f t="shared" si="9"/>
        <v>-8208709</v>
      </c>
      <c r="F41" s="183">
        <f t="shared" si="9"/>
        <v>9500919</v>
      </c>
      <c r="G41" s="183">
        <f t="shared" si="9"/>
        <v>15841935.5</v>
      </c>
      <c r="H41" s="183">
        <f t="shared" si="9"/>
        <v>-96765.215819999998</v>
      </c>
      <c r="I41" s="184">
        <f t="shared" si="9"/>
        <v>15745170.28418</v>
      </c>
    </row>
    <row r="42" spans="1:9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1567372.29</v>
      </c>
      <c r="D43" s="194">
        <f t="shared" ref="D43:I43" si="10">SUM(D28:D31,D33:D35)</f>
        <v>18296797.32</v>
      </c>
      <c r="E43" s="194">
        <f t="shared" si="10"/>
        <v>-9478174</v>
      </c>
      <c r="F43" s="194">
        <f t="shared" si="10"/>
        <v>10524516</v>
      </c>
      <c r="G43" s="194">
        <f t="shared" si="10"/>
        <v>19343139.320000004</v>
      </c>
      <c r="H43" s="194">
        <f t="shared" si="10"/>
        <v>-108748.94753</v>
      </c>
      <c r="I43" s="193">
        <f t="shared" si="10"/>
        <v>19234390.372470006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64">
        <v>42005</v>
      </c>
      <c r="I46" s="164">
        <v>42552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230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211">
        <v>-1.0399999999999999E-3</v>
      </c>
      <c r="I48" s="211">
        <v>-3.5E-4</v>
      </c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211">
        <v>-1.0399999999999999E-3</v>
      </c>
      <c r="I49" s="211">
        <v>-3.5E-4</v>
      </c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211">
        <v>-1.0399999999999999E-3</v>
      </c>
      <c r="I50" s="211">
        <v>-3.6000000000000002E-4</v>
      </c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211">
        <v>-1.0399999999999999E-3</v>
      </c>
      <c r="I51" s="211">
        <v>-3.6000000000000002E-4</v>
      </c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211">
        <v>-1.06E-3</v>
      </c>
      <c r="I52" s="211">
        <v>-3.6000000000000002E-4</v>
      </c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211">
        <v>-1.06E-3</v>
      </c>
      <c r="I53" s="211">
        <v>-3.6000000000000002E-4</v>
      </c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211">
        <v>-1.0200000000000001E-3</v>
      </c>
      <c r="I54" s="211">
        <v>-3.4000000000000002E-4</v>
      </c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211">
        <v>-1.0200000000000001E-3</v>
      </c>
      <c r="I55" s="211">
        <v>-3.4000000000000002E-4</v>
      </c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211">
        <v>-1.1299999999999999E-3</v>
      </c>
      <c r="I56" s="211">
        <v>-4.2000000000000002E-4</v>
      </c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211">
        <v>-1.1299999999999999E-3</v>
      </c>
      <c r="I57" s="211">
        <v>-4.2000000000000002E-4</v>
      </c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211">
        <v>-1.1299999999999999E-3</v>
      </c>
      <c r="I58" s="211">
        <v>-4.2000000000000002E-4</v>
      </c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211">
        <v>-1.0499999999999999E-3</v>
      </c>
      <c r="I59" s="212">
        <v>-3.6999999999999999E-4</v>
      </c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211">
        <v>-1.0499999999999999E-3</v>
      </c>
      <c r="I60" s="212">
        <v>-3.6999999999999999E-4</v>
      </c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G68" si="11">$H4*C48</f>
        <v>-4097.4435899999999</v>
      </c>
      <c r="D63" s="183">
        <f t="shared" si="11"/>
        <v>0</v>
      </c>
      <c r="E63" s="183">
        <f>$H4*E48</f>
        <v>30503.191170000002</v>
      </c>
      <c r="F63" s="183">
        <f>$H4*F48</f>
        <v>13809.902470000001</v>
      </c>
      <c r="G63" s="183">
        <f t="shared" ref="G63" si="12">$H4*G48</f>
        <v>0</v>
      </c>
      <c r="H63" s="213">
        <f>$F4*H48+G4*I48</f>
        <v>57356.983839999986</v>
      </c>
      <c r="I63" s="183">
        <f>SUM(C63:H63)</f>
        <v>97572.633889999997</v>
      </c>
    </row>
    <row r="64" spans="1:9">
      <c r="A64" s="199" t="s">
        <v>207</v>
      </c>
      <c r="B64" s="165"/>
      <c r="C64" s="183">
        <f t="shared" si="11"/>
        <v>-8.9372699999999998</v>
      </c>
      <c r="D64" s="183">
        <f t="shared" si="11"/>
        <v>-1043.67453</v>
      </c>
      <c r="E64" s="183">
        <f t="shared" si="11"/>
        <v>66.533010000000004</v>
      </c>
      <c r="F64" s="183">
        <f t="shared" si="11"/>
        <v>30.12191</v>
      </c>
      <c r="G64" s="183">
        <f t="shared" si="11"/>
        <v>0</v>
      </c>
      <c r="H64" s="213">
        <f t="shared" ref="H64:H68" si="13">$F5*H49+G5*I49</f>
        <v>148.53880999999998</v>
      </c>
      <c r="I64" s="183">
        <f t="shared" ref="I64:I73" si="14">SUM(C64:H64)</f>
        <v>-807.41806999999994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10084.17424</v>
      </c>
      <c r="F65" s="183">
        <f t="shared" si="11"/>
        <v>4893.7904399999998</v>
      </c>
      <c r="G65" s="183">
        <f t="shared" si="11"/>
        <v>0</v>
      </c>
      <c r="H65" s="213">
        <f t="shared" si="13"/>
        <v>16023.687159999998</v>
      </c>
      <c r="I65" s="183">
        <f t="shared" si="14"/>
        <v>31001.651839999999</v>
      </c>
    </row>
    <row r="66" spans="1:9">
      <c r="A66" s="199" t="s">
        <v>150</v>
      </c>
      <c r="B66" s="165"/>
      <c r="C66" s="183">
        <f t="shared" si="11"/>
        <v>-56.939489999999999</v>
      </c>
      <c r="D66" s="183">
        <f t="shared" si="11"/>
        <v>0</v>
      </c>
      <c r="E66" s="183">
        <f t="shared" si="11"/>
        <v>573.61264000000006</v>
      </c>
      <c r="F66" s="183">
        <f t="shared" si="11"/>
        <v>278.37083999999999</v>
      </c>
      <c r="G66" s="183">
        <f t="shared" si="11"/>
        <v>0</v>
      </c>
      <c r="H66" s="213">
        <f t="shared" si="13"/>
        <v>1403.4859599999997</v>
      </c>
      <c r="I66" s="183">
        <f t="shared" si="14"/>
        <v>2198.5299500000001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16872.697919999999</v>
      </c>
      <c r="F67" s="183">
        <f t="shared" si="11"/>
        <v>7706.2803000000004</v>
      </c>
      <c r="G67" s="183">
        <f t="shared" si="11"/>
        <v>0</v>
      </c>
      <c r="H67" s="213">
        <f t="shared" si="13"/>
        <v>44371.386559999999</v>
      </c>
      <c r="I67" s="183">
        <f t="shared" si="14"/>
        <v>68950.364780000004</v>
      </c>
    </row>
    <row r="68" spans="1:9">
      <c r="A68" s="199" t="s">
        <v>152</v>
      </c>
      <c r="B68" s="165"/>
      <c r="C68" s="183">
        <f t="shared" si="11"/>
        <v>110.85147000000001</v>
      </c>
      <c r="D68" s="183">
        <f t="shared" si="11"/>
        <v>0</v>
      </c>
      <c r="E68" s="183">
        <f t="shared" si="11"/>
        <v>-853.96687999999995</v>
      </c>
      <c r="F68" s="183">
        <f t="shared" si="11"/>
        <v>-390.03294999999997</v>
      </c>
      <c r="G68" s="183">
        <f t="shared" si="11"/>
        <v>0</v>
      </c>
      <c r="H68" s="213">
        <f t="shared" si="13"/>
        <v>1548.88626</v>
      </c>
      <c r="I68" s="183">
        <f t="shared" si="14"/>
        <v>415.73790000000008</v>
      </c>
    </row>
    <row r="69" spans="1:9">
      <c r="A69" s="199" t="s">
        <v>153</v>
      </c>
      <c r="B69" s="165"/>
      <c r="C69" s="183">
        <f t="shared" ref="C69:G69" si="15">$H10*C54+$H11*C55</f>
        <v>0</v>
      </c>
      <c r="D69" s="183">
        <f t="shared" si="15"/>
        <v>0</v>
      </c>
      <c r="E69" s="183">
        <f t="shared" si="15"/>
        <v>-53676.960630000001</v>
      </c>
      <c r="F69" s="183">
        <f t="shared" si="15"/>
        <v>-3966.0281999999997</v>
      </c>
      <c r="G69" s="183">
        <f t="shared" si="15"/>
        <v>0</v>
      </c>
      <c r="H69" s="213">
        <f>$F10*H54+$F11*H55+G10*I54+G11*I55</f>
        <v>42442.247940000001</v>
      </c>
      <c r="I69" s="183">
        <f t="shared" si="14"/>
        <v>-15200.740890000001</v>
      </c>
    </row>
    <row r="70" spans="1:9">
      <c r="A70" s="199" t="s">
        <v>209</v>
      </c>
      <c r="B70" s="165"/>
      <c r="C70" s="183">
        <f t="shared" ref="C70:G72" si="16">$H12*C56</f>
        <v>0</v>
      </c>
      <c r="D70" s="183">
        <f t="shared" si="16"/>
        <v>0</v>
      </c>
      <c r="E70" s="183">
        <f t="shared" si="16"/>
        <v>0</v>
      </c>
      <c r="F70" s="183">
        <f t="shared" si="16"/>
        <v>0</v>
      </c>
      <c r="G70" s="183">
        <f t="shared" si="16"/>
        <v>0</v>
      </c>
      <c r="H70" s="213">
        <f>$F12*H56+G12*I56</f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183">
        <f t="shared" si="16"/>
        <v>99.664500000000004</v>
      </c>
      <c r="F71" s="183">
        <f t="shared" si="16"/>
        <v>43.537649999999999</v>
      </c>
      <c r="G71" s="183">
        <f t="shared" si="16"/>
        <v>0</v>
      </c>
      <c r="H71" s="213">
        <f t="shared" ref="H71:H72" si="17">$F13*H57+G13*I57</f>
        <v>5188.6674199999989</v>
      </c>
      <c r="I71" s="183">
        <f t="shared" si="14"/>
        <v>5331.8695699999989</v>
      </c>
    </row>
    <row r="72" spans="1:9">
      <c r="A72" s="199" t="s">
        <v>155</v>
      </c>
      <c r="B72" s="165"/>
      <c r="C72" s="183">
        <f t="shared" si="16"/>
        <v>-77.168430000000001</v>
      </c>
      <c r="D72" s="183">
        <f t="shared" si="16"/>
        <v>0</v>
      </c>
      <c r="E72" s="183">
        <f t="shared" si="16"/>
        <v>543.03710000000001</v>
      </c>
      <c r="F72" s="183">
        <f t="shared" si="16"/>
        <v>237.22147000000001</v>
      </c>
      <c r="G72" s="183">
        <f t="shared" si="16"/>
        <v>0</v>
      </c>
      <c r="H72" s="213">
        <f t="shared" si="17"/>
        <v>147.70334999999994</v>
      </c>
      <c r="I72" s="183">
        <f t="shared" si="14"/>
        <v>850.79349000000002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213">
        <f>($F15+$F16+$F17)*H59+(G15+G16+G17)*I59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-4129.6373100000001</v>
      </c>
      <c r="D74" s="198">
        <f t="shared" ref="D74:I74" si="18">SUM(D63:D73)</f>
        <v>-1043.67453</v>
      </c>
      <c r="E74" s="198">
        <f t="shared" si="18"/>
        <v>4211.9830699999948</v>
      </c>
      <c r="F74" s="198">
        <f t="shared" si="18"/>
        <v>22643.163929999999</v>
      </c>
      <c r="G74" s="198">
        <f t="shared" si="18"/>
        <v>0</v>
      </c>
      <c r="H74" s="198">
        <f t="shared" si="18"/>
        <v>168631.58729999998</v>
      </c>
      <c r="I74" s="198">
        <f t="shared" si="18"/>
        <v>190313.42246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-4106.3808600000002</v>
      </c>
      <c r="D76" s="183">
        <f t="shared" ref="D76:I76" si="19">D63+D64</f>
        <v>-1043.67453</v>
      </c>
      <c r="E76" s="183">
        <f t="shared" si="19"/>
        <v>30569.724180000001</v>
      </c>
      <c r="F76" s="183">
        <f t="shared" si="19"/>
        <v>13840.024380000001</v>
      </c>
      <c r="G76" s="183">
        <f t="shared" si="19"/>
        <v>0</v>
      </c>
      <c r="H76" s="183">
        <f t="shared" si="19"/>
        <v>57505.522649999984</v>
      </c>
      <c r="I76" s="183">
        <f t="shared" si="19"/>
        <v>96765.215819999998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-23.256449999999994</v>
      </c>
      <c r="D78" s="194">
        <f t="shared" ref="D78:I78" si="20">SUM(D65:D68,D70:D72)</f>
        <v>0</v>
      </c>
      <c r="E78" s="194">
        <f t="shared" si="20"/>
        <v>27319.219519999999</v>
      </c>
      <c r="F78" s="194">
        <f t="shared" si="20"/>
        <v>12769.167749999999</v>
      </c>
      <c r="G78" s="194">
        <f t="shared" si="20"/>
        <v>0</v>
      </c>
      <c r="H78" s="194">
        <f t="shared" si="20"/>
        <v>68683.816709999985</v>
      </c>
      <c r="I78" s="194">
        <f t="shared" si="20"/>
        <v>108748.94753</v>
      </c>
    </row>
  </sheetData>
  <mergeCells count="3">
    <mergeCell ref="A1:I1"/>
    <mergeCell ref="E59:E60"/>
    <mergeCell ref="F59:F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208445</v>
      </c>
      <c r="D4" s="165"/>
      <c r="E4" s="202">
        <v>153688556</v>
      </c>
      <c r="F4" s="202">
        <v>-88418917</v>
      </c>
      <c r="G4" s="202">
        <v>90823891</v>
      </c>
      <c r="H4" s="166">
        <f>SUM(F4:G4)</f>
        <v>2404974</v>
      </c>
      <c r="I4" s="174">
        <f>E4+H4</f>
        <v>156093530</v>
      </c>
    </row>
    <row r="5" spans="1:9">
      <c r="A5" s="199" t="s">
        <v>207</v>
      </c>
      <c r="B5" s="167"/>
      <c r="C5" s="173">
        <v>520</v>
      </c>
      <c r="D5" s="165"/>
      <c r="E5" s="202">
        <v>401581</v>
      </c>
      <c r="F5" s="202">
        <v>-224200</v>
      </c>
      <c r="G5" s="202">
        <v>232064</v>
      </c>
      <c r="H5" s="166">
        <f t="shared" ref="H5:H17" si="0">SUM(F5:G5)</f>
        <v>7864</v>
      </c>
      <c r="I5" s="174">
        <f t="shared" ref="I5:I17" si="1">E5+H5</f>
        <v>409445</v>
      </c>
    </row>
    <row r="6" spans="1:9">
      <c r="A6" s="199" t="s">
        <v>149</v>
      </c>
      <c r="B6" s="167"/>
      <c r="C6" s="173">
        <v>22274</v>
      </c>
      <c r="D6" s="165"/>
      <c r="E6" s="202">
        <v>43236450</v>
      </c>
      <c r="F6" s="202">
        <v>-24886212</v>
      </c>
      <c r="G6" s="202">
        <v>25526996</v>
      </c>
      <c r="H6" s="166">
        <f t="shared" si="0"/>
        <v>640784</v>
      </c>
      <c r="I6" s="174">
        <f t="shared" si="1"/>
        <v>43877234</v>
      </c>
    </row>
    <row r="7" spans="1:9">
      <c r="A7" s="199" t="s">
        <v>150</v>
      </c>
      <c r="B7" s="167"/>
      <c r="C7" s="173">
        <v>8966</v>
      </c>
      <c r="D7" s="165"/>
      <c r="E7" s="202">
        <v>3681045</v>
      </c>
      <c r="F7" s="202">
        <v>-2213976</v>
      </c>
      <c r="G7" s="202">
        <v>2175596</v>
      </c>
      <c r="H7" s="166">
        <f t="shared" si="0"/>
        <v>-38380</v>
      </c>
      <c r="I7" s="174">
        <f t="shared" si="1"/>
        <v>3642665</v>
      </c>
    </row>
    <row r="8" spans="1:9">
      <c r="A8" s="199" t="s">
        <v>151</v>
      </c>
      <c r="B8" s="167"/>
      <c r="C8" s="173">
        <v>1847</v>
      </c>
      <c r="D8" s="165"/>
      <c r="E8" s="202">
        <v>114910188</v>
      </c>
      <c r="F8" s="202">
        <v>-66279157</v>
      </c>
      <c r="G8" s="202">
        <v>67559516</v>
      </c>
      <c r="H8" s="166">
        <f t="shared" si="0"/>
        <v>1280359</v>
      </c>
      <c r="I8" s="174">
        <f t="shared" si="1"/>
        <v>116190547</v>
      </c>
    </row>
    <row r="9" spans="1:9">
      <c r="A9" s="199" t="s">
        <v>152</v>
      </c>
      <c r="B9" s="167"/>
      <c r="C9" s="173">
        <v>54</v>
      </c>
      <c r="D9" s="165"/>
      <c r="E9" s="202">
        <v>3384920</v>
      </c>
      <c r="F9" s="202">
        <v>-1233101</v>
      </c>
      <c r="G9" s="202">
        <v>2001549</v>
      </c>
      <c r="H9" s="166">
        <f t="shared" si="0"/>
        <v>768448</v>
      </c>
      <c r="I9" s="174">
        <f t="shared" si="1"/>
        <v>4153368</v>
      </c>
    </row>
    <row r="10" spans="1:9">
      <c r="A10" s="199" t="s">
        <v>153</v>
      </c>
      <c r="B10" s="167"/>
      <c r="C10" s="173">
        <v>20</v>
      </c>
      <c r="D10" s="165"/>
      <c r="E10" s="202">
        <f>55033539-E11</f>
        <v>54506886</v>
      </c>
      <c r="F10" s="202">
        <v>-3247263</v>
      </c>
      <c r="G10" s="202">
        <v>41610047</v>
      </c>
      <c r="H10" s="166">
        <f t="shared" si="0"/>
        <v>38362784</v>
      </c>
      <c r="I10" s="174">
        <f t="shared" si="1"/>
        <v>92869670</v>
      </c>
    </row>
    <row r="11" spans="1:9">
      <c r="A11" s="199" t="s">
        <v>208</v>
      </c>
      <c r="B11" s="167"/>
      <c r="C11" s="173"/>
      <c r="D11" s="165"/>
      <c r="E11" s="202">
        <v>526653</v>
      </c>
      <c r="F11" s="202">
        <v>0</v>
      </c>
      <c r="G11" s="202">
        <v>0</v>
      </c>
      <c r="H11" s="166">
        <f t="shared" si="0"/>
        <v>0</v>
      </c>
      <c r="I11" s="174">
        <f t="shared" si="1"/>
        <v>526653</v>
      </c>
    </row>
    <row r="12" spans="1:9">
      <c r="A12" s="199" t="s">
        <v>209</v>
      </c>
      <c r="B12" s="167"/>
      <c r="C12" s="173">
        <v>31</v>
      </c>
      <c r="D12" s="165"/>
      <c r="E12" s="202">
        <v>4066220</v>
      </c>
      <c r="F12" s="202">
        <v>0</v>
      </c>
      <c r="G12" s="202">
        <v>0</v>
      </c>
      <c r="H12" s="166">
        <f t="shared" si="0"/>
        <v>0</v>
      </c>
      <c r="I12" s="174">
        <f t="shared" si="1"/>
        <v>4066220</v>
      </c>
    </row>
    <row r="13" spans="1:9">
      <c r="A13" s="199" t="s">
        <v>154</v>
      </c>
      <c r="B13" s="167"/>
      <c r="C13" s="173">
        <v>1211</v>
      </c>
      <c r="D13" s="165"/>
      <c r="E13" s="202">
        <v>12450508</v>
      </c>
      <c r="F13" s="202">
        <v>-3503126</v>
      </c>
      <c r="G13" s="202">
        <v>7339012</v>
      </c>
      <c r="H13" s="166">
        <f t="shared" si="0"/>
        <v>3835886</v>
      </c>
      <c r="I13" s="174">
        <f t="shared" si="1"/>
        <v>16286394</v>
      </c>
    </row>
    <row r="14" spans="1:9">
      <c r="A14" s="199" t="s">
        <v>155</v>
      </c>
      <c r="B14" s="167"/>
      <c r="C14" s="173">
        <v>1133</v>
      </c>
      <c r="D14" s="165"/>
      <c r="E14" s="202">
        <v>956629</v>
      </c>
      <c r="F14" s="202">
        <v>-224200</v>
      </c>
      <c r="G14" s="202">
        <v>377103</v>
      </c>
      <c r="H14" s="166">
        <f t="shared" si="0"/>
        <v>152903</v>
      </c>
      <c r="I14" s="174">
        <f t="shared" si="1"/>
        <v>1109532</v>
      </c>
    </row>
    <row r="15" spans="1:9">
      <c r="A15" s="199" t="s">
        <v>210</v>
      </c>
      <c r="B15" s="167"/>
      <c r="C15" s="173">
        <v>413</v>
      </c>
      <c r="D15" s="165"/>
      <c r="E15" s="202">
        <v>1195074</v>
      </c>
      <c r="F15" s="202"/>
      <c r="G15" s="202"/>
      <c r="H15" s="166"/>
      <c r="I15" s="174">
        <f t="shared" si="1"/>
        <v>1195074</v>
      </c>
    </row>
    <row r="16" spans="1:9">
      <c r="A16" s="199" t="s">
        <v>211</v>
      </c>
      <c r="B16" s="167"/>
      <c r="C16" s="173"/>
      <c r="D16" s="165"/>
      <c r="E16" s="202">
        <v>465619</v>
      </c>
      <c r="F16" s="202"/>
      <c r="G16" s="202"/>
      <c r="H16" s="166">
        <f t="shared" si="0"/>
        <v>0</v>
      </c>
      <c r="I16" s="174">
        <f t="shared" si="1"/>
        <v>465619</v>
      </c>
    </row>
    <row r="17" spans="1:9">
      <c r="A17" s="199" t="s">
        <v>212</v>
      </c>
      <c r="B17" s="167"/>
      <c r="C17" s="173"/>
      <c r="D17" s="165"/>
      <c r="E17" s="202">
        <v>249290</v>
      </c>
      <c r="F17" s="202"/>
      <c r="G17" s="202"/>
      <c r="H17" s="166">
        <f t="shared" si="0"/>
        <v>0</v>
      </c>
      <c r="I17" s="174">
        <f t="shared" si="1"/>
        <v>249290</v>
      </c>
    </row>
    <row r="18" spans="1:9">
      <c r="A18" s="167"/>
      <c r="B18" s="167"/>
      <c r="C18" s="175">
        <f>SUM(C4:C17)</f>
        <v>244914</v>
      </c>
      <c r="D18" s="165"/>
      <c r="E18" s="175">
        <f t="shared" ref="E18:I18" si="2">SUM(E4:E17)</f>
        <v>393719619</v>
      </c>
      <c r="F18" s="175">
        <f t="shared" si="2"/>
        <v>-190230152</v>
      </c>
      <c r="G18" s="175">
        <f t="shared" si="2"/>
        <v>237645774</v>
      </c>
      <c r="H18" s="175">
        <f t="shared" si="2"/>
        <v>47415622</v>
      </c>
      <c r="I18" s="175">
        <f t="shared" si="2"/>
        <v>441135241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208965</v>
      </c>
      <c r="D20" s="165"/>
      <c r="E20" s="177">
        <f>E4+E5</f>
        <v>154090137</v>
      </c>
      <c r="F20" s="177">
        <f t="shared" ref="F20:I20" si="3">F4+F5</f>
        <v>-88643117</v>
      </c>
      <c r="G20" s="177">
        <f t="shared" si="3"/>
        <v>91055955</v>
      </c>
      <c r="H20" s="177">
        <f t="shared" si="3"/>
        <v>2412838</v>
      </c>
      <c r="I20" s="176">
        <f t="shared" si="3"/>
        <v>156502975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35516</v>
      </c>
      <c r="D22" s="165"/>
      <c r="E22" s="196">
        <f>SUM(E6:E9,E12:E14)</f>
        <v>182685960</v>
      </c>
      <c r="F22" s="196">
        <f t="shared" ref="F22:H22" si="4">SUM(F6:F9,F12:F14)</f>
        <v>-98339772</v>
      </c>
      <c r="G22" s="196">
        <f t="shared" si="4"/>
        <v>104979772</v>
      </c>
      <c r="H22" s="196">
        <f t="shared" si="4"/>
        <v>6640000</v>
      </c>
      <c r="I22" s="195">
        <f>SUM(I6:I9,I12:I14)</f>
        <v>189325960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1834520</v>
      </c>
      <c r="D26" s="200">
        <v>13708005.48</v>
      </c>
      <c r="E26" s="203">
        <v>-8112949</v>
      </c>
      <c r="F26" s="203">
        <v>8195145</v>
      </c>
      <c r="G26" s="191">
        <f>SUM(D26:F26)</f>
        <v>13790201.48</v>
      </c>
      <c r="H26" s="191">
        <f>-I63</f>
        <v>-3872.0081399999999</v>
      </c>
      <c r="I26" s="191">
        <f>SUM(G26:H26)</f>
        <v>13786329.471860001</v>
      </c>
    </row>
    <row r="27" spans="1:9">
      <c r="A27" s="199" t="s">
        <v>207</v>
      </c>
      <c r="B27" s="167"/>
      <c r="C27" s="200">
        <v>4454</v>
      </c>
      <c r="D27" s="200">
        <v>35307.120000000003</v>
      </c>
      <c r="E27" s="203">
        <v>-13419</v>
      </c>
      <c r="F27" s="203">
        <v>13564</v>
      </c>
      <c r="G27" s="191">
        <f t="shared" ref="G27:G36" si="5">SUM(D27:F27)</f>
        <v>35452.120000000003</v>
      </c>
      <c r="H27" s="191">
        <f t="shared" ref="H27:H35" si="6">-I64</f>
        <v>235.29088000000004</v>
      </c>
      <c r="I27" s="191">
        <f t="shared" ref="I27:I36" si="7">SUM(G27:H27)</f>
        <v>35687.410880000003</v>
      </c>
    </row>
    <row r="28" spans="1:9">
      <c r="A28" s="199" t="s">
        <v>149</v>
      </c>
      <c r="B28" s="167"/>
      <c r="C28" s="200">
        <v>410640.23</v>
      </c>
      <c r="D28" s="200">
        <v>5086807.6500000004</v>
      </c>
      <c r="E28" s="203">
        <v>-2910925</v>
      </c>
      <c r="F28" s="203">
        <v>2962559</v>
      </c>
      <c r="G28" s="191">
        <f t="shared" si="5"/>
        <v>5138441.6500000004</v>
      </c>
      <c r="H28" s="191">
        <f t="shared" si="6"/>
        <v>-1922.3520000000003</v>
      </c>
      <c r="I28" s="191">
        <f t="shared" si="7"/>
        <v>5136519.2980000004</v>
      </c>
    </row>
    <row r="29" spans="1:9">
      <c r="A29" s="199" t="s">
        <v>150</v>
      </c>
      <c r="B29" s="167"/>
      <c r="C29" s="200">
        <v>163799.45000000001</v>
      </c>
      <c r="D29" s="200">
        <v>570801.46</v>
      </c>
      <c r="E29" s="203">
        <v>-336408</v>
      </c>
      <c r="F29" s="203">
        <v>333254</v>
      </c>
      <c r="G29" s="191">
        <f t="shared" si="5"/>
        <v>567647.46</v>
      </c>
      <c r="H29" s="191">
        <f t="shared" si="6"/>
        <v>104.7774</v>
      </c>
      <c r="I29" s="191">
        <f t="shared" si="7"/>
        <v>567752.23739999998</v>
      </c>
    </row>
    <row r="30" spans="1:9">
      <c r="A30" s="199" t="s">
        <v>151</v>
      </c>
      <c r="B30" s="167"/>
      <c r="C30" s="200">
        <v>926500.01</v>
      </c>
      <c r="D30" s="200">
        <v>10420099.33</v>
      </c>
      <c r="E30" s="203">
        <v>-5191509</v>
      </c>
      <c r="F30" s="203">
        <v>5365915</v>
      </c>
      <c r="G30" s="191">
        <f t="shared" si="5"/>
        <v>10594505.33</v>
      </c>
      <c r="H30" s="191">
        <f t="shared" si="6"/>
        <v>-2522.3072299999999</v>
      </c>
      <c r="I30" s="191">
        <f t="shared" si="7"/>
        <v>10591983.022770001</v>
      </c>
    </row>
    <row r="31" spans="1:9">
      <c r="A31" s="199" t="s">
        <v>152</v>
      </c>
      <c r="B31" s="167"/>
      <c r="C31" s="200">
        <v>27400</v>
      </c>
      <c r="D31" s="200">
        <v>298978.13</v>
      </c>
      <c r="E31" s="203">
        <v>-102857</v>
      </c>
      <c r="F31" s="203">
        <v>160035</v>
      </c>
      <c r="G31" s="191">
        <f t="shared" si="5"/>
        <v>356156.13</v>
      </c>
      <c r="H31" s="191">
        <f t="shared" si="6"/>
        <v>-1306.3615999999997</v>
      </c>
      <c r="I31" s="191">
        <f t="shared" si="7"/>
        <v>354849.7684</v>
      </c>
    </row>
    <row r="32" spans="1:9">
      <c r="A32" s="199" t="s">
        <v>153</v>
      </c>
      <c r="B32" s="167"/>
      <c r="C32" s="200">
        <v>420000</v>
      </c>
      <c r="D32" s="200">
        <f>3491743.03</f>
        <v>3491743.03</v>
      </c>
      <c r="E32" s="203">
        <v>-199287</v>
      </c>
      <c r="F32" s="203">
        <v>2155719</v>
      </c>
      <c r="G32" s="191">
        <f t="shared" si="5"/>
        <v>5448175.0299999993</v>
      </c>
      <c r="H32" s="191">
        <f t="shared" si="6"/>
        <v>-33375.622080000001</v>
      </c>
      <c r="I32" s="191">
        <f t="shared" si="7"/>
        <v>5414799.4079199992</v>
      </c>
    </row>
    <row r="33" spans="1:9">
      <c r="A33" s="199" t="s">
        <v>209</v>
      </c>
      <c r="B33" s="167"/>
      <c r="C33" s="200">
        <v>558</v>
      </c>
      <c r="D33" s="200">
        <v>278037.40000000002</v>
      </c>
      <c r="E33" s="203">
        <v>0</v>
      </c>
      <c r="F33" s="203">
        <v>0</v>
      </c>
      <c r="G33" s="191">
        <f t="shared" si="5"/>
        <v>278037.40000000002</v>
      </c>
      <c r="H33" s="191">
        <f t="shared" si="6"/>
        <v>0</v>
      </c>
      <c r="I33" s="191">
        <f t="shared" si="7"/>
        <v>278037.40000000002</v>
      </c>
    </row>
    <row r="34" spans="1:9">
      <c r="A34" s="199" t="s">
        <v>154</v>
      </c>
      <c r="B34" s="167"/>
      <c r="C34" s="200">
        <v>21996</v>
      </c>
      <c r="D34" s="200">
        <v>1014448.29</v>
      </c>
      <c r="E34" s="203">
        <v>-301166</v>
      </c>
      <c r="F34" s="203">
        <v>614698</v>
      </c>
      <c r="G34" s="191">
        <f t="shared" si="5"/>
        <v>1327980.29</v>
      </c>
      <c r="H34" s="191">
        <f t="shared" si="6"/>
        <v>-6137.4175999999998</v>
      </c>
      <c r="I34" s="191">
        <f t="shared" si="7"/>
        <v>1321842.8724</v>
      </c>
    </row>
    <row r="35" spans="1:9">
      <c r="A35" s="199" t="s">
        <v>155</v>
      </c>
      <c r="B35" s="167"/>
      <c r="C35" s="200">
        <v>21708</v>
      </c>
      <c r="D35" s="200">
        <v>102367.07</v>
      </c>
      <c r="E35" s="203">
        <v>-29684</v>
      </c>
      <c r="F35" s="203">
        <v>41713</v>
      </c>
      <c r="G35" s="191">
        <f t="shared" si="5"/>
        <v>114396.07</v>
      </c>
      <c r="H35" s="191">
        <f t="shared" si="6"/>
        <v>-203.36098999999999</v>
      </c>
      <c r="I35" s="191">
        <f t="shared" si="7"/>
        <v>114192.70901000001</v>
      </c>
    </row>
    <row r="36" spans="1:9">
      <c r="A36" s="199" t="s">
        <v>221</v>
      </c>
      <c r="B36" s="167"/>
      <c r="C36" s="191"/>
      <c r="D36" s="200">
        <v>571559.25</v>
      </c>
      <c r="E36" s="200"/>
      <c r="F36" s="200"/>
      <c r="G36" s="191">
        <f t="shared" si="5"/>
        <v>571559.25</v>
      </c>
      <c r="H36" s="191"/>
      <c r="I36" s="191">
        <f t="shared" si="7"/>
        <v>571559.25</v>
      </c>
    </row>
    <row r="37" spans="1:9">
      <c r="A37" s="199" t="s">
        <v>222</v>
      </c>
      <c r="B37" s="167"/>
      <c r="C37" s="186"/>
      <c r="D37" s="200">
        <v>700007.77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1427505.23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3831575.6900000004</v>
      </c>
      <c r="D39" s="181">
        <f t="shared" ref="D39:I39" si="8">SUM(D26:D38)</f>
        <v>37705667.209999993</v>
      </c>
      <c r="E39" s="181">
        <f t="shared" si="8"/>
        <v>-17198204</v>
      </c>
      <c r="F39" s="181">
        <f t="shared" si="8"/>
        <v>19842602</v>
      </c>
      <c r="G39" s="181">
        <f t="shared" si="8"/>
        <v>38222552.209999993</v>
      </c>
      <c r="H39" s="181">
        <f t="shared" si="8"/>
        <v>-48999.361360000003</v>
      </c>
      <c r="I39" s="181">
        <f t="shared" si="8"/>
        <v>38173552.848639995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1838974</v>
      </c>
      <c r="D41" s="183">
        <f t="shared" ref="D41:I41" si="9">D26+D27</f>
        <v>13743312.6</v>
      </c>
      <c r="E41" s="183">
        <f t="shared" si="9"/>
        <v>-8126368</v>
      </c>
      <c r="F41" s="183">
        <f t="shared" si="9"/>
        <v>8208709</v>
      </c>
      <c r="G41" s="183">
        <f t="shared" si="9"/>
        <v>13825653.6</v>
      </c>
      <c r="H41" s="183">
        <f t="shared" si="9"/>
        <v>-3636.7172599999999</v>
      </c>
      <c r="I41" s="184">
        <f t="shared" si="9"/>
        <v>13822016.88274</v>
      </c>
    </row>
    <row r="42" spans="1:9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1572601.69</v>
      </c>
      <c r="D43" s="194">
        <f t="shared" ref="D43:I43" si="10">SUM(D28:D31,D33:D35)</f>
        <v>17771539.330000002</v>
      </c>
      <c r="E43" s="194">
        <f t="shared" si="10"/>
        <v>-8872549</v>
      </c>
      <c r="F43" s="194">
        <f t="shared" si="10"/>
        <v>9478174</v>
      </c>
      <c r="G43" s="194">
        <f t="shared" si="10"/>
        <v>18377164.330000002</v>
      </c>
      <c r="H43" s="194">
        <f t="shared" si="10"/>
        <v>-11987.022019999999</v>
      </c>
      <c r="I43" s="193">
        <f t="shared" si="10"/>
        <v>18365177.307980005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/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/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/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/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/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/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/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/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/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/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/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/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/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-649.34298000000001</v>
      </c>
      <c r="D63" s="183">
        <f t="shared" si="11"/>
        <v>0</v>
      </c>
      <c r="E63" s="183">
        <f>$H4*E48</f>
        <v>4833.9977399999998</v>
      </c>
      <c r="F63" s="183">
        <f>$H4*F48</f>
        <v>2188.5263399999999</v>
      </c>
      <c r="G63" s="183">
        <f t="shared" ref="G63" si="12">$H4*G48</f>
        <v>0</v>
      </c>
      <c r="H63" s="183">
        <f t="shared" si="11"/>
        <v>-2501.1729599999999</v>
      </c>
      <c r="I63" s="183">
        <f>SUM(C63:H63)</f>
        <v>3872.0081399999999</v>
      </c>
    </row>
    <row r="64" spans="1:9">
      <c r="A64" s="199" t="s">
        <v>207</v>
      </c>
      <c r="B64" s="165"/>
      <c r="C64" s="183">
        <f t="shared" si="11"/>
        <v>-2.1232799999999998</v>
      </c>
      <c r="D64" s="183">
        <f t="shared" si="11"/>
        <v>-247.95192000000003</v>
      </c>
      <c r="E64" s="183">
        <f t="shared" si="11"/>
        <v>15.80664</v>
      </c>
      <c r="F64" s="183">
        <f t="shared" si="11"/>
        <v>7.1562400000000004</v>
      </c>
      <c r="G64" s="183">
        <f t="shared" si="11"/>
        <v>0</v>
      </c>
      <c r="H64" s="183">
        <f t="shared" si="11"/>
        <v>-8.1785599999999992</v>
      </c>
      <c r="I64" s="183">
        <f t="shared" ref="I64:I73" si="13">SUM(C64:H64)</f>
        <v>-235.29088000000004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1742.9324800000002</v>
      </c>
      <c r="F65" s="183">
        <f t="shared" si="11"/>
        <v>845.83488</v>
      </c>
      <c r="G65" s="183">
        <f t="shared" si="11"/>
        <v>0</v>
      </c>
      <c r="H65" s="183">
        <f t="shared" si="11"/>
        <v>-666.41535999999996</v>
      </c>
      <c r="I65" s="183">
        <f t="shared" si="13"/>
        <v>1922.3520000000003</v>
      </c>
    </row>
    <row r="66" spans="1:9">
      <c r="A66" s="199" t="s">
        <v>150</v>
      </c>
      <c r="B66" s="165"/>
      <c r="C66" s="183">
        <f t="shared" si="11"/>
        <v>10.3626</v>
      </c>
      <c r="D66" s="183">
        <f t="shared" si="11"/>
        <v>0</v>
      </c>
      <c r="E66" s="183">
        <f t="shared" si="11"/>
        <v>-104.39360000000001</v>
      </c>
      <c r="F66" s="183">
        <f t="shared" si="11"/>
        <v>-50.6616</v>
      </c>
      <c r="G66" s="183">
        <f t="shared" si="11"/>
        <v>0</v>
      </c>
      <c r="H66" s="183">
        <f t="shared" si="11"/>
        <v>39.915199999999999</v>
      </c>
      <c r="I66" s="183">
        <f t="shared" si="13"/>
        <v>-104.7774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2663.1467199999997</v>
      </c>
      <c r="F67" s="183">
        <f t="shared" si="11"/>
        <v>1216.34105</v>
      </c>
      <c r="G67" s="183">
        <f t="shared" si="11"/>
        <v>0</v>
      </c>
      <c r="H67" s="183">
        <f t="shared" si="11"/>
        <v>-1357.1805399999998</v>
      </c>
      <c r="I67" s="183">
        <f t="shared" si="13"/>
        <v>2522.3072299999999</v>
      </c>
    </row>
    <row r="68" spans="1:9">
      <c r="A68" s="199" t="s">
        <v>152</v>
      </c>
      <c r="B68" s="165"/>
      <c r="C68" s="183">
        <f t="shared" si="11"/>
        <v>-207.48096000000001</v>
      </c>
      <c r="D68" s="183">
        <f t="shared" si="11"/>
        <v>0</v>
      </c>
      <c r="E68" s="183">
        <f t="shared" si="11"/>
        <v>1598.3718399999998</v>
      </c>
      <c r="F68" s="183">
        <f t="shared" si="11"/>
        <v>730.02560000000005</v>
      </c>
      <c r="G68" s="183">
        <f t="shared" si="11"/>
        <v>0</v>
      </c>
      <c r="H68" s="183">
        <f t="shared" si="11"/>
        <v>-814.55488000000003</v>
      </c>
      <c r="I68" s="183">
        <f t="shared" si="13"/>
        <v>1306.3615999999997</v>
      </c>
    </row>
    <row r="69" spans="1:9">
      <c r="A69" s="199" t="s">
        <v>153</v>
      </c>
      <c r="B69" s="165"/>
      <c r="C69" s="183">
        <f t="shared" ref="C69:G69" si="14">$H10*C54+$H11*C55</f>
        <v>0</v>
      </c>
      <c r="D69" s="183">
        <f t="shared" si="14"/>
        <v>0</v>
      </c>
      <c r="E69" s="183">
        <f t="shared" si="14"/>
        <v>49487.99136</v>
      </c>
      <c r="F69" s="183">
        <f t="shared" si="14"/>
        <v>23017.670399999999</v>
      </c>
      <c r="G69" s="183">
        <f t="shared" si="14"/>
        <v>0</v>
      </c>
      <c r="H69" s="183">
        <f>$H10*H54+$H11*H55</f>
        <v>-39130.039680000002</v>
      </c>
      <c r="I69" s="183">
        <f t="shared" si="13"/>
        <v>33375.622080000001</v>
      </c>
    </row>
    <row r="70" spans="1:9">
      <c r="A70" s="199" t="s">
        <v>209</v>
      </c>
      <c r="B70" s="165"/>
      <c r="C70" s="183">
        <f t="shared" ref="C70:H72" si="15">$H12*C56</f>
        <v>0</v>
      </c>
      <c r="D70" s="183">
        <f t="shared" si="15"/>
        <v>0</v>
      </c>
      <c r="E70" s="183">
        <f t="shared" si="15"/>
        <v>0</v>
      </c>
      <c r="F70" s="183">
        <f t="shared" si="15"/>
        <v>0</v>
      </c>
      <c r="G70" s="183">
        <f t="shared" si="15"/>
        <v>0</v>
      </c>
      <c r="H70" s="183">
        <f t="shared" si="15"/>
        <v>0</v>
      </c>
      <c r="I70" s="183">
        <f t="shared" si="13"/>
        <v>0</v>
      </c>
    </row>
    <row r="71" spans="1:9">
      <c r="A71" s="199" t="s">
        <v>154</v>
      </c>
      <c r="B71" s="165"/>
      <c r="C71" s="183">
        <f t="shared" si="15"/>
        <v>0</v>
      </c>
      <c r="D71" s="183">
        <f t="shared" si="15"/>
        <v>0</v>
      </c>
      <c r="E71" s="183">
        <f t="shared" si="15"/>
        <v>7288.1833999999999</v>
      </c>
      <c r="F71" s="183">
        <f t="shared" si="15"/>
        <v>3183.7853800000003</v>
      </c>
      <c r="G71" s="183">
        <f t="shared" si="15"/>
        <v>0</v>
      </c>
      <c r="H71" s="183">
        <f t="shared" si="15"/>
        <v>-4334.5511799999995</v>
      </c>
      <c r="I71" s="183">
        <f t="shared" si="13"/>
        <v>6137.4175999999998</v>
      </c>
    </row>
    <row r="72" spans="1:9">
      <c r="A72" s="199" t="s">
        <v>155</v>
      </c>
      <c r="B72" s="165"/>
      <c r="C72" s="183">
        <f t="shared" si="15"/>
        <v>-41.283810000000003</v>
      </c>
      <c r="D72" s="183">
        <f t="shared" si="15"/>
        <v>0</v>
      </c>
      <c r="E72" s="183">
        <f t="shared" si="15"/>
        <v>290.51569999999998</v>
      </c>
      <c r="F72" s="183">
        <f t="shared" si="15"/>
        <v>126.90949000000001</v>
      </c>
      <c r="G72" s="183">
        <f t="shared" si="15"/>
        <v>0</v>
      </c>
      <c r="H72" s="183">
        <f t="shared" si="15"/>
        <v>-172.78038999999998</v>
      </c>
      <c r="I72" s="183">
        <f t="shared" si="13"/>
        <v>203.36098999999999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3"/>
        <v>0</v>
      </c>
    </row>
    <row r="74" spans="1:9">
      <c r="A74" s="172"/>
      <c r="B74" s="165"/>
      <c r="C74" s="198">
        <f>SUM(C63:C73)</f>
        <v>-889.86842999999999</v>
      </c>
      <c r="D74" s="198">
        <f t="shared" ref="D74:I74" si="16">SUM(D63:D73)</f>
        <v>-247.95192000000003</v>
      </c>
      <c r="E74" s="198">
        <f t="shared" si="16"/>
        <v>67816.552280000004</v>
      </c>
      <c r="F74" s="198">
        <f t="shared" si="16"/>
        <v>31265.587780000002</v>
      </c>
      <c r="G74" s="198">
        <f t="shared" si="16"/>
        <v>0</v>
      </c>
      <c r="H74" s="198">
        <f t="shared" si="16"/>
        <v>-48944.958350000001</v>
      </c>
      <c r="I74" s="198">
        <f t="shared" si="16"/>
        <v>48999.361360000003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-651.46626000000003</v>
      </c>
      <c r="D76" s="183">
        <f t="shared" ref="D76:I76" si="17">D63+D64</f>
        <v>-247.95192000000003</v>
      </c>
      <c r="E76" s="183">
        <f t="shared" si="17"/>
        <v>4849.8043799999996</v>
      </c>
      <c r="F76" s="183">
        <f t="shared" si="17"/>
        <v>2195.6825799999997</v>
      </c>
      <c r="G76" s="183">
        <f t="shared" si="17"/>
        <v>0</v>
      </c>
      <c r="H76" s="183">
        <f t="shared" si="17"/>
        <v>-2509.3515199999997</v>
      </c>
      <c r="I76" s="183">
        <f t="shared" si="17"/>
        <v>3636.7172599999999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-238.40217000000001</v>
      </c>
      <c r="D78" s="194">
        <f t="shared" ref="D78:I78" si="18">SUM(D65:D68,D70:D72)</f>
        <v>0</v>
      </c>
      <c r="E78" s="194">
        <f t="shared" si="18"/>
        <v>13478.756539999998</v>
      </c>
      <c r="F78" s="194">
        <f t="shared" si="18"/>
        <v>6052.2348000000002</v>
      </c>
      <c r="G78" s="194">
        <f t="shared" si="18"/>
        <v>0</v>
      </c>
      <c r="H78" s="194">
        <f t="shared" si="18"/>
        <v>-7305.5671499999989</v>
      </c>
      <c r="I78" s="194">
        <f t="shared" si="18"/>
        <v>11987.022019999999</v>
      </c>
    </row>
  </sheetData>
  <mergeCells count="4">
    <mergeCell ref="A1:I1"/>
    <mergeCell ref="E59:E60"/>
    <mergeCell ref="F59:F60"/>
    <mergeCell ref="I59:I60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9.2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 ht="8.4" customHeight="1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208493</v>
      </c>
      <c r="D4" s="165"/>
      <c r="E4" s="202">
        <v>148102898</v>
      </c>
      <c r="F4" s="202">
        <v>-94459148</v>
      </c>
      <c r="G4" s="202">
        <v>88418917</v>
      </c>
      <c r="H4" s="166">
        <f>SUM(F4:G4)</f>
        <v>-6040231</v>
      </c>
      <c r="I4" s="174">
        <f>E4+H4</f>
        <v>142062667</v>
      </c>
    </row>
    <row r="5" spans="1:9">
      <c r="A5" s="199" t="s">
        <v>207</v>
      </c>
      <c r="B5" s="167"/>
      <c r="C5" s="173">
        <v>511</v>
      </c>
      <c r="D5" s="165"/>
      <c r="E5" s="202">
        <v>392754</v>
      </c>
      <c r="F5" s="202">
        <v>-249306</v>
      </c>
      <c r="G5" s="202">
        <v>224200</v>
      </c>
      <c r="H5" s="166">
        <f t="shared" ref="H5:H17" si="0">SUM(F5:G5)</f>
        <v>-25106</v>
      </c>
      <c r="I5" s="174">
        <f t="shared" ref="I5:I17" si="1">E5+H5</f>
        <v>367648</v>
      </c>
    </row>
    <row r="6" spans="1:9">
      <c r="A6" s="199" t="s">
        <v>149</v>
      </c>
      <c r="B6" s="167"/>
      <c r="C6" s="173">
        <v>22276</v>
      </c>
      <c r="D6" s="165"/>
      <c r="E6" s="202">
        <v>41743561</v>
      </c>
      <c r="F6" s="202">
        <v>-22936121</v>
      </c>
      <c r="G6" s="202">
        <v>24886212</v>
      </c>
      <c r="H6" s="166">
        <f t="shared" si="0"/>
        <v>1950091</v>
      </c>
      <c r="I6" s="174">
        <f t="shared" si="1"/>
        <v>43693652</v>
      </c>
    </row>
    <row r="7" spans="1:9">
      <c r="A7" s="199" t="s">
        <v>150</v>
      </c>
      <c r="B7" s="167"/>
      <c r="C7" s="173">
        <v>9027</v>
      </c>
      <c r="D7" s="165"/>
      <c r="E7" s="202">
        <v>3731707</v>
      </c>
      <c r="F7" s="202">
        <v>-2465356</v>
      </c>
      <c r="G7" s="202">
        <v>2213976</v>
      </c>
      <c r="H7" s="166">
        <f t="shared" si="0"/>
        <v>-251380</v>
      </c>
      <c r="I7" s="174">
        <f t="shared" si="1"/>
        <v>3480327</v>
      </c>
    </row>
    <row r="8" spans="1:9">
      <c r="A8" s="199" t="s">
        <v>151</v>
      </c>
      <c r="B8" s="167"/>
      <c r="C8" s="173">
        <v>1849</v>
      </c>
      <c r="D8" s="165"/>
      <c r="E8" s="202">
        <v>110568172</v>
      </c>
      <c r="F8" s="202">
        <v>-59445552</v>
      </c>
      <c r="G8" s="202">
        <v>66279157</v>
      </c>
      <c r="H8" s="166">
        <f t="shared" si="0"/>
        <v>6833605</v>
      </c>
      <c r="I8" s="174">
        <f t="shared" si="1"/>
        <v>117401777</v>
      </c>
    </row>
    <row r="9" spans="1:9">
      <c r="A9" s="199" t="s">
        <v>152</v>
      </c>
      <c r="B9" s="167"/>
      <c r="C9" s="173">
        <v>48</v>
      </c>
      <c r="D9" s="165"/>
      <c r="E9" s="202">
        <v>2058600</v>
      </c>
      <c r="F9" s="202">
        <v>-1301930</v>
      </c>
      <c r="G9" s="202">
        <v>1233101</v>
      </c>
      <c r="H9" s="166">
        <f t="shared" si="0"/>
        <v>-68829</v>
      </c>
      <c r="I9" s="174">
        <f t="shared" si="1"/>
        <v>1989771</v>
      </c>
    </row>
    <row r="10" spans="1:9">
      <c r="A10" s="199" t="s">
        <v>153</v>
      </c>
      <c r="B10" s="167"/>
      <c r="C10" s="173">
        <v>22</v>
      </c>
      <c r="D10" s="165"/>
      <c r="E10" s="202">
        <f>98986457-E11</f>
        <v>61120606</v>
      </c>
      <c r="F10" s="202">
        <v>-952096</v>
      </c>
      <c r="G10" s="202">
        <v>3247263</v>
      </c>
      <c r="H10" s="166">
        <f t="shared" si="0"/>
        <v>2295167</v>
      </c>
      <c r="I10" s="174">
        <f t="shared" si="1"/>
        <v>63415773</v>
      </c>
    </row>
    <row r="11" spans="1:9">
      <c r="A11" s="199" t="s">
        <v>208</v>
      </c>
      <c r="B11" s="167"/>
      <c r="C11" s="173"/>
      <c r="D11" s="165"/>
      <c r="E11" s="202">
        <v>37865851</v>
      </c>
      <c r="F11" s="202">
        <v>0</v>
      </c>
      <c r="G11" s="202">
        <v>0</v>
      </c>
      <c r="H11" s="166">
        <f t="shared" si="0"/>
        <v>0</v>
      </c>
      <c r="I11" s="174">
        <f t="shared" si="1"/>
        <v>37865851</v>
      </c>
    </row>
    <row r="12" spans="1:9">
      <c r="A12" s="199" t="s">
        <v>209</v>
      </c>
      <c r="B12" s="167"/>
      <c r="C12" s="173">
        <v>31</v>
      </c>
      <c r="D12" s="165"/>
      <c r="E12" s="202">
        <v>3043980</v>
      </c>
      <c r="F12" s="202">
        <v>0</v>
      </c>
      <c r="G12" s="202">
        <v>0</v>
      </c>
      <c r="H12" s="166">
        <f t="shared" si="0"/>
        <v>0</v>
      </c>
      <c r="I12" s="174">
        <f t="shared" si="1"/>
        <v>3043980</v>
      </c>
    </row>
    <row r="13" spans="1:9">
      <c r="A13" s="199" t="s">
        <v>154</v>
      </c>
      <c r="B13" s="167"/>
      <c r="C13" s="173">
        <v>1207</v>
      </c>
      <c r="D13" s="165"/>
      <c r="E13" s="202">
        <v>8201374</v>
      </c>
      <c r="F13" s="202">
        <v>-2354554</v>
      </c>
      <c r="G13" s="202">
        <v>3503126</v>
      </c>
      <c r="H13" s="166">
        <f t="shared" si="0"/>
        <v>1148572</v>
      </c>
      <c r="I13" s="174">
        <f t="shared" si="1"/>
        <v>9349946</v>
      </c>
    </row>
    <row r="14" spans="1:9">
      <c r="A14" s="199" t="s">
        <v>155</v>
      </c>
      <c r="B14" s="167"/>
      <c r="C14" s="173">
        <v>1220</v>
      </c>
      <c r="D14" s="165"/>
      <c r="E14" s="202">
        <v>581883</v>
      </c>
      <c r="F14" s="202">
        <v>-110803</v>
      </c>
      <c r="G14" s="202">
        <v>224200</v>
      </c>
      <c r="H14" s="166">
        <f t="shared" si="0"/>
        <v>113397</v>
      </c>
      <c r="I14" s="174">
        <f t="shared" si="1"/>
        <v>695280</v>
      </c>
    </row>
    <row r="15" spans="1:9">
      <c r="A15" s="199" t="s">
        <v>210</v>
      </c>
      <c r="B15" s="167"/>
      <c r="C15" s="173">
        <v>410</v>
      </c>
      <c r="D15" s="165"/>
      <c r="E15" s="202">
        <v>1257861</v>
      </c>
      <c r="F15" s="202"/>
      <c r="G15" s="202"/>
      <c r="H15" s="166"/>
      <c r="I15" s="174">
        <f t="shared" si="1"/>
        <v>1257861</v>
      </c>
    </row>
    <row r="16" spans="1:9">
      <c r="A16" s="199" t="s">
        <v>211</v>
      </c>
      <c r="B16" s="167"/>
      <c r="C16" s="173"/>
      <c r="D16" s="165"/>
      <c r="E16" s="202">
        <v>456487</v>
      </c>
      <c r="F16" s="202"/>
      <c r="G16" s="202"/>
      <c r="H16" s="166">
        <f t="shared" si="0"/>
        <v>0</v>
      </c>
      <c r="I16" s="174">
        <f t="shared" si="1"/>
        <v>456487</v>
      </c>
    </row>
    <row r="17" spans="1:9">
      <c r="A17" s="199" t="s">
        <v>212</v>
      </c>
      <c r="B17" s="167"/>
      <c r="C17" s="173"/>
      <c r="D17" s="165"/>
      <c r="E17" s="202">
        <v>244709</v>
      </c>
      <c r="F17" s="202"/>
      <c r="G17" s="202"/>
      <c r="H17" s="166">
        <f t="shared" si="0"/>
        <v>0</v>
      </c>
      <c r="I17" s="174">
        <f t="shared" si="1"/>
        <v>244709</v>
      </c>
    </row>
    <row r="18" spans="1:9">
      <c r="A18" s="167"/>
      <c r="B18" s="167"/>
      <c r="C18" s="175">
        <f>SUM(C4:C17)</f>
        <v>245094</v>
      </c>
      <c r="D18" s="165"/>
      <c r="E18" s="175">
        <f t="shared" ref="E18:I18" si="2">SUM(E4:E17)</f>
        <v>419370443</v>
      </c>
      <c r="F18" s="175">
        <f t="shared" si="2"/>
        <v>-184274866</v>
      </c>
      <c r="G18" s="175">
        <f t="shared" si="2"/>
        <v>190230152</v>
      </c>
      <c r="H18" s="175">
        <f t="shared" si="2"/>
        <v>5955286</v>
      </c>
      <c r="I18" s="175">
        <f t="shared" si="2"/>
        <v>425325729</v>
      </c>
    </row>
    <row r="19" spans="1:9" ht="9.6" customHeight="1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209004</v>
      </c>
      <c r="D20" s="165"/>
      <c r="E20" s="177">
        <f>E4+E5</f>
        <v>148495652</v>
      </c>
      <c r="F20" s="177">
        <f t="shared" ref="F20:I20" si="3">F4+F5</f>
        <v>-94708454</v>
      </c>
      <c r="G20" s="177">
        <f t="shared" si="3"/>
        <v>88643117</v>
      </c>
      <c r="H20" s="177">
        <f t="shared" si="3"/>
        <v>-6065337</v>
      </c>
      <c r="I20" s="176">
        <f t="shared" si="3"/>
        <v>142430315</v>
      </c>
    </row>
    <row r="21" spans="1:9" ht="9.6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35658</v>
      </c>
      <c r="D22" s="165"/>
      <c r="E22" s="196">
        <f>SUM(E6:E9,E12:E14)</f>
        <v>169929277</v>
      </c>
      <c r="F22" s="196">
        <f t="shared" ref="F22:H22" si="4">SUM(F6:F9,F12:F14)</f>
        <v>-88614316</v>
      </c>
      <c r="G22" s="196">
        <f t="shared" si="4"/>
        <v>98339772</v>
      </c>
      <c r="H22" s="196">
        <f t="shared" si="4"/>
        <v>9725456</v>
      </c>
      <c r="I22" s="195">
        <f>SUM(I6:I9,I12:I14)</f>
        <v>179654733</v>
      </c>
    </row>
    <row r="23" spans="1:9" ht="8.4" customHeight="1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 ht="10.199999999999999" customHeight="1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v>1826769</v>
      </c>
      <c r="D26" s="200">
        <v>13222631.939999999</v>
      </c>
      <c r="E26" s="203">
        <v>-8670084</v>
      </c>
      <c r="F26" s="203">
        <v>8112949</v>
      </c>
      <c r="G26" s="191">
        <f>SUM(D26:F26)</f>
        <v>12665496.939999999</v>
      </c>
      <c r="H26" s="191">
        <f>-I63</f>
        <v>9724.7719100000013</v>
      </c>
      <c r="I26" s="191">
        <f>SUM(G26:H26)</f>
        <v>12675221.71191</v>
      </c>
    </row>
    <row r="27" spans="1:9">
      <c r="A27" s="199" t="s">
        <v>207</v>
      </c>
      <c r="B27" s="167"/>
      <c r="C27" s="200">
        <v>4411.5</v>
      </c>
      <c r="D27" s="200">
        <v>34466.6</v>
      </c>
      <c r="E27" s="203">
        <v>-14688</v>
      </c>
      <c r="F27" s="203">
        <v>13419</v>
      </c>
      <c r="G27" s="191">
        <f t="shared" ref="G27:G36" si="5">SUM(D27:F27)</f>
        <v>33197.599999999999</v>
      </c>
      <c r="H27" s="191">
        <f t="shared" ref="H27:H35" si="6">-I64</f>
        <v>-751.1715200000001</v>
      </c>
      <c r="I27" s="191">
        <f t="shared" ref="I27:I36" si="7">SUM(G27:H27)</f>
        <v>32446.428479999999</v>
      </c>
    </row>
    <row r="28" spans="1:9">
      <c r="A28" s="199" t="s">
        <v>149</v>
      </c>
      <c r="B28" s="167"/>
      <c r="C28" s="200">
        <v>409223.95</v>
      </c>
      <c r="D28" s="200">
        <v>4939802.5599999996</v>
      </c>
      <c r="E28" s="203">
        <v>-2696532</v>
      </c>
      <c r="F28" s="203">
        <v>2910925</v>
      </c>
      <c r="G28" s="191">
        <f t="shared" si="5"/>
        <v>5154195.5599999996</v>
      </c>
      <c r="H28" s="191">
        <f t="shared" si="6"/>
        <v>-5850.273000000001</v>
      </c>
      <c r="I28" s="191">
        <f t="shared" si="7"/>
        <v>5148345.2869999995</v>
      </c>
    </row>
    <row r="29" spans="1:9">
      <c r="A29" s="199" t="s">
        <v>150</v>
      </c>
      <c r="B29" s="167"/>
      <c r="C29" s="200">
        <v>164537.04999999999</v>
      </c>
      <c r="D29" s="200">
        <v>578444.12</v>
      </c>
      <c r="E29" s="203">
        <v>-363620</v>
      </c>
      <c r="F29" s="203">
        <v>336408</v>
      </c>
      <c r="G29" s="191">
        <f t="shared" si="5"/>
        <v>551232.12</v>
      </c>
      <c r="H29" s="191">
        <f t="shared" si="6"/>
        <v>686.26739999999995</v>
      </c>
      <c r="I29" s="191">
        <f t="shared" si="7"/>
        <v>551918.38740000001</v>
      </c>
    </row>
    <row r="30" spans="1:9">
      <c r="A30" s="199" t="s">
        <v>151</v>
      </c>
      <c r="B30" s="167"/>
      <c r="C30" s="200">
        <v>924700</v>
      </c>
      <c r="D30" s="200">
        <v>10036845.01</v>
      </c>
      <c r="E30" s="203">
        <v>-4786800</v>
      </c>
      <c r="F30" s="203">
        <v>5191509</v>
      </c>
      <c r="G30" s="191">
        <f t="shared" si="5"/>
        <v>10441554.01</v>
      </c>
      <c r="H30" s="191">
        <f t="shared" si="6"/>
        <v>-13462.201849999998</v>
      </c>
      <c r="I30" s="191">
        <f t="shared" si="7"/>
        <v>10428091.808149999</v>
      </c>
    </row>
    <row r="31" spans="1:9">
      <c r="A31" s="199" t="s">
        <v>152</v>
      </c>
      <c r="B31" s="167"/>
      <c r="C31" s="200">
        <v>24000</v>
      </c>
      <c r="D31" s="200">
        <v>186962.11</v>
      </c>
      <c r="E31" s="203">
        <v>-108351</v>
      </c>
      <c r="F31" s="203">
        <v>102857</v>
      </c>
      <c r="G31" s="191">
        <f t="shared" si="5"/>
        <v>181468.11</v>
      </c>
      <c r="H31" s="191">
        <f t="shared" si="6"/>
        <v>117.00929999999998</v>
      </c>
      <c r="I31" s="191">
        <f t="shared" si="7"/>
        <v>181585.11929999999</v>
      </c>
    </row>
    <row r="32" spans="1:9">
      <c r="A32" s="199" t="s">
        <v>153</v>
      </c>
      <c r="B32" s="167"/>
      <c r="C32" s="200">
        <v>462000</v>
      </c>
      <c r="D32" s="200">
        <f>5835734.78-85089.6</f>
        <v>5750645.1800000006</v>
      </c>
      <c r="E32" s="203">
        <v>-71019</v>
      </c>
      <c r="F32" s="203">
        <v>199287</v>
      </c>
      <c r="G32" s="191">
        <f t="shared" si="5"/>
        <v>5878913.1800000006</v>
      </c>
      <c r="H32" s="191">
        <f t="shared" si="6"/>
        <v>-1996.79529</v>
      </c>
      <c r="I32" s="191">
        <f t="shared" si="7"/>
        <v>5876916.3847100008</v>
      </c>
    </row>
    <row r="33" spans="1:9">
      <c r="A33" s="199" t="s">
        <v>209</v>
      </c>
      <c r="B33" s="167"/>
      <c r="C33" s="200">
        <v>558</v>
      </c>
      <c r="D33" s="200">
        <v>208353.5</v>
      </c>
      <c r="E33" s="203">
        <v>0</v>
      </c>
      <c r="F33" s="203">
        <v>0</v>
      </c>
      <c r="G33" s="191">
        <f t="shared" si="5"/>
        <v>208353.5</v>
      </c>
      <c r="H33" s="191">
        <f t="shared" si="6"/>
        <v>0</v>
      </c>
      <c r="I33" s="191">
        <f t="shared" si="7"/>
        <v>208353.5</v>
      </c>
    </row>
    <row r="34" spans="1:9">
      <c r="A34" s="199" t="s">
        <v>154</v>
      </c>
      <c r="B34" s="167"/>
      <c r="C34" s="200">
        <v>21798</v>
      </c>
      <c r="D34" s="200">
        <v>696455.69</v>
      </c>
      <c r="E34" s="203">
        <v>-210883</v>
      </c>
      <c r="F34" s="203">
        <v>301166</v>
      </c>
      <c r="G34" s="191">
        <f t="shared" si="5"/>
        <v>786738.69</v>
      </c>
      <c r="H34" s="191">
        <f t="shared" si="6"/>
        <v>-1837.7152000000001</v>
      </c>
      <c r="I34" s="191">
        <f t="shared" si="7"/>
        <v>784900.97479999997</v>
      </c>
    </row>
    <row r="35" spans="1:9">
      <c r="A35" s="199" t="s">
        <v>155</v>
      </c>
      <c r="B35" s="167"/>
      <c r="C35" s="200">
        <v>22122</v>
      </c>
      <c r="D35" s="200">
        <v>72591.149999999994</v>
      </c>
      <c r="E35" s="203">
        <v>-19810</v>
      </c>
      <c r="F35" s="203">
        <v>29684</v>
      </c>
      <c r="G35" s="191">
        <f t="shared" si="5"/>
        <v>82465.149999999994</v>
      </c>
      <c r="H35" s="191">
        <f t="shared" si="6"/>
        <v>-150.81800999999999</v>
      </c>
      <c r="I35" s="191">
        <f t="shared" si="7"/>
        <v>82314.331989999991</v>
      </c>
    </row>
    <row r="36" spans="1:9">
      <c r="A36" s="199" t="s">
        <v>221</v>
      </c>
      <c r="B36" s="167"/>
      <c r="C36" s="191"/>
      <c r="D36" s="200">
        <v>571923.41</v>
      </c>
      <c r="E36" s="200"/>
      <c r="F36" s="200"/>
      <c r="G36" s="191">
        <f t="shared" si="5"/>
        <v>571923.41</v>
      </c>
      <c r="H36" s="191"/>
      <c r="I36" s="191">
        <f t="shared" si="7"/>
        <v>571923.41</v>
      </c>
    </row>
    <row r="37" spans="1:9">
      <c r="A37" s="199" t="s">
        <v>222</v>
      </c>
      <c r="B37" s="167"/>
      <c r="C37" s="186"/>
      <c r="D37" s="200">
        <v>687012.04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1385148.39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3860119.5</v>
      </c>
      <c r="D39" s="181">
        <f t="shared" ref="D39:I39" si="8">SUM(D26:D38)</f>
        <v>38371281.699999988</v>
      </c>
      <c r="E39" s="181">
        <f t="shared" si="8"/>
        <v>-16941787</v>
      </c>
      <c r="F39" s="181">
        <f t="shared" si="8"/>
        <v>17198204</v>
      </c>
      <c r="G39" s="181">
        <f t="shared" si="8"/>
        <v>36555538.269999988</v>
      </c>
      <c r="H39" s="181">
        <f t="shared" si="8"/>
        <v>-13520.92626</v>
      </c>
      <c r="I39" s="181">
        <f t="shared" si="8"/>
        <v>36542017.343739994</v>
      </c>
    </row>
    <row r="40" spans="1:9" ht="9" customHeight="1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1831180.5</v>
      </c>
      <c r="D41" s="183">
        <f t="shared" ref="D41:I41" si="9">D26+D27</f>
        <v>13257098.539999999</v>
      </c>
      <c r="E41" s="183">
        <f t="shared" si="9"/>
        <v>-8684772</v>
      </c>
      <c r="F41" s="183">
        <f t="shared" si="9"/>
        <v>8126368</v>
      </c>
      <c r="G41" s="183">
        <f t="shared" si="9"/>
        <v>12698694.539999999</v>
      </c>
      <c r="H41" s="183">
        <f t="shared" si="9"/>
        <v>8973.6003900000014</v>
      </c>
      <c r="I41" s="184">
        <f t="shared" si="9"/>
        <v>12707668.140389999</v>
      </c>
    </row>
    <row r="42" spans="1:9" ht="10.95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1566939</v>
      </c>
      <c r="D43" s="194">
        <f t="shared" ref="D43:I43" si="10">SUM(D28:D31,D33:D35)</f>
        <v>16719454.139999999</v>
      </c>
      <c r="E43" s="194">
        <f t="shared" si="10"/>
        <v>-8185996</v>
      </c>
      <c r="F43" s="194">
        <f t="shared" si="10"/>
        <v>8872549</v>
      </c>
      <c r="G43" s="194">
        <f t="shared" si="10"/>
        <v>17406007.139999997</v>
      </c>
      <c r="H43" s="194">
        <f t="shared" si="10"/>
        <v>-20497.731359999994</v>
      </c>
      <c r="I43" s="193">
        <f t="shared" si="10"/>
        <v>17385509.408640001</v>
      </c>
    </row>
    <row r="44" spans="1:9" ht="9" customHeight="1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/>
      <c r="F45" s="165"/>
      <c r="G45" s="165"/>
      <c r="H45" s="165"/>
      <c r="I45" s="105"/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/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/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/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/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/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/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/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/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/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/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/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/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/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/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1630.8623700000001</v>
      </c>
      <c r="D63" s="183">
        <f t="shared" si="11"/>
        <v>0</v>
      </c>
      <c r="E63" s="183">
        <f>$H4*E48</f>
        <v>-12140.864310000001</v>
      </c>
      <c r="F63" s="183">
        <f>$H4*F48</f>
        <v>-5496.6102099999998</v>
      </c>
      <c r="G63" s="183">
        <f t="shared" ref="G63" si="12">$H4*G48</f>
        <v>0</v>
      </c>
      <c r="H63" s="183">
        <f t="shared" si="11"/>
        <v>6281.8402399999995</v>
      </c>
      <c r="I63" s="183">
        <f>SUM(C63:H63)</f>
        <v>-9724.7719100000013</v>
      </c>
    </row>
    <row r="64" spans="1:9">
      <c r="A64" s="199" t="s">
        <v>207</v>
      </c>
      <c r="B64" s="165"/>
      <c r="C64" s="183">
        <f t="shared" si="11"/>
        <v>6.7786200000000001</v>
      </c>
      <c r="D64" s="183">
        <f t="shared" si="11"/>
        <v>791.5921800000001</v>
      </c>
      <c r="E64" s="183">
        <f t="shared" ref="E64" si="13">$H5*E49</f>
        <v>-50.463059999999999</v>
      </c>
      <c r="F64" s="183">
        <f t="shared" si="11"/>
        <v>-22.84646</v>
      </c>
      <c r="G64" s="183">
        <f t="shared" si="11"/>
        <v>0</v>
      </c>
      <c r="H64" s="183">
        <f t="shared" si="11"/>
        <v>26.110239999999997</v>
      </c>
      <c r="I64" s="183">
        <f t="shared" ref="I64:I73" si="14">SUM(C64:H64)</f>
        <v>751.1715200000001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ref="E65" si="15">$H6*E50</f>
        <v>5304.2475200000008</v>
      </c>
      <c r="F65" s="183">
        <f t="shared" si="11"/>
        <v>2574.12012</v>
      </c>
      <c r="G65" s="183">
        <f t="shared" si="11"/>
        <v>0</v>
      </c>
      <c r="H65" s="183">
        <f t="shared" si="11"/>
        <v>-2028.0946399999998</v>
      </c>
      <c r="I65" s="183">
        <f t="shared" si="14"/>
        <v>5850.273000000001</v>
      </c>
    </row>
    <row r="66" spans="1:9">
      <c r="A66" s="199" t="s">
        <v>150</v>
      </c>
      <c r="B66" s="165"/>
      <c r="C66" s="183">
        <f t="shared" si="11"/>
        <v>67.872600000000006</v>
      </c>
      <c r="D66" s="183">
        <f t="shared" si="11"/>
        <v>0</v>
      </c>
      <c r="E66" s="183">
        <f t="shared" ref="E66" si="16">$H7*E51</f>
        <v>-683.75360000000001</v>
      </c>
      <c r="F66" s="183">
        <f t="shared" si="11"/>
        <v>-331.82159999999999</v>
      </c>
      <c r="G66" s="183">
        <f t="shared" si="11"/>
        <v>0</v>
      </c>
      <c r="H66" s="183">
        <f t="shared" si="11"/>
        <v>261.43519999999995</v>
      </c>
      <c r="I66" s="183">
        <f t="shared" si="14"/>
        <v>-686.26739999999995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ref="E67" si="17">$H8*E52</f>
        <v>14213.898399999998</v>
      </c>
      <c r="F67" s="183">
        <f t="shared" si="11"/>
        <v>6491.9247500000001</v>
      </c>
      <c r="G67" s="183">
        <f t="shared" si="11"/>
        <v>0</v>
      </c>
      <c r="H67" s="183">
        <f t="shared" si="11"/>
        <v>-7243.6212999999998</v>
      </c>
      <c r="I67" s="183">
        <f t="shared" si="14"/>
        <v>13462.201849999998</v>
      </c>
    </row>
    <row r="68" spans="1:9">
      <c r="A68" s="199" t="s">
        <v>152</v>
      </c>
      <c r="B68" s="165"/>
      <c r="C68" s="183">
        <f t="shared" si="11"/>
        <v>18.583829999999999</v>
      </c>
      <c r="D68" s="183">
        <f t="shared" si="11"/>
        <v>0</v>
      </c>
      <c r="E68" s="183">
        <f t="shared" ref="E68" si="18">$H9*E53</f>
        <v>-143.16431999999998</v>
      </c>
      <c r="F68" s="183">
        <f t="shared" si="11"/>
        <v>-65.387550000000005</v>
      </c>
      <c r="G68" s="183">
        <f t="shared" si="11"/>
        <v>0</v>
      </c>
      <c r="H68" s="183">
        <f t="shared" si="11"/>
        <v>72.958739999999992</v>
      </c>
      <c r="I68" s="183">
        <f t="shared" si="14"/>
        <v>-117.00929999999998</v>
      </c>
    </row>
    <row r="69" spans="1:9">
      <c r="A69" s="199" t="s">
        <v>153</v>
      </c>
      <c r="B69" s="165"/>
      <c r="C69" s="183">
        <f t="shared" ref="C69:G69" si="19">$H10*C54+$H11*C55</f>
        <v>0</v>
      </c>
      <c r="D69" s="183">
        <f t="shared" si="19"/>
        <v>0</v>
      </c>
      <c r="E69" s="183">
        <f t="shared" ref="E69" si="20">$H10*E54+$H11*E55</f>
        <v>2960.7654299999999</v>
      </c>
      <c r="F69" s="183">
        <f t="shared" si="19"/>
        <v>1377.1001999999999</v>
      </c>
      <c r="G69" s="183">
        <f t="shared" si="19"/>
        <v>0</v>
      </c>
      <c r="H69" s="183">
        <f>$H10*H54+$H11*H55</f>
        <v>-2341.0703400000002</v>
      </c>
      <c r="I69" s="183">
        <f t="shared" si="14"/>
        <v>1996.79529</v>
      </c>
    </row>
    <row r="70" spans="1:9">
      <c r="A70" s="199" t="s">
        <v>209</v>
      </c>
      <c r="B70" s="165"/>
      <c r="C70" s="183">
        <f t="shared" ref="C70:H72" si="21">$H12*C56</f>
        <v>0</v>
      </c>
      <c r="D70" s="183">
        <f t="shared" si="21"/>
        <v>0</v>
      </c>
      <c r="E70" s="183">
        <f t="shared" ref="E70" si="22">$H12*E56</f>
        <v>0</v>
      </c>
      <c r="F70" s="183">
        <f t="shared" si="21"/>
        <v>0</v>
      </c>
      <c r="G70" s="183">
        <f t="shared" si="21"/>
        <v>0</v>
      </c>
      <c r="H70" s="183">
        <f t="shared" si="21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21"/>
        <v>0</v>
      </c>
      <c r="D71" s="183">
        <f t="shared" si="21"/>
        <v>0</v>
      </c>
      <c r="E71" s="183">
        <f t="shared" ref="E71" si="23">$H13*E57</f>
        <v>2182.2867999999999</v>
      </c>
      <c r="F71" s="183">
        <f t="shared" si="21"/>
        <v>953.31475999999998</v>
      </c>
      <c r="G71" s="183">
        <f t="shared" si="21"/>
        <v>0</v>
      </c>
      <c r="H71" s="183">
        <f t="shared" si="21"/>
        <v>-1297.88636</v>
      </c>
      <c r="I71" s="183">
        <f t="shared" si="14"/>
        <v>1837.7152000000001</v>
      </c>
    </row>
    <row r="72" spans="1:9">
      <c r="A72" s="199" t="s">
        <v>155</v>
      </c>
      <c r="B72" s="165"/>
      <c r="C72" s="183">
        <f t="shared" si="21"/>
        <v>-30.617190000000001</v>
      </c>
      <c r="D72" s="183">
        <f t="shared" si="21"/>
        <v>0</v>
      </c>
      <c r="E72" s="183">
        <f t="shared" ref="E72" si="24">$H14*E58</f>
        <v>215.45429999999999</v>
      </c>
      <c r="F72" s="183">
        <f t="shared" si="21"/>
        <v>94.119510000000005</v>
      </c>
      <c r="G72" s="183">
        <f t="shared" si="21"/>
        <v>0</v>
      </c>
      <c r="H72" s="183">
        <f t="shared" si="21"/>
        <v>-128.13861</v>
      </c>
      <c r="I72" s="183">
        <f t="shared" si="14"/>
        <v>150.81800999999999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1693.4802300000001</v>
      </c>
      <c r="D74" s="198">
        <f t="shared" ref="D74:I74" si="25">SUM(D63:D73)</f>
        <v>791.5921800000001</v>
      </c>
      <c r="E74" s="198">
        <f t="shared" si="25"/>
        <v>11858.407159999997</v>
      </c>
      <c r="F74" s="198">
        <f t="shared" si="25"/>
        <v>5573.913520000001</v>
      </c>
      <c r="G74" s="198">
        <f t="shared" si="25"/>
        <v>0</v>
      </c>
      <c r="H74" s="198">
        <f t="shared" si="25"/>
        <v>-6396.4668299999994</v>
      </c>
      <c r="I74" s="198">
        <f t="shared" si="25"/>
        <v>13520.92626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1637.6409900000001</v>
      </c>
      <c r="D76" s="183">
        <f t="shared" ref="D76:I76" si="26">D63+D64</f>
        <v>791.5921800000001</v>
      </c>
      <c r="E76" s="183">
        <f t="shared" si="26"/>
        <v>-12191.327370000001</v>
      </c>
      <c r="F76" s="183">
        <f t="shared" si="26"/>
        <v>-5519.4566699999996</v>
      </c>
      <c r="G76" s="183">
        <f t="shared" si="26"/>
        <v>0</v>
      </c>
      <c r="H76" s="183">
        <f t="shared" si="26"/>
        <v>6307.9504799999995</v>
      </c>
      <c r="I76" s="183">
        <f t="shared" si="26"/>
        <v>-8973.6003900000014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55.839240000000011</v>
      </c>
      <c r="D78" s="194">
        <f t="shared" ref="D78:I78" si="27">SUM(D65:D68,D70:D72)</f>
        <v>0</v>
      </c>
      <c r="E78" s="194">
        <f t="shared" si="27"/>
        <v>21088.969099999998</v>
      </c>
      <c r="F78" s="194">
        <f t="shared" si="27"/>
        <v>9716.2699900000007</v>
      </c>
      <c r="G78" s="194">
        <f t="shared" si="27"/>
        <v>0</v>
      </c>
      <c r="H78" s="194">
        <f t="shared" si="27"/>
        <v>-10363.346970000001</v>
      </c>
      <c r="I78" s="194">
        <f t="shared" si="27"/>
        <v>20497.731359999994</v>
      </c>
    </row>
  </sheetData>
  <mergeCells count="4">
    <mergeCell ref="A1:I1"/>
    <mergeCell ref="E59:E60"/>
    <mergeCell ref="F59:F60"/>
    <mergeCell ref="I59:I60"/>
  </mergeCells>
  <printOptions horizontalCentered="1"/>
  <pageMargins left="0.45" right="0.45" top="0.5" bottom="0.5" header="0.3" footer="0.3"/>
  <pageSetup scale="85" orientation="landscape" r:id="rId1"/>
  <headerFooter>
    <oddFooter>&amp;L&amp;F / &amp;A&amp;RPage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A1:I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15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v>208926</v>
      </c>
      <c r="D4" s="165"/>
      <c r="E4" s="202">
        <v>174717336</v>
      </c>
      <c r="F4" s="202">
        <v>-112966657</v>
      </c>
      <c r="G4" s="202">
        <v>94459148</v>
      </c>
      <c r="H4" s="166">
        <f>SUM(F4:G4)</f>
        <v>-18507509</v>
      </c>
      <c r="I4" s="174">
        <f>E4+H4</f>
        <v>156209827</v>
      </c>
    </row>
    <row r="5" spans="1:9">
      <c r="A5" s="199" t="s">
        <v>207</v>
      </c>
      <c r="B5" s="167"/>
      <c r="C5" s="173">
        <v>479</v>
      </c>
      <c r="D5" s="165"/>
      <c r="E5" s="202">
        <v>484325</v>
      </c>
      <c r="F5" s="202">
        <v>-278701</v>
      </c>
      <c r="G5" s="202">
        <v>249306</v>
      </c>
      <c r="H5" s="166">
        <f t="shared" ref="H5:H17" si="0">SUM(F5:G5)</f>
        <v>-29395</v>
      </c>
      <c r="I5" s="174">
        <f t="shared" ref="I5:I17" si="1">E5+H5</f>
        <v>454930</v>
      </c>
    </row>
    <row r="6" spans="1:9">
      <c r="A6" s="199" t="s">
        <v>149</v>
      </c>
      <c r="B6" s="167"/>
      <c r="C6" s="173">
        <v>22180</v>
      </c>
      <c r="D6" s="165"/>
      <c r="E6" s="202">
        <v>42587500</v>
      </c>
      <c r="F6" s="202">
        <v>-26352693</v>
      </c>
      <c r="G6" s="202">
        <v>22936121</v>
      </c>
      <c r="H6" s="166">
        <f t="shared" si="0"/>
        <v>-3416572</v>
      </c>
      <c r="I6" s="174">
        <f t="shared" si="1"/>
        <v>39170928</v>
      </c>
    </row>
    <row r="7" spans="1:9">
      <c r="A7" s="199" t="s">
        <v>150</v>
      </c>
      <c r="B7" s="167"/>
      <c r="C7" s="173">
        <v>9008</v>
      </c>
      <c r="D7" s="165"/>
      <c r="E7" s="202">
        <v>4539806</v>
      </c>
      <c r="F7" s="202">
        <v>-2879907</v>
      </c>
      <c r="G7" s="202">
        <v>2465356</v>
      </c>
      <c r="H7" s="166">
        <f t="shared" si="0"/>
        <v>-414551</v>
      </c>
      <c r="I7" s="174">
        <f t="shared" si="1"/>
        <v>4125255</v>
      </c>
    </row>
    <row r="8" spans="1:9">
      <c r="A8" s="199" t="s">
        <v>151</v>
      </c>
      <c r="B8" s="167"/>
      <c r="C8" s="173">
        <v>1859</v>
      </c>
      <c r="D8" s="165"/>
      <c r="E8" s="202">
        <v>110565010</v>
      </c>
      <c r="F8" s="202">
        <v>-59456135</v>
      </c>
      <c r="G8" s="202">
        <v>59445552</v>
      </c>
      <c r="H8" s="166">
        <f t="shared" si="0"/>
        <v>-10583</v>
      </c>
      <c r="I8" s="174">
        <f t="shared" si="1"/>
        <v>110554427</v>
      </c>
    </row>
    <row r="9" spans="1:9">
      <c r="A9" s="199" t="s">
        <v>152</v>
      </c>
      <c r="B9" s="167"/>
      <c r="C9" s="173">
        <v>51</v>
      </c>
      <c r="D9" s="165"/>
      <c r="E9" s="202">
        <v>2416680</v>
      </c>
      <c r="F9" s="202">
        <v>-1424470</v>
      </c>
      <c r="G9" s="202">
        <v>1301930</v>
      </c>
      <c r="H9" s="166">
        <f t="shared" si="0"/>
        <v>-122540</v>
      </c>
      <c r="I9" s="174">
        <f t="shared" si="1"/>
        <v>2294140</v>
      </c>
    </row>
    <row r="10" spans="1:9">
      <c r="A10" s="199" t="s">
        <v>153</v>
      </c>
      <c r="B10" s="167"/>
      <c r="C10" s="173">
        <v>19</v>
      </c>
      <c r="D10" s="165"/>
      <c r="E10" s="202">
        <f>81644231-E11</f>
        <v>11267421</v>
      </c>
      <c r="F10" s="202">
        <v>0</v>
      </c>
      <c r="G10" s="202">
        <v>952096</v>
      </c>
      <c r="H10" s="166">
        <f t="shared" si="0"/>
        <v>952096</v>
      </c>
      <c r="I10" s="174">
        <f t="shared" si="1"/>
        <v>12219517</v>
      </c>
    </row>
    <row r="11" spans="1:9">
      <c r="A11" s="199" t="s">
        <v>208</v>
      </c>
      <c r="B11" s="167"/>
      <c r="C11" s="173"/>
      <c r="D11" s="165"/>
      <c r="E11" s="202">
        <v>70376810</v>
      </c>
      <c r="F11" s="202">
        <v>0</v>
      </c>
      <c r="G11" s="202">
        <v>0</v>
      </c>
      <c r="H11" s="166">
        <f t="shared" si="0"/>
        <v>0</v>
      </c>
      <c r="I11" s="174">
        <f t="shared" si="1"/>
        <v>70376810</v>
      </c>
    </row>
    <row r="12" spans="1:9">
      <c r="A12" s="199" t="s">
        <v>209</v>
      </c>
      <c r="B12" s="167"/>
      <c r="C12" s="173">
        <v>31</v>
      </c>
      <c r="D12" s="165"/>
      <c r="E12" s="202">
        <v>970700</v>
      </c>
      <c r="F12" s="202">
        <v>0</v>
      </c>
      <c r="G12" s="202">
        <v>0</v>
      </c>
      <c r="H12" s="166">
        <f t="shared" si="0"/>
        <v>0</v>
      </c>
      <c r="I12" s="174">
        <f t="shared" si="1"/>
        <v>970700</v>
      </c>
    </row>
    <row r="13" spans="1:9">
      <c r="A13" s="199" t="s">
        <v>154</v>
      </c>
      <c r="B13" s="167"/>
      <c r="C13" s="173">
        <v>1199</v>
      </c>
      <c r="D13" s="165"/>
      <c r="E13" s="202">
        <v>4395858</v>
      </c>
      <c r="F13" s="202">
        <v>-2012838</v>
      </c>
      <c r="G13" s="202">
        <v>2354554</v>
      </c>
      <c r="H13" s="166">
        <f t="shared" si="0"/>
        <v>341716</v>
      </c>
      <c r="I13" s="174">
        <f t="shared" si="1"/>
        <v>4737574</v>
      </c>
    </row>
    <row r="14" spans="1:9">
      <c r="A14" s="199" t="s">
        <v>155</v>
      </c>
      <c r="B14" s="167"/>
      <c r="C14" s="173">
        <v>1169</v>
      </c>
      <c r="D14" s="165"/>
      <c r="E14" s="202">
        <v>302353</v>
      </c>
      <c r="F14" s="202">
        <v>-123867</v>
      </c>
      <c r="G14" s="202">
        <v>110803</v>
      </c>
      <c r="H14" s="166">
        <f t="shared" si="0"/>
        <v>-13064</v>
      </c>
      <c r="I14" s="174">
        <f t="shared" si="1"/>
        <v>289289</v>
      </c>
    </row>
    <row r="15" spans="1:9">
      <c r="A15" s="199" t="s">
        <v>210</v>
      </c>
      <c r="B15" s="167"/>
      <c r="C15" s="173">
        <v>410</v>
      </c>
      <c r="D15" s="165"/>
      <c r="E15" s="202">
        <v>1202248</v>
      </c>
      <c r="F15" s="202"/>
      <c r="G15" s="202"/>
      <c r="H15" s="166"/>
      <c r="I15" s="174">
        <f t="shared" si="1"/>
        <v>1202248</v>
      </c>
    </row>
    <row r="16" spans="1:9">
      <c r="A16" s="199" t="s">
        <v>211</v>
      </c>
      <c r="B16" s="167"/>
      <c r="C16" s="173"/>
      <c r="D16" s="165"/>
      <c r="E16" s="202">
        <v>466264</v>
      </c>
      <c r="F16" s="202"/>
      <c r="G16" s="202"/>
      <c r="H16" s="166">
        <f t="shared" si="0"/>
        <v>0</v>
      </c>
      <c r="I16" s="174">
        <f t="shared" si="1"/>
        <v>466264</v>
      </c>
    </row>
    <row r="17" spans="1:9">
      <c r="A17" s="199" t="s">
        <v>212</v>
      </c>
      <c r="B17" s="167"/>
      <c r="C17" s="173"/>
      <c r="D17" s="165"/>
      <c r="E17" s="202">
        <v>248487</v>
      </c>
      <c r="F17" s="202"/>
      <c r="G17" s="202"/>
      <c r="H17" s="166">
        <f t="shared" si="0"/>
        <v>0</v>
      </c>
      <c r="I17" s="174">
        <f t="shared" si="1"/>
        <v>248487</v>
      </c>
    </row>
    <row r="18" spans="1:9">
      <c r="A18" s="167"/>
      <c r="B18" s="167"/>
      <c r="C18" s="175">
        <f>SUM(C4:C17)</f>
        <v>245331</v>
      </c>
      <c r="D18" s="165"/>
      <c r="E18" s="175">
        <f t="shared" ref="E18:I18" si="2">SUM(E4:E17)</f>
        <v>424540798</v>
      </c>
      <c r="F18" s="175">
        <f t="shared" si="2"/>
        <v>-205495268</v>
      </c>
      <c r="G18" s="175">
        <f t="shared" si="2"/>
        <v>184274866</v>
      </c>
      <c r="H18" s="175">
        <f t="shared" si="2"/>
        <v>-21220402</v>
      </c>
      <c r="I18" s="175">
        <f t="shared" si="2"/>
        <v>403320396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209405</v>
      </c>
      <c r="D20" s="165"/>
      <c r="E20" s="177">
        <f>E4+E5</f>
        <v>175201661</v>
      </c>
      <c r="F20" s="177">
        <f t="shared" ref="F20:I20" si="3">F4+F5</f>
        <v>-113245358</v>
      </c>
      <c r="G20" s="177">
        <f t="shared" si="3"/>
        <v>94708454</v>
      </c>
      <c r="H20" s="177">
        <f t="shared" si="3"/>
        <v>-18536904</v>
      </c>
      <c r="I20" s="176">
        <f t="shared" si="3"/>
        <v>156664757</v>
      </c>
    </row>
    <row r="21" spans="1:9" ht="6" customHeight="1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35497</v>
      </c>
      <c r="D22" s="165"/>
      <c r="E22" s="196">
        <f>SUM(E6:E9,E12:E14)</f>
        <v>165777907</v>
      </c>
      <c r="F22" s="196">
        <f t="shared" ref="F22:H22" si="4">SUM(F6:F9,F12:F14)</f>
        <v>-92249910</v>
      </c>
      <c r="G22" s="196">
        <f t="shared" si="4"/>
        <v>88614316</v>
      </c>
      <c r="H22" s="196">
        <f t="shared" si="4"/>
        <v>-3635594</v>
      </c>
      <c r="I22" s="195">
        <f>SUM(I6:I9,I12:I14)</f>
        <v>162142313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40.200000000000003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f>1820028.5+59.5</f>
        <v>1820088</v>
      </c>
      <c r="D26" s="200">
        <v>15489110.67</v>
      </c>
      <c r="E26" s="203">
        <v>-10349245</v>
      </c>
      <c r="F26" s="203">
        <v>8670084</v>
      </c>
      <c r="G26" s="191">
        <f>SUM(D26:F26)</f>
        <v>13809949.67</v>
      </c>
      <c r="H26" s="191">
        <f>-I63</f>
        <v>45612.421470000001</v>
      </c>
      <c r="I26" s="191">
        <f>SUM(G26:H26)</f>
        <v>13855562.091469999</v>
      </c>
    </row>
    <row r="27" spans="1:9">
      <c r="A27" s="199" t="s">
        <v>207</v>
      </c>
      <c r="B27" s="167"/>
      <c r="C27" s="200">
        <v>4139.5</v>
      </c>
      <c r="D27" s="200">
        <v>42299.24</v>
      </c>
      <c r="E27" s="203">
        <v>-16236</v>
      </c>
      <c r="F27" s="203">
        <v>14688</v>
      </c>
      <c r="G27" s="191">
        <f t="shared" ref="G27:G36" si="5">SUM(D27:F27)</f>
        <v>40751.24</v>
      </c>
      <c r="H27" s="191">
        <f t="shared" ref="H27:H35" si="6">-I64</f>
        <v>-840.48026000000004</v>
      </c>
      <c r="I27" s="191">
        <f t="shared" ref="I27:I36" si="7">SUM(G27:H27)</f>
        <v>39910.759740000001</v>
      </c>
    </row>
    <row r="28" spans="1:9">
      <c r="A28" s="199" t="s">
        <v>149</v>
      </c>
      <c r="B28" s="167"/>
      <c r="C28" s="200">
        <f>2888.16+406386</f>
        <v>409274.16</v>
      </c>
      <c r="D28" s="200">
        <v>5031564.5999999996</v>
      </c>
      <c r="E28" s="203">
        <v>-3058258</v>
      </c>
      <c r="F28" s="203">
        <v>2696532</v>
      </c>
      <c r="G28" s="191">
        <f t="shared" si="5"/>
        <v>4669838.5999999996</v>
      </c>
      <c r="H28" s="191">
        <f t="shared" si="6"/>
        <v>14729.673809999997</v>
      </c>
      <c r="I28" s="191">
        <f t="shared" si="7"/>
        <v>4684568.2738099992</v>
      </c>
    </row>
    <row r="29" spans="1:9">
      <c r="A29" s="199" t="s">
        <v>150</v>
      </c>
      <c r="B29" s="167"/>
      <c r="C29" s="200">
        <f>453.35+163422+18</f>
        <v>163893.35</v>
      </c>
      <c r="D29" s="200">
        <v>663268.30000000005</v>
      </c>
      <c r="E29" s="203">
        <v>-407635</v>
      </c>
      <c r="F29" s="203">
        <v>363620</v>
      </c>
      <c r="G29" s="191">
        <f t="shared" si="5"/>
        <v>619253.30000000005</v>
      </c>
      <c r="H29" s="191">
        <f t="shared" si="6"/>
        <v>1621.3084200000001</v>
      </c>
      <c r="I29" s="191">
        <f t="shared" si="7"/>
        <v>620874.60842000006</v>
      </c>
    </row>
    <row r="30" spans="1:9">
      <c r="A30" s="199" t="s">
        <v>151</v>
      </c>
      <c r="B30" s="167"/>
      <c r="C30" s="200">
        <v>932633.32</v>
      </c>
      <c r="D30" s="200">
        <v>10037364.050000001</v>
      </c>
      <c r="E30" s="203">
        <v>-4780777</v>
      </c>
      <c r="F30" s="203">
        <v>4786800</v>
      </c>
      <c r="G30" s="191">
        <f t="shared" si="5"/>
        <v>10043387.050000001</v>
      </c>
      <c r="H30" s="191">
        <f t="shared" si="6"/>
        <v>7155.5847100000146</v>
      </c>
      <c r="I30" s="191">
        <f t="shared" si="7"/>
        <v>10050542.634710001</v>
      </c>
    </row>
    <row r="31" spans="1:9">
      <c r="A31" s="199" t="s">
        <v>152</v>
      </c>
      <c r="B31" s="167"/>
      <c r="C31" s="200">
        <v>25500</v>
      </c>
      <c r="D31" s="200">
        <v>218063.28</v>
      </c>
      <c r="E31" s="203">
        <v>-115990</v>
      </c>
      <c r="F31" s="203">
        <v>108351</v>
      </c>
      <c r="G31" s="191">
        <f t="shared" si="5"/>
        <v>210424.28</v>
      </c>
      <c r="H31" s="191">
        <f t="shared" si="6"/>
        <v>379.25440000000071</v>
      </c>
      <c r="I31" s="191">
        <f t="shared" si="7"/>
        <v>210803.5344</v>
      </c>
    </row>
    <row r="32" spans="1:9">
      <c r="A32" s="199" t="s">
        <v>153</v>
      </c>
      <c r="B32" s="167"/>
      <c r="C32" s="200">
        <v>840000</v>
      </c>
      <c r="D32" s="200">
        <f>4792172.61-88811.9</f>
        <v>4703360.71</v>
      </c>
      <c r="E32" s="203">
        <v>0</v>
      </c>
      <c r="F32" s="203">
        <v>71019</v>
      </c>
      <c r="G32" s="191">
        <f t="shared" si="5"/>
        <v>4774379.71</v>
      </c>
      <c r="H32" s="191">
        <f t="shared" si="6"/>
        <v>-828.32351999999969</v>
      </c>
      <c r="I32" s="191">
        <f t="shared" si="7"/>
        <v>4773551.3864799999</v>
      </c>
    </row>
    <row r="33" spans="1:9">
      <c r="A33" s="199" t="s">
        <v>209</v>
      </c>
      <c r="B33" s="167"/>
      <c r="C33" s="200">
        <v>558</v>
      </c>
      <c r="D33" s="200">
        <v>66819.520000000004</v>
      </c>
      <c r="E33" s="203">
        <v>0</v>
      </c>
      <c r="F33" s="203">
        <v>0</v>
      </c>
      <c r="G33" s="191">
        <f t="shared" si="5"/>
        <v>66819.520000000004</v>
      </c>
      <c r="H33" s="191">
        <f t="shared" si="6"/>
        <v>0</v>
      </c>
      <c r="I33" s="191">
        <f t="shared" si="7"/>
        <v>66819.520000000004</v>
      </c>
    </row>
    <row r="34" spans="1:9">
      <c r="A34" s="199" t="s">
        <v>154</v>
      </c>
      <c r="B34" s="167"/>
      <c r="C34" s="200">
        <v>21708</v>
      </c>
      <c r="D34" s="200">
        <v>387060.59</v>
      </c>
      <c r="E34" s="203">
        <v>-180232</v>
      </c>
      <c r="F34" s="203">
        <v>210883</v>
      </c>
      <c r="G34" s="191">
        <f t="shared" si="5"/>
        <v>417711.59</v>
      </c>
      <c r="H34" s="191">
        <f t="shared" si="6"/>
        <v>-385.7185600000002</v>
      </c>
      <c r="I34" s="191">
        <f t="shared" si="7"/>
        <v>417325.87144000002</v>
      </c>
    </row>
    <row r="35" spans="1:9">
      <c r="A35" s="199" t="s">
        <v>155</v>
      </c>
      <c r="B35" s="167"/>
      <c r="C35" s="200">
        <v>21474</v>
      </c>
      <c r="D35" s="200">
        <v>47609.45</v>
      </c>
      <c r="E35" s="203">
        <v>-20839</v>
      </c>
      <c r="F35" s="203">
        <v>19810</v>
      </c>
      <c r="G35" s="191">
        <f t="shared" si="5"/>
        <v>46580.45</v>
      </c>
      <c r="H35" s="191">
        <f t="shared" si="6"/>
        <v>27.284480000000013</v>
      </c>
      <c r="I35" s="191">
        <f t="shared" si="7"/>
        <v>46607.734479999999</v>
      </c>
    </row>
    <row r="36" spans="1:9">
      <c r="A36" s="199" t="s">
        <v>221</v>
      </c>
      <c r="B36" s="167"/>
      <c r="C36" s="191"/>
      <c r="D36" s="200">
        <v>573471.57999999996</v>
      </c>
      <c r="E36" s="200"/>
      <c r="F36" s="200"/>
      <c r="G36" s="191">
        <f t="shared" si="5"/>
        <v>573471.57999999996</v>
      </c>
      <c r="H36" s="191"/>
      <c r="I36" s="191">
        <f t="shared" si="7"/>
        <v>573471.57999999996</v>
      </c>
    </row>
    <row r="37" spans="1:9">
      <c r="A37" s="199" t="s">
        <v>222</v>
      </c>
      <c r="B37" s="167"/>
      <c r="C37" s="186"/>
      <c r="D37" s="200">
        <v>810853.59</v>
      </c>
      <c r="E37" s="200"/>
      <c r="F37" s="200"/>
      <c r="G37" s="191"/>
      <c r="H37" s="191"/>
      <c r="I37" s="191"/>
    </row>
    <row r="38" spans="1:9">
      <c r="A38" s="199" t="s">
        <v>223</v>
      </c>
      <c r="B38" s="167"/>
      <c r="C38" s="186"/>
      <c r="D38" s="200">
        <v>1485038.99</v>
      </c>
      <c r="E38" s="200"/>
      <c r="F38" s="200"/>
      <c r="G38" s="191"/>
      <c r="H38" s="191"/>
      <c r="I38" s="191"/>
    </row>
    <row r="39" spans="1:9">
      <c r="A39" s="167"/>
      <c r="B39" s="167"/>
      <c r="C39" s="181">
        <f>SUM(C26:C38)</f>
        <v>4239268.33</v>
      </c>
      <c r="D39" s="181">
        <f t="shared" ref="D39:I39" si="8">SUM(D26:D38)</f>
        <v>39555884.570000015</v>
      </c>
      <c r="E39" s="181">
        <f t="shared" si="8"/>
        <v>-18929212</v>
      </c>
      <c r="F39" s="181">
        <f t="shared" si="8"/>
        <v>16941787</v>
      </c>
      <c r="G39" s="181">
        <f t="shared" si="8"/>
        <v>35272566.99000001</v>
      </c>
      <c r="H39" s="181">
        <f t="shared" si="8"/>
        <v>67471.004950000017</v>
      </c>
      <c r="I39" s="181">
        <f t="shared" si="8"/>
        <v>35340037.994950004</v>
      </c>
    </row>
    <row r="40" spans="1:9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9">
      <c r="A41" s="167" t="s">
        <v>19</v>
      </c>
      <c r="B41" s="167"/>
      <c r="C41" s="184">
        <f>C26+C27</f>
        <v>1824227.5</v>
      </c>
      <c r="D41" s="183">
        <f t="shared" ref="D41:I41" si="9">D26+D27</f>
        <v>15531409.91</v>
      </c>
      <c r="E41" s="183">
        <f t="shared" si="9"/>
        <v>-10365481</v>
      </c>
      <c r="F41" s="183">
        <f t="shared" si="9"/>
        <v>8684772</v>
      </c>
      <c r="G41" s="183">
        <f t="shared" si="9"/>
        <v>13850700.91</v>
      </c>
      <c r="H41" s="183">
        <f t="shared" si="9"/>
        <v>44771.941210000005</v>
      </c>
      <c r="I41" s="184">
        <f t="shared" si="9"/>
        <v>13895472.85121</v>
      </c>
    </row>
    <row r="42" spans="1:9" ht="6" customHeight="1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9" ht="15" thickBot="1">
      <c r="A43" s="167" t="s">
        <v>213</v>
      </c>
      <c r="B43" s="167"/>
      <c r="C43" s="193">
        <f>SUM(C28:C31,C33:C35)</f>
        <v>1575040.83</v>
      </c>
      <c r="D43" s="194">
        <f t="shared" ref="D43:I43" si="10">SUM(D28:D31,D33:D35)</f>
        <v>16451749.789999997</v>
      </c>
      <c r="E43" s="194">
        <f t="shared" si="10"/>
        <v>-8563731</v>
      </c>
      <c r="F43" s="194">
        <f t="shared" si="10"/>
        <v>8185996</v>
      </c>
      <c r="G43" s="194">
        <f t="shared" si="10"/>
        <v>16074014.789999997</v>
      </c>
      <c r="H43" s="194">
        <f t="shared" si="10"/>
        <v>23527.38726000001</v>
      </c>
      <c r="I43" s="193">
        <f t="shared" si="10"/>
        <v>16097542.17726</v>
      </c>
    </row>
    <row r="44" spans="1:9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9">
      <c r="A45" s="172"/>
      <c r="B45" s="165"/>
      <c r="C45" s="165"/>
      <c r="D45" s="167"/>
      <c r="E45" s="105" t="s">
        <v>245</v>
      </c>
      <c r="F45" s="165"/>
      <c r="G45" s="165"/>
      <c r="H45" s="165"/>
      <c r="I45" s="105" t="s">
        <v>243</v>
      </c>
    </row>
    <row r="46" spans="1:9">
      <c r="A46" s="165"/>
      <c r="B46" s="165"/>
      <c r="C46" s="188">
        <v>42309</v>
      </c>
      <c r="D46" s="188">
        <v>42278</v>
      </c>
      <c r="E46" s="188">
        <v>42468</v>
      </c>
      <c r="F46" s="164">
        <v>42380</v>
      </c>
      <c r="G46" s="164">
        <v>42380</v>
      </c>
      <c r="H46" s="192">
        <v>42005</v>
      </c>
      <c r="I46" s="188">
        <v>42217</v>
      </c>
    </row>
    <row r="47" spans="1:9" ht="27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227</v>
      </c>
    </row>
    <row r="48" spans="1:9">
      <c r="A48" s="199" t="s">
        <v>148</v>
      </c>
      <c r="B48" s="167"/>
      <c r="C48" s="187">
        <v>-2.7E-4</v>
      </c>
      <c r="D48" s="187"/>
      <c r="E48" s="187">
        <v>2.0100000000000001E-3</v>
      </c>
      <c r="F48" s="187">
        <v>9.1E-4</v>
      </c>
      <c r="G48" s="187">
        <v>0</v>
      </c>
      <c r="H48" s="187">
        <v>-1.0399999999999999E-3</v>
      </c>
      <c r="I48" s="187">
        <v>2.15E-3</v>
      </c>
    </row>
    <row r="49" spans="1:9">
      <c r="A49" s="199" t="s">
        <v>207</v>
      </c>
      <c r="B49" s="167"/>
      <c r="C49" s="187">
        <v>-2.7E-4</v>
      </c>
      <c r="D49" s="187">
        <v>-3.1530000000000002E-2</v>
      </c>
      <c r="E49" s="187">
        <v>2.0100000000000001E-3</v>
      </c>
      <c r="F49" s="187">
        <v>9.1E-4</v>
      </c>
      <c r="G49" s="187">
        <v>0</v>
      </c>
      <c r="H49" s="187">
        <v>-1.0399999999999999E-3</v>
      </c>
      <c r="I49" s="187">
        <v>2.15E-3</v>
      </c>
    </row>
    <row r="50" spans="1:9">
      <c r="A50" s="199" t="s">
        <v>149</v>
      </c>
      <c r="B50" s="167"/>
      <c r="C50" s="187">
        <v>0</v>
      </c>
      <c r="D50" s="187"/>
      <c r="E50" s="187">
        <v>2.7200000000000002E-3</v>
      </c>
      <c r="F50" s="187">
        <v>1.32E-3</v>
      </c>
      <c r="G50" s="187">
        <v>0</v>
      </c>
      <c r="H50" s="187">
        <v>-1.0399999999999999E-3</v>
      </c>
      <c r="I50" s="187">
        <v>2.8900000000000002E-3</v>
      </c>
    </row>
    <row r="51" spans="1:9">
      <c r="A51" s="199" t="s">
        <v>150</v>
      </c>
      <c r="B51" s="167"/>
      <c r="C51" s="187">
        <v>-2.7E-4</v>
      </c>
      <c r="D51" s="187"/>
      <c r="E51" s="187">
        <v>2.7200000000000002E-3</v>
      </c>
      <c r="F51" s="187">
        <v>1.32E-3</v>
      </c>
      <c r="G51" s="187">
        <v>0</v>
      </c>
      <c r="H51" s="187">
        <v>-1.0399999999999999E-3</v>
      </c>
      <c r="I51" s="187">
        <v>2.8900000000000002E-3</v>
      </c>
    </row>
    <row r="52" spans="1:9">
      <c r="A52" s="199" t="s">
        <v>151</v>
      </c>
      <c r="B52" s="167"/>
      <c r="C52" s="187">
        <v>0</v>
      </c>
      <c r="D52" s="187"/>
      <c r="E52" s="187">
        <v>2.0799999999999998E-3</v>
      </c>
      <c r="F52" s="187">
        <v>9.5E-4</v>
      </c>
      <c r="G52" s="187">
        <v>0</v>
      </c>
      <c r="H52" s="187">
        <v>-1.06E-3</v>
      </c>
      <c r="I52" s="187">
        <v>2.2000000000000001E-3</v>
      </c>
    </row>
    <row r="53" spans="1:9">
      <c r="A53" s="199" t="s">
        <v>152</v>
      </c>
      <c r="B53" s="167"/>
      <c r="C53" s="187">
        <v>-2.7E-4</v>
      </c>
      <c r="D53" s="187"/>
      <c r="E53" s="187">
        <v>2.0799999999999998E-3</v>
      </c>
      <c r="F53" s="187">
        <v>9.5E-4</v>
      </c>
      <c r="G53" s="187">
        <v>0</v>
      </c>
      <c r="H53" s="187">
        <v>-1.06E-3</v>
      </c>
      <c r="I53" s="187">
        <v>2.2000000000000001E-3</v>
      </c>
    </row>
    <row r="54" spans="1:9">
      <c r="A54" s="199" t="s">
        <v>153</v>
      </c>
      <c r="B54" s="167"/>
      <c r="C54" s="187">
        <v>0</v>
      </c>
      <c r="D54" s="187"/>
      <c r="E54" s="187">
        <v>1.2899999999999999E-3</v>
      </c>
      <c r="F54" s="187">
        <v>5.9999999999999995E-4</v>
      </c>
      <c r="G54" s="187">
        <v>0</v>
      </c>
      <c r="H54" s="187">
        <v>-1.0200000000000001E-3</v>
      </c>
      <c r="I54" s="187">
        <v>1.3699999999999999E-3</v>
      </c>
    </row>
    <row r="55" spans="1:9">
      <c r="A55" s="199" t="s">
        <v>208</v>
      </c>
      <c r="B55" s="167"/>
      <c r="C55" s="187">
        <v>0</v>
      </c>
      <c r="D55" s="187"/>
      <c r="E55" s="187">
        <v>1.2899999999999999E-3</v>
      </c>
      <c r="F55" s="187">
        <v>0</v>
      </c>
      <c r="G55" s="187">
        <v>0</v>
      </c>
      <c r="H55" s="187">
        <v>-1.0200000000000001E-3</v>
      </c>
      <c r="I55" s="187">
        <v>1.3699999999999999E-3</v>
      </c>
    </row>
    <row r="56" spans="1:9">
      <c r="A56" s="199" t="s">
        <v>209</v>
      </c>
      <c r="B56" s="167"/>
      <c r="C56" s="187">
        <v>0</v>
      </c>
      <c r="D56" s="187"/>
      <c r="E56" s="187">
        <v>1.9E-3</v>
      </c>
      <c r="F56" s="187">
        <v>8.3000000000000001E-4</v>
      </c>
      <c r="G56" s="187">
        <v>0</v>
      </c>
      <c r="H56" s="187">
        <v>-1.1299999999999999E-3</v>
      </c>
      <c r="I56" s="187">
        <v>1.98E-3</v>
      </c>
    </row>
    <row r="57" spans="1:9">
      <c r="A57" s="199" t="s">
        <v>154</v>
      </c>
      <c r="B57" s="167"/>
      <c r="C57" s="187">
        <v>0</v>
      </c>
      <c r="D57" s="187"/>
      <c r="E57" s="187">
        <v>1.9E-3</v>
      </c>
      <c r="F57" s="187">
        <v>8.3000000000000001E-4</v>
      </c>
      <c r="G57" s="187">
        <v>0</v>
      </c>
      <c r="H57" s="187">
        <v>-1.1299999999999999E-3</v>
      </c>
      <c r="I57" s="187">
        <v>1.98E-3</v>
      </c>
    </row>
    <row r="58" spans="1:9">
      <c r="A58" s="199" t="s">
        <v>155</v>
      </c>
      <c r="B58" s="167"/>
      <c r="C58" s="187">
        <v>-2.7E-4</v>
      </c>
      <c r="D58" s="187"/>
      <c r="E58" s="187">
        <v>1.9E-3</v>
      </c>
      <c r="F58" s="187">
        <v>8.3000000000000001E-4</v>
      </c>
      <c r="G58" s="187">
        <v>0</v>
      </c>
      <c r="H58" s="187">
        <v>-1.1299999999999999E-3</v>
      </c>
      <c r="I58" s="187">
        <v>1.98E-3</v>
      </c>
    </row>
    <row r="59" spans="1:9" ht="14.4" customHeight="1">
      <c r="A59" s="199" t="s">
        <v>221</v>
      </c>
      <c r="B59" s="167"/>
      <c r="C59" s="187"/>
      <c r="D59" s="187"/>
      <c r="E59" s="233" t="s">
        <v>244</v>
      </c>
      <c r="F59" s="233" t="s">
        <v>241</v>
      </c>
      <c r="G59" s="187">
        <v>0</v>
      </c>
      <c r="H59" s="187">
        <v>-1.0499999999999999E-3</v>
      </c>
      <c r="I59" s="233" t="s">
        <v>231</v>
      </c>
    </row>
    <row r="60" spans="1:9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33"/>
    </row>
    <row r="61" spans="1:9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9" ht="27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9">
      <c r="A63" s="199" t="s">
        <v>148</v>
      </c>
      <c r="B63" s="165"/>
      <c r="C63" s="183">
        <f t="shared" ref="C63:H68" si="11">$H4*C48</f>
        <v>4997.0274300000001</v>
      </c>
      <c r="D63" s="183">
        <f t="shared" si="11"/>
        <v>0</v>
      </c>
      <c r="E63" s="204">
        <f>$G4*E48+F4*I48</f>
        <v>-53015.425069999998</v>
      </c>
      <c r="F63" s="183">
        <f>$H4*F48</f>
        <v>-16841.833190000001</v>
      </c>
      <c r="G63" s="183">
        <f t="shared" ref="G63" si="12">$H4*G48</f>
        <v>0</v>
      </c>
      <c r="H63" s="183">
        <f t="shared" si="11"/>
        <v>19247.809359999999</v>
      </c>
      <c r="I63" s="183">
        <f>SUM(C63:H63)</f>
        <v>-45612.421470000001</v>
      </c>
    </row>
    <row r="64" spans="1:9">
      <c r="A64" s="199" t="s">
        <v>207</v>
      </c>
      <c r="B64" s="165"/>
      <c r="C64" s="183">
        <f t="shared" si="11"/>
        <v>7.9366500000000002</v>
      </c>
      <c r="D64" s="183">
        <f t="shared" si="11"/>
        <v>926.82435000000009</v>
      </c>
      <c r="E64" s="204">
        <f t="shared" ref="E64:E68" si="13">$G5*E49+F5*I49</f>
        <v>-98.102089999999919</v>
      </c>
      <c r="F64" s="183">
        <f t="shared" si="11"/>
        <v>-26.74945</v>
      </c>
      <c r="G64" s="183">
        <f t="shared" si="11"/>
        <v>0</v>
      </c>
      <c r="H64" s="183">
        <f t="shared" si="11"/>
        <v>30.570799999999998</v>
      </c>
      <c r="I64" s="183">
        <f t="shared" ref="I64:I73" si="14">SUM(C64:H64)</f>
        <v>840.48026000000004</v>
      </c>
    </row>
    <row r="65" spans="1:9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204">
        <f t="shared" si="13"/>
        <v>-13773.033649999998</v>
      </c>
      <c r="F65" s="183">
        <f t="shared" si="11"/>
        <v>-4509.8750399999999</v>
      </c>
      <c r="G65" s="183">
        <f t="shared" si="11"/>
        <v>0</v>
      </c>
      <c r="H65" s="183">
        <f t="shared" si="11"/>
        <v>3553.2348799999995</v>
      </c>
      <c r="I65" s="183">
        <f t="shared" si="14"/>
        <v>-14729.673809999997</v>
      </c>
    </row>
    <row r="66" spans="1:9">
      <c r="A66" s="199" t="s">
        <v>150</v>
      </c>
      <c r="B66" s="165"/>
      <c r="C66" s="183">
        <f t="shared" si="11"/>
        <v>111.92877</v>
      </c>
      <c r="D66" s="183">
        <f t="shared" si="11"/>
        <v>0</v>
      </c>
      <c r="E66" s="204">
        <f t="shared" si="13"/>
        <v>-1617.16291</v>
      </c>
      <c r="F66" s="183">
        <f t="shared" si="11"/>
        <v>-547.20731999999998</v>
      </c>
      <c r="G66" s="183">
        <f t="shared" si="11"/>
        <v>0</v>
      </c>
      <c r="H66" s="183">
        <f t="shared" si="11"/>
        <v>431.13303999999994</v>
      </c>
      <c r="I66" s="183">
        <f t="shared" si="14"/>
        <v>-1621.3084200000001</v>
      </c>
    </row>
    <row r="67" spans="1:9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204">
        <f t="shared" si="13"/>
        <v>-7156.7488400000148</v>
      </c>
      <c r="F67" s="183">
        <f t="shared" si="11"/>
        <v>-10.053850000000001</v>
      </c>
      <c r="G67" s="183">
        <f t="shared" si="11"/>
        <v>0</v>
      </c>
      <c r="H67" s="183">
        <f t="shared" si="11"/>
        <v>11.217979999999999</v>
      </c>
      <c r="I67" s="183">
        <f t="shared" si="14"/>
        <v>-7155.5847100000146</v>
      </c>
    </row>
    <row r="68" spans="1:9">
      <c r="A68" s="199" t="s">
        <v>152</v>
      </c>
      <c r="B68" s="165"/>
      <c r="C68" s="183">
        <f t="shared" si="11"/>
        <v>33.085799999999999</v>
      </c>
      <c r="D68" s="183">
        <f t="shared" si="11"/>
        <v>0</v>
      </c>
      <c r="E68" s="204">
        <f t="shared" si="13"/>
        <v>-425.81960000000072</v>
      </c>
      <c r="F68" s="183">
        <f t="shared" si="11"/>
        <v>-116.413</v>
      </c>
      <c r="G68" s="183">
        <f t="shared" si="11"/>
        <v>0</v>
      </c>
      <c r="H68" s="183">
        <f t="shared" si="11"/>
        <v>129.89240000000001</v>
      </c>
      <c r="I68" s="183">
        <f t="shared" si="14"/>
        <v>-379.25440000000071</v>
      </c>
    </row>
    <row r="69" spans="1:9">
      <c r="A69" s="199" t="s">
        <v>153</v>
      </c>
      <c r="B69" s="165"/>
      <c r="C69" s="183">
        <f t="shared" ref="C69:G69" si="15">$H10*C54+$H11*C55</f>
        <v>0</v>
      </c>
      <c r="D69" s="183">
        <f t="shared" si="15"/>
        <v>0</v>
      </c>
      <c r="E69" s="204">
        <f>$G10*E54+$G11*E55+F10*I54+F11*I55</f>
        <v>1228.2038399999999</v>
      </c>
      <c r="F69" s="183">
        <f t="shared" si="15"/>
        <v>571.25759999999991</v>
      </c>
      <c r="G69" s="183">
        <f t="shared" si="15"/>
        <v>0</v>
      </c>
      <c r="H69" s="183">
        <f>$H10*H54+$H11*H55</f>
        <v>-971.13792000000012</v>
      </c>
      <c r="I69" s="183">
        <f t="shared" si="14"/>
        <v>828.32351999999969</v>
      </c>
    </row>
    <row r="70" spans="1:9">
      <c r="A70" s="199" t="s">
        <v>209</v>
      </c>
      <c r="B70" s="165"/>
      <c r="C70" s="183">
        <f t="shared" ref="C70:H72" si="16">$H12*C56</f>
        <v>0</v>
      </c>
      <c r="D70" s="183">
        <f t="shared" si="16"/>
        <v>0</v>
      </c>
      <c r="E70" s="204">
        <f>$G12*E56+F12*I56</f>
        <v>0</v>
      </c>
      <c r="F70" s="183">
        <f t="shared" si="16"/>
        <v>0</v>
      </c>
      <c r="G70" s="183">
        <f t="shared" si="16"/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204">
        <f t="shared" ref="E71:E72" si="17">$G13*E57+F13*I57</f>
        <v>488.23336000000018</v>
      </c>
      <c r="F71" s="183">
        <f t="shared" si="16"/>
        <v>283.62428</v>
      </c>
      <c r="G71" s="183">
        <f t="shared" si="16"/>
        <v>0</v>
      </c>
      <c r="H71" s="183">
        <f t="shared" si="16"/>
        <v>-386.13907999999998</v>
      </c>
      <c r="I71" s="183">
        <f t="shared" si="14"/>
        <v>385.7185600000002</v>
      </c>
    </row>
    <row r="72" spans="1:9">
      <c r="A72" s="199" t="s">
        <v>155</v>
      </c>
      <c r="B72" s="165"/>
      <c r="C72" s="183">
        <f t="shared" si="16"/>
        <v>3.5272800000000002</v>
      </c>
      <c r="D72" s="183">
        <f t="shared" si="16"/>
        <v>0</v>
      </c>
      <c r="E72" s="204">
        <f t="shared" si="17"/>
        <v>-34.73096000000001</v>
      </c>
      <c r="F72" s="183">
        <f t="shared" si="16"/>
        <v>-10.843120000000001</v>
      </c>
      <c r="G72" s="183">
        <f t="shared" si="16"/>
        <v>0</v>
      </c>
      <c r="H72" s="183">
        <f t="shared" si="16"/>
        <v>14.762319999999999</v>
      </c>
      <c r="I72" s="183">
        <f t="shared" si="14"/>
        <v>-27.284480000000013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5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5153.5059300000003</v>
      </c>
      <c r="D74" s="198">
        <f t="shared" ref="D74:I74" si="18">SUM(D63:D73)</f>
        <v>926.82435000000009</v>
      </c>
      <c r="E74" s="198">
        <f t="shared" si="18"/>
        <v>-74404.585920000012</v>
      </c>
      <c r="F74" s="198">
        <f t="shared" si="18"/>
        <v>-21208.093090000002</v>
      </c>
      <c r="G74" s="198">
        <f t="shared" si="18"/>
        <v>0</v>
      </c>
      <c r="H74" s="198">
        <f t="shared" si="18"/>
        <v>22061.343780000003</v>
      </c>
      <c r="I74" s="198">
        <f t="shared" si="18"/>
        <v>-67471.004950000017</v>
      </c>
    </row>
    <row r="75" spans="1:9">
      <c r="A75" s="165"/>
      <c r="B75" s="165"/>
      <c r="C75" s="165"/>
      <c r="D75" s="165"/>
      <c r="E75" s="165"/>
      <c r="F75" s="165"/>
      <c r="G75" s="165"/>
      <c r="H75" s="165"/>
      <c r="I75" s="165"/>
    </row>
    <row r="76" spans="1:9">
      <c r="A76" s="167" t="s">
        <v>19</v>
      </c>
      <c r="B76" s="167"/>
      <c r="C76" s="183">
        <f>C63+C64</f>
        <v>5004.9640799999997</v>
      </c>
      <c r="D76" s="183">
        <f t="shared" ref="D76:I76" si="19">D63+D64</f>
        <v>926.82435000000009</v>
      </c>
      <c r="E76" s="183">
        <f t="shared" si="19"/>
        <v>-53113.527159999998</v>
      </c>
      <c r="F76" s="183">
        <f t="shared" si="19"/>
        <v>-16868.582640000001</v>
      </c>
      <c r="G76" s="183">
        <f t="shared" si="19"/>
        <v>0</v>
      </c>
      <c r="H76" s="183">
        <f t="shared" si="19"/>
        <v>19278.380160000001</v>
      </c>
      <c r="I76" s="183">
        <f t="shared" si="19"/>
        <v>-44771.941210000005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148.54184999999998</v>
      </c>
      <c r="D78" s="194">
        <f t="shared" ref="D78:I78" si="20">SUM(D65:D68,D70:D72)</f>
        <v>0</v>
      </c>
      <c r="E78" s="194">
        <f t="shared" si="20"/>
        <v>-22519.262600000016</v>
      </c>
      <c r="F78" s="194">
        <f t="shared" si="20"/>
        <v>-4910.7680500000006</v>
      </c>
      <c r="G78" s="194">
        <f t="shared" si="20"/>
        <v>0</v>
      </c>
      <c r="H78" s="194">
        <f t="shared" si="20"/>
        <v>3754.1015399999997</v>
      </c>
      <c r="I78" s="194">
        <f t="shared" si="20"/>
        <v>-23527.38726000001</v>
      </c>
    </row>
  </sheetData>
  <mergeCells count="4">
    <mergeCell ref="A1:I1"/>
    <mergeCell ref="E59:E60"/>
    <mergeCell ref="F59:F60"/>
    <mergeCell ref="I59:I60"/>
  </mergeCells>
  <pageMargins left="0.7" right="0.7" top="0.6" bottom="0.6" header="0.3" footer="0.3"/>
  <pageSetup scale="80" orientation="landscape" r:id="rId1"/>
  <headerFooter>
    <oddFooter>&amp;L&amp;F / &amp;A&amp;RPage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K78"/>
  <sheetViews>
    <sheetView workbookViewId="0">
      <selection sqref="A1:I1"/>
    </sheetView>
  </sheetViews>
  <sheetFormatPr defaultRowHeight="14.4"/>
  <cols>
    <col min="1" max="1" width="17.6640625" customWidth="1"/>
    <col min="3" max="3" width="17" customWidth="1"/>
    <col min="4" max="4" width="22" customWidth="1"/>
    <col min="5" max="5" width="17.33203125" customWidth="1"/>
    <col min="6" max="8" width="15.6640625" customWidth="1"/>
    <col min="9" max="9" width="21.33203125" customWidth="1"/>
    <col min="10" max="10" width="14.6640625" customWidth="1"/>
  </cols>
  <sheetData>
    <row r="1" spans="1:11">
      <c r="A1" s="232" t="s">
        <v>201</v>
      </c>
      <c r="B1" s="232"/>
      <c r="C1" s="232"/>
      <c r="D1" s="232"/>
      <c r="E1" s="232"/>
      <c r="F1" s="232"/>
      <c r="G1" s="232"/>
      <c r="H1" s="232"/>
      <c r="I1" s="232"/>
      <c r="J1" s="165"/>
      <c r="K1" s="165"/>
    </row>
    <row r="2" spans="1:11" ht="26.4" customHeight="1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  <c r="J2" s="165"/>
      <c r="K2" s="165"/>
    </row>
    <row r="3" spans="1:11">
      <c r="A3" s="167"/>
      <c r="B3" s="167"/>
      <c r="C3" s="167"/>
      <c r="D3" s="165"/>
      <c r="E3" s="165"/>
      <c r="F3" s="165"/>
      <c r="G3" s="165"/>
      <c r="H3" s="165"/>
      <c r="I3" s="165"/>
      <c r="J3" s="165"/>
      <c r="K3" s="165"/>
    </row>
    <row r="4" spans="1:11">
      <c r="A4" s="199" t="s">
        <v>148</v>
      </c>
      <c r="B4" s="167"/>
      <c r="C4" s="173">
        <v>209347</v>
      </c>
      <c r="D4" s="165"/>
      <c r="E4" s="202">
        <v>197879793</v>
      </c>
      <c r="F4" s="202">
        <v>-112894723</v>
      </c>
      <c r="G4" s="202">
        <v>112966657</v>
      </c>
      <c r="H4" s="166">
        <f>SUM(F4:G4)</f>
        <v>71934</v>
      </c>
      <c r="I4" s="174">
        <f>E4+H4</f>
        <v>197951727</v>
      </c>
      <c r="J4" s="165"/>
      <c r="K4" s="165"/>
    </row>
    <row r="5" spans="1:11">
      <c r="A5" s="199" t="s">
        <v>207</v>
      </c>
      <c r="B5" s="167"/>
      <c r="C5" s="173">
        <v>403</v>
      </c>
      <c r="D5" s="165"/>
      <c r="E5" s="202">
        <v>483714</v>
      </c>
      <c r="F5" s="202">
        <v>-208019</v>
      </c>
      <c r="G5" s="202">
        <v>278701</v>
      </c>
      <c r="H5" s="166">
        <f t="shared" ref="H5:H17" si="0">SUM(F5:G5)</f>
        <v>70682</v>
      </c>
      <c r="I5" s="174">
        <f t="shared" ref="I5:I17" si="1">E5+H5</f>
        <v>554396</v>
      </c>
      <c r="J5" s="165"/>
      <c r="K5" s="165"/>
    </row>
    <row r="6" spans="1:11">
      <c r="A6" s="199" t="s">
        <v>149</v>
      </c>
      <c r="B6" s="167"/>
      <c r="C6" s="173">
        <v>22274</v>
      </c>
      <c r="D6" s="165"/>
      <c r="E6" s="202">
        <v>46315331</v>
      </c>
      <c r="F6" s="202">
        <v>-24278755</v>
      </c>
      <c r="G6" s="202">
        <v>26352693</v>
      </c>
      <c r="H6" s="166">
        <f t="shared" si="0"/>
        <v>2073938</v>
      </c>
      <c r="I6" s="174">
        <f t="shared" si="1"/>
        <v>48389269</v>
      </c>
      <c r="J6" s="165"/>
      <c r="K6" s="165"/>
    </row>
    <row r="7" spans="1:11">
      <c r="A7" s="199" t="s">
        <v>150</v>
      </c>
      <c r="B7" s="167"/>
      <c r="C7" s="173">
        <v>8953</v>
      </c>
      <c r="D7" s="165"/>
      <c r="E7" s="202">
        <v>5020382</v>
      </c>
      <c r="F7" s="202">
        <v>-2852828</v>
      </c>
      <c r="G7" s="202">
        <v>2879907</v>
      </c>
      <c r="H7" s="166">
        <f t="shared" si="0"/>
        <v>27079</v>
      </c>
      <c r="I7" s="174">
        <f t="shared" si="1"/>
        <v>5047461</v>
      </c>
      <c r="J7" s="165"/>
      <c r="K7" s="165"/>
    </row>
    <row r="8" spans="1:11">
      <c r="A8" s="199" t="s">
        <v>151</v>
      </c>
      <c r="B8" s="167"/>
      <c r="C8" s="173">
        <v>1848</v>
      </c>
      <c r="D8" s="165"/>
      <c r="E8" s="202">
        <v>104731288</v>
      </c>
      <c r="F8" s="202">
        <v>-53401373</v>
      </c>
      <c r="G8" s="202">
        <v>59456135</v>
      </c>
      <c r="H8" s="166">
        <f t="shared" si="0"/>
        <v>6054762</v>
      </c>
      <c r="I8" s="174">
        <f t="shared" si="1"/>
        <v>110786050</v>
      </c>
      <c r="J8" s="165"/>
      <c r="K8" s="165"/>
    </row>
    <row r="9" spans="1:11">
      <c r="A9" s="199" t="s">
        <v>152</v>
      </c>
      <c r="B9" s="167"/>
      <c r="C9" s="173">
        <v>47</v>
      </c>
      <c r="D9" s="165"/>
      <c r="E9" s="202">
        <v>2500240</v>
      </c>
      <c r="F9" s="202">
        <v>-1396697</v>
      </c>
      <c r="G9" s="202">
        <v>1424470</v>
      </c>
      <c r="H9" s="166">
        <f t="shared" si="0"/>
        <v>27773</v>
      </c>
      <c r="I9" s="174">
        <f t="shared" si="1"/>
        <v>2528013</v>
      </c>
      <c r="J9" s="165"/>
      <c r="K9" s="165"/>
    </row>
    <row r="10" spans="1:11">
      <c r="A10" s="199" t="s">
        <v>153</v>
      </c>
      <c r="B10" s="167"/>
      <c r="C10" s="173">
        <v>21</v>
      </c>
      <c r="D10" s="165"/>
      <c r="E10" s="202">
        <f>92724920-E11</f>
        <v>92724920</v>
      </c>
      <c r="F10" s="202">
        <v>0</v>
      </c>
      <c r="G10" s="202">
        <v>0</v>
      </c>
      <c r="H10" s="166">
        <f t="shared" si="0"/>
        <v>0</v>
      </c>
      <c r="I10" s="174">
        <f t="shared" si="1"/>
        <v>92724920</v>
      </c>
      <c r="J10" s="165"/>
      <c r="K10" s="165"/>
    </row>
    <row r="11" spans="1:11">
      <c r="A11" s="199" t="s">
        <v>208</v>
      </c>
      <c r="B11" s="167"/>
      <c r="C11" s="173"/>
      <c r="D11" s="165"/>
      <c r="E11" s="202">
        <v>0</v>
      </c>
      <c r="F11" s="202">
        <v>0</v>
      </c>
      <c r="G11" s="202">
        <v>0</v>
      </c>
      <c r="H11" s="166">
        <f t="shared" si="0"/>
        <v>0</v>
      </c>
      <c r="I11" s="174">
        <f t="shared" si="1"/>
        <v>0</v>
      </c>
      <c r="J11" s="165"/>
      <c r="K11" s="165"/>
    </row>
    <row r="12" spans="1:11">
      <c r="A12" s="199" t="s">
        <v>209</v>
      </c>
      <c r="B12" s="167"/>
      <c r="C12" s="173">
        <v>31</v>
      </c>
      <c r="D12" s="165"/>
      <c r="E12" s="202">
        <v>5240</v>
      </c>
      <c r="F12" s="202">
        <v>0</v>
      </c>
      <c r="G12" s="202">
        <v>0</v>
      </c>
      <c r="H12" s="166">
        <f t="shared" si="0"/>
        <v>0</v>
      </c>
      <c r="I12" s="174">
        <f t="shared" si="1"/>
        <v>5240</v>
      </c>
      <c r="J12" s="165"/>
      <c r="K12" s="165"/>
    </row>
    <row r="13" spans="1:11">
      <c r="A13" s="199" t="s">
        <v>154</v>
      </c>
      <c r="B13" s="167"/>
      <c r="C13" s="173">
        <v>1216</v>
      </c>
      <c r="D13" s="165"/>
      <c r="E13" s="202">
        <v>3582679</v>
      </c>
      <c r="F13" s="202">
        <v>-1723583</v>
      </c>
      <c r="G13" s="202">
        <v>2012838</v>
      </c>
      <c r="H13" s="166">
        <f t="shared" si="0"/>
        <v>289255</v>
      </c>
      <c r="I13" s="174">
        <f t="shared" si="1"/>
        <v>3871934</v>
      </c>
      <c r="J13" s="165"/>
      <c r="K13" s="165"/>
    </row>
    <row r="14" spans="1:11">
      <c r="A14" s="199" t="s">
        <v>155</v>
      </c>
      <c r="B14" s="167"/>
      <c r="C14" s="173">
        <v>1202</v>
      </c>
      <c r="D14" s="165"/>
      <c r="E14" s="202">
        <v>229485</v>
      </c>
      <c r="F14" s="202">
        <v>-118868</v>
      </c>
      <c r="G14" s="202">
        <v>123867</v>
      </c>
      <c r="H14" s="166">
        <f t="shared" si="0"/>
        <v>4999</v>
      </c>
      <c r="I14" s="174">
        <f t="shared" si="1"/>
        <v>234484</v>
      </c>
      <c r="J14" s="165"/>
      <c r="K14" s="165"/>
    </row>
    <row r="15" spans="1:11">
      <c r="A15" s="199" t="s">
        <v>210</v>
      </c>
      <c r="B15" s="167"/>
      <c r="C15" s="173">
        <v>412</v>
      </c>
      <c r="D15" s="165"/>
      <c r="E15" s="202">
        <v>1191119</v>
      </c>
      <c r="F15" s="202"/>
      <c r="G15" s="202"/>
      <c r="H15" s="166"/>
      <c r="I15" s="174">
        <f t="shared" si="1"/>
        <v>1191119</v>
      </c>
      <c r="J15" s="165"/>
      <c r="K15" s="165"/>
    </row>
    <row r="16" spans="1:11">
      <c r="A16" s="199" t="s">
        <v>211</v>
      </c>
      <c r="B16" s="167"/>
      <c r="C16" s="173"/>
      <c r="D16" s="165"/>
      <c r="E16" s="202">
        <v>448895</v>
      </c>
      <c r="F16" s="202"/>
      <c r="G16" s="202"/>
      <c r="H16" s="166">
        <f t="shared" si="0"/>
        <v>0</v>
      </c>
      <c r="I16" s="174">
        <f t="shared" si="1"/>
        <v>448895</v>
      </c>
      <c r="J16" s="165"/>
      <c r="K16" s="165"/>
    </row>
    <row r="17" spans="1:11">
      <c r="A17" s="199" t="s">
        <v>212</v>
      </c>
      <c r="B17" s="167"/>
      <c r="C17" s="173"/>
      <c r="D17" s="165"/>
      <c r="E17" s="202">
        <v>244526</v>
      </c>
      <c r="F17" s="202"/>
      <c r="G17" s="202"/>
      <c r="H17" s="166">
        <f t="shared" si="0"/>
        <v>0</v>
      </c>
      <c r="I17" s="174">
        <f t="shared" si="1"/>
        <v>244526</v>
      </c>
      <c r="J17" s="165"/>
      <c r="K17" s="165"/>
    </row>
    <row r="18" spans="1:11">
      <c r="A18" s="167"/>
      <c r="B18" s="167"/>
      <c r="C18" s="175">
        <f>SUM(C4:C17)</f>
        <v>245754</v>
      </c>
      <c r="D18" s="165"/>
      <c r="E18" s="175">
        <f t="shared" ref="E18:I18" si="2">SUM(E4:E17)</f>
        <v>455357612</v>
      </c>
      <c r="F18" s="175">
        <f t="shared" si="2"/>
        <v>-196874846</v>
      </c>
      <c r="G18" s="175">
        <f t="shared" si="2"/>
        <v>205495268</v>
      </c>
      <c r="H18" s="175">
        <f t="shared" si="2"/>
        <v>8620422</v>
      </c>
      <c r="I18" s="175">
        <f t="shared" si="2"/>
        <v>463978034</v>
      </c>
      <c r="J18" s="165"/>
      <c r="K18" s="165"/>
    </row>
    <row r="19" spans="1:11" ht="15" thickBot="1">
      <c r="A19" s="167"/>
      <c r="B19" s="167"/>
      <c r="C19" s="167"/>
      <c r="D19" s="165"/>
      <c r="E19" s="167"/>
      <c r="F19" s="167"/>
      <c r="G19" s="167"/>
      <c r="H19" s="165"/>
      <c r="I19" s="167"/>
      <c r="J19" s="165"/>
      <c r="K19" s="165"/>
    </row>
    <row r="20" spans="1:11">
      <c r="A20" s="167" t="s">
        <v>19</v>
      </c>
      <c r="B20" s="167"/>
      <c r="C20" s="176">
        <f>C4+C5</f>
        <v>209750</v>
      </c>
      <c r="D20" s="165"/>
      <c r="E20" s="177">
        <f>E4+E5</f>
        <v>198363507</v>
      </c>
      <c r="F20" s="177">
        <f t="shared" ref="F20:I20" si="3">F4+F5</f>
        <v>-113102742</v>
      </c>
      <c r="G20" s="177">
        <f t="shared" si="3"/>
        <v>113245358</v>
      </c>
      <c r="H20" s="177">
        <f t="shared" si="3"/>
        <v>142616</v>
      </c>
      <c r="I20" s="176">
        <f t="shared" si="3"/>
        <v>198506123</v>
      </c>
      <c r="J20" s="165"/>
      <c r="K20" s="165"/>
    </row>
    <row r="21" spans="1:11">
      <c r="A21" s="167"/>
      <c r="B21" s="167"/>
      <c r="C21" s="178"/>
      <c r="D21" s="165"/>
      <c r="E21" s="167"/>
      <c r="F21" s="167"/>
      <c r="G21" s="167"/>
      <c r="H21" s="167"/>
      <c r="I21" s="178"/>
      <c r="J21" s="165"/>
      <c r="K21" s="165"/>
    </row>
    <row r="22" spans="1:11" ht="15" thickBot="1">
      <c r="A22" s="167" t="s">
        <v>213</v>
      </c>
      <c r="B22" s="167"/>
      <c r="C22" s="195">
        <f>SUM(C6:C9,C12:C14)</f>
        <v>35571</v>
      </c>
      <c r="D22" s="165"/>
      <c r="E22" s="196">
        <f>SUM(E6:E9,E12:E14)</f>
        <v>162384645</v>
      </c>
      <c r="F22" s="196">
        <f t="shared" ref="F22:H22" si="4">SUM(F6:F9,F12:F14)</f>
        <v>-83772104</v>
      </c>
      <c r="G22" s="196">
        <f t="shared" si="4"/>
        <v>92249910</v>
      </c>
      <c r="H22" s="196">
        <f t="shared" si="4"/>
        <v>8477806</v>
      </c>
      <c r="I22" s="195">
        <f>SUM(I6:I9,I12:I14)</f>
        <v>170862451</v>
      </c>
      <c r="J22" s="165"/>
      <c r="K22" s="165"/>
    </row>
    <row r="23" spans="1:11">
      <c r="A23" s="167"/>
      <c r="B23" s="167"/>
      <c r="C23" s="167"/>
      <c r="D23" s="167"/>
      <c r="E23" s="167"/>
      <c r="F23" s="165"/>
      <c r="G23" s="165"/>
      <c r="H23" s="165"/>
      <c r="I23" s="165"/>
      <c r="J23" s="165"/>
      <c r="K23" s="165"/>
    </row>
    <row r="24" spans="1:11" ht="43.2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  <c r="J24" s="165"/>
      <c r="K24" s="165"/>
    </row>
    <row r="25" spans="1:11">
      <c r="A25" s="167"/>
      <c r="B25" s="167"/>
      <c r="C25" s="200"/>
      <c r="D25" s="167"/>
      <c r="E25" s="167"/>
      <c r="F25" s="165"/>
      <c r="G25" s="165"/>
      <c r="H25" s="165"/>
      <c r="I25" s="165"/>
      <c r="J25" s="165"/>
      <c r="K25" s="165"/>
    </row>
    <row r="26" spans="1:11">
      <c r="A26" s="199" t="s">
        <v>148</v>
      </c>
      <c r="B26" s="167"/>
      <c r="C26" s="200">
        <f>1815242.5+59.5</f>
        <v>1815302</v>
      </c>
      <c r="D26" s="200">
        <v>17541490</v>
      </c>
      <c r="E26" s="203">
        <v>-10433942</v>
      </c>
      <c r="F26" s="203">
        <v>10349245</v>
      </c>
      <c r="G26" s="191">
        <f>SUM(D26:F26)</f>
        <v>17456793</v>
      </c>
      <c r="H26" s="191">
        <f>-I63</f>
        <v>-125.88449999999999</v>
      </c>
      <c r="I26" s="191">
        <f>SUM(G26:H26)</f>
        <v>17456667.115499999</v>
      </c>
      <c r="J26" s="165"/>
      <c r="K26" s="165"/>
    </row>
    <row r="27" spans="1:11">
      <c r="A27" s="199" t="s">
        <v>207</v>
      </c>
      <c r="B27" s="167"/>
      <c r="C27" s="200">
        <v>3442.5</v>
      </c>
      <c r="D27" s="200">
        <v>42445.79</v>
      </c>
      <c r="E27" s="203">
        <v>-12343</v>
      </c>
      <c r="F27" s="203">
        <v>16236</v>
      </c>
      <c r="G27" s="191">
        <f t="shared" ref="G27:G36" si="5">SUM(D27:F27)</f>
        <v>46338.79</v>
      </c>
      <c r="H27" s="191">
        <f t="shared" ref="H27:H35" si="6">-I64</f>
        <v>2104.90996</v>
      </c>
      <c r="I27" s="191">
        <f t="shared" ref="I27:I36" si="7">SUM(G27:H27)</f>
        <v>48443.699959999998</v>
      </c>
      <c r="J27" s="165"/>
      <c r="K27" s="165"/>
    </row>
    <row r="28" spans="1:11">
      <c r="A28" s="199" t="s">
        <v>149</v>
      </c>
      <c r="B28" s="167"/>
      <c r="C28" s="200">
        <f>2951.17+405168</f>
        <v>408119.17</v>
      </c>
      <c r="D28" s="200">
        <v>5392063.1900000004</v>
      </c>
      <c r="E28" s="203">
        <v>-2815492</v>
      </c>
      <c r="F28" s="203">
        <v>3058258</v>
      </c>
      <c r="G28" s="191">
        <f t="shared" si="5"/>
        <v>5634829.1900000004</v>
      </c>
      <c r="H28" s="191">
        <f t="shared" si="6"/>
        <v>-6574.3834600000009</v>
      </c>
      <c r="I28" s="191">
        <f t="shared" si="7"/>
        <v>5628254.8065400003</v>
      </c>
      <c r="J28" s="165"/>
      <c r="K28" s="165"/>
    </row>
    <row r="29" spans="1:11">
      <c r="A29" s="199" t="s">
        <v>150</v>
      </c>
      <c r="B29" s="167"/>
      <c r="C29" s="200">
        <f>387.05+161982+18</f>
        <v>162387.04999999999</v>
      </c>
      <c r="D29" s="200">
        <v>716899.97</v>
      </c>
      <c r="E29" s="203">
        <v>-400353</v>
      </c>
      <c r="F29" s="203">
        <v>407635</v>
      </c>
      <c r="G29" s="191">
        <f t="shared" si="5"/>
        <v>724181.97</v>
      </c>
      <c r="H29" s="191">
        <f t="shared" si="6"/>
        <v>-78.5291</v>
      </c>
      <c r="I29" s="191">
        <f t="shared" si="7"/>
        <v>724103.44089999993</v>
      </c>
      <c r="J29" s="165"/>
      <c r="K29" s="165"/>
    </row>
    <row r="30" spans="1:11">
      <c r="A30" s="199" t="s">
        <v>151</v>
      </c>
      <c r="B30" s="167"/>
      <c r="C30" s="200">
        <v>926400.01</v>
      </c>
      <c r="D30" s="200">
        <v>9476630.6500000004</v>
      </c>
      <c r="E30" s="203">
        <v>-4333682</v>
      </c>
      <c r="F30" s="203">
        <v>4780777</v>
      </c>
      <c r="G30" s="191">
        <f t="shared" si="5"/>
        <v>9923725.6500000004</v>
      </c>
      <c r="H30" s="191">
        <f t="shared" si="6"/>
        <v>-12654.452580000001</v>
      </c>
      <c r="I30" s="191">
        <f t="shared" si="7"/>
        <v>9911071.197420001</v>
      </c>
      <c r="J30" s="165"/>
      <c r="K30" s="165"/>
    </row>
    <row r="31" spans="1:11">
      <c r="A31" s="199" t="s">
        <v>152</v>
      </c>
      <c r="B31" s="167"/>
      <c r="C31" s="200">
        <v>24500</v>
      </c>
      <c r="D31" s="200">
        <v>223559.45</v>
      </c>
      <c r="E31" s="203">
        <v>-114266</v>
      </c>
      <c r="F31" s="203">
        <v>115990</v>
      </c>
      <c r="G31" s="191">
        <f t="shared" si="5"/>
        <v>225283.45</v>
      </c>
      <c r="H31" s="191">
        <f t="shared" si="6"/>
        <v>-50.546860000000009</v>
      </c>
      <c r="I31" s="191">
        <f t="shared" si="7"/>
        <v>225232.90314000001</v>
      </c>
      <c r="J31" s="165"/>
      <c r="K31" s="165"/>
    </row>
    <row r="32" spans="1:11">
      <c r="A32" s="199" t="s">
        <v>153</v>
      </c>
      <c r="B32" s="167"/>
      <c r="C32" s="200">
        <v>0</v>
      </c>
      <c r="D32" s="200">
        <f>5497344.76-83380.1</f>
        <v>5413964.6600000001</v>
      </c>
      <c r="E32" s="203">
        <v>0</v>
      </c>
      <c r="F32" s="203">
        <v>0</v>
      </c>
      <c r="G32" s="191">
        <f t="shared" si="5"/>
        <v>5413964.6600000001</v>
      </c>
      <c r="H32" s="191">
        <f t="shared" si="6"/>
        <v>0</v>
      </c>
      <c r="I32" s="191">
        <f t="shared" si="7"/>
        <v>5413964.6600000001</v>
      </c>
      <c r="J32" s="165"/>
      <c r="K32" s="165"/>
    </row>
    <row r="33" spans="1:11">
      <c r="A33" s="199" t="s">
        <v>209</v>
      </c>
      <c r="B33" s="167"/>
      <c r="C33" s="200">
        <v>558</v>
      </c>
      <c r="D33" s="200">
        <v>915.26</v>
      </c>
      <c r="E33" s="203">
        <v>0</v>
      </c>
      <c r="F33" s="203">
        <v>0</v>
      </c>
      <c r="G33" s="191">
        <f t="shared" si="5"/>
        <v>915.26</v>
      </c>
      <c r="H33" s="191">
        <f t="shared" si="6"/>
        <v>0</v>
      </c>
      <c r="I33" s="191">
        <f t="shared" si="7"/>
        <v>915.26</v>
      </c>
      <c r="J33" s="165"/>
      <c r="K33" s="165"/>
    </row>
    <row r="34" spans="1:11">
      <c r="A34" s="199" t="s">
        <v>154</v>
      </c>
      <c r="B34" s="167"/>
      <c r="C34" s="200">
        <v>21978</v>
      </c>
      <c r="D34" s="200">
        <v>316678.83</v>
      </c>
      <c r="E34" s="203">
        <v>-155368</v>
      </c>
      <c r="F34" s="203">
        <v>180232</v>
      </c>
      <c r="G34" s="191">
        <f t="shared" si="5"/>
        <v>341542.83</v>
      </c>
      <c r="H34" s="191">
        <f t="shared" si="6"/>
        <v>-485.94840000000005</v>
      </c>
      <c r="I34" s="191">
        <f t="shared" si="7"/>
        <v>341056.88160000002</v>
      </c>
      <c r="J34" s="165"/>
      <c r="K34" s="165"/>
    </row>
    <row r="35" spans="1:11">
      <c r="A35" s="199" t="s">
        <v>155</v>
      </c>
      <c r="B35" s="167"/>
      <c r="C35" s="200">
        <v>21744</v>
      </c>
      <c r="D35" s="200">
        <v>41572.01</v>
      </c>
      <c r="E35" s="203">
        <v>-19878</v>
      </c>
      <c r="F35" s="203">
        <v>20839</v>
      </c>
      <c r="G35" s="191">
        <f t="shared" si="5"/>
        <v>42533.01</v>
      </c>
      <c r="H35" s="191">
        <f t="shared" si="6"/>
        <v>-7.0485900000000017</v>
      </c>
      <c r="I35" s="191">
        <f t="shared" si="7"/>
        <v>42525.961410000004</v>
      </c>
      <c r="J35" s="165"/>
      <c r="K35" s="165"/>
    </row>
    <row r="36" spans="1:11">
      <c r="A36" s="199" t="s">
        <v>221</v>
      </c>
      <c r="B36" s="167"/>
      <c r="C36" s="191"/>
      <c r="D36" s="200">
        <v>576017.28</v>
      </c>
      <c r="E36" s="200"/>
      <c r="F36" s="200"/>
      <c r="G36" s="191">
        <f t="shared" si="5"/>
        <v>576017.28</v>
      </c>
      <c r="H36" s="191"/>
      <c r="I36" s="191">
        <f t="shared" si="7"/>
        <v>576017.28</v>
      </c>
      <c r="J36" s="165"/>
      <c r="K36" s="165"/>
    </row>
    <row r="37" spans="1:11">
      <c r="A37" s="199" t="s">
        <v>222</v>
      </c>
      <c r="B37" s="167"/>
      <c r="C37" s="186"/>
      <c r="D37" s="200">
        <v>741519.88</v>
      </c>
      <c r="E37" s="200"/>
      <c r="F37" s="200"/>
      <c r="G37" s="191"/>
      <c r="H37" s="191"/>
      <c r="I37" s="191"/>
      <c r="J37" s="165"/>
      <c r="K37" s="165"/>
    </row>
    <row r="38" spans="1:11">
      <c r="A38" s="199" t="s">
        <v>223</v>
      </c>
      <c r="B38" s="167"/>
      <c r="C38" s="186"/>
      <c r="D38" s="200">
        <v>1501415.35</v>
      </c>
      <c r="E38" s="200"/>
      <c r="F38" s="200"/>
      <c r="G38" s="191"/>
      <c r="H38" s="191"/>
      <c r="I38" s="191"/>
      <c r="J38" s="165"/>
      <c r="K38" s="165"/>
    </row>
    <row r="39" spans="1:11">
      <c r="A39" s="167"/>
      <c r="B39" s="167"/>
      <c r="C39" s="181">
        <f>SUM(C26:C38)</f>
        <v>3384430.7299999995</v>
      </c>
      <c r="D39" s="181">
        <f t="shared" ref="D39:I39" si="8">SUM(D26:D38)</f>
        <v>41985172.32</v>
      </c>
      <c r="E39" s="181">
        <f t="shared" si="8"/>
        <v>-18285324</v>
      </c>
      <c r="F39" s="181">
        <f t="shared" si="8"/>
        <v>18929212</v>
      </c>
      <c r="G39" s="181">
        <f t="shared" si="8"/>
        <v>40386125.090000004</v>
      </c>
      <c r="H39" s="181">
        <f t="shared" si="8"/>
        <v>-17871.883529999999</v>
      </c>
      <c r="I39" s="181">
        <f t="shared" si="8"/>
        <v>40368253.206470013</v>
      </c>
      <c r="J39" s="165"/>
      <c r="K39" s="165"/>
    </row>
    <row r="40" spans="1:11" ht="15" thickBot="1">
      <c r="A40" s="167"/>
      <c r="B40" s="167"/>
      <c r="C40" s="165"/>
      <c r="D40" s="182"/>
      <c r="E40" s="167"/>
      <c r="F40" s="167"/>
      <c r="G40" s="165"/>
      <c r="H40" s="165"/>
      <c r="I40" s="165"/>
      <c r="J40" s="165"/>
      <c r="K40" s="165"/>
    </row>
    <row r="41" spans="1:11">
      <c r="A41" s="167" t="s">
        <v>19</v>
      </c>
      <c r="B41" s="167"/>
      <c r="C41" s="184">
        <f>C26+C27</f>
        <v>1818744.5</v>
      </c>
      <c r="D41" s="183">
        <f t="shared" ref="D41:I41" si="9">D26+D27</f>
        <v>17583935.789999999</v>
      </c>
      <c r="E41" s="183">
        <f t="shared" si="9"/>
        <v>-10446285</v>
      </c>
      <c r="F41" s="183">
        <f t="shared" si="9"/>
        <v>10365481</v>
      </c>
      <c r="G41" s="183">
        <f t="shared" si="9"/>
        <v>17503131.789999999</v>
      </c>
      <c r="H41" s="183">
        <f t="shared" si="9"/>
        <v>1979.0254600000001</v>
      </c>
      <c r="I41" s="184">
        <f t="shared" si="9"/>
        <v>17505110.81546</v>
      </c>
      <c r="J41" s="165"/>
      <c r="K41" s="165"/>
    </row>
    <row r="42" spans="1:11">
      <c r="A42" s="167"/>
      <c r="B42" s="167"/>
      <c r="C42" s="190"/>
      <c r="D42" s="183"/>
      <c r="E42" s="167"/>
      <c r="F42" s="167"/>
      <c r="G42" s="165"/>
      <c r="H42" s="165"/>
      <c r="I42" s="185"/>
      <c r="J42" s="165"/>
      <c r="K42" s="165"/>
    </row>
    <row r="43" spans="1:11" ht="15" thickBot="1">
      <c r="A43" s="167" t="s">
        <v>213</v>
      </c>
      <c r="B43" s="167"/>
      <c r="C43" s="193">
        <f>SUM(C28:C31,C33:C35)</f>
        <v>1565686.23</v>
      </c>
      <c r="D43" s="194">
        <f t="shared" ref="D43:I43" si="10">SUM(D28:D31,D33:D35)</f>
        <v>16168319.359999999</v>
      </c>
      <c r="E43" s="194">
        <f t="shared" si="10"/>
        <v>-7839039</v>
      </c>
      <c r="F43" s="194">
        <f t="shared" si="10"/>
        <v>8563731</v>
      </c>
      <c r="G43" s="194">
        <f t="shared" si="10"/>
        <v>16893011.359999999</v>
      </c>
      <c r="H43" s="194">
        <f t="shared" si="10"/>
        <v>-19850.90899</v>
      </c>
      <c r="I43" s="193">
        <f t="shared" si="10"/>
        <v>16873160.45101</v>
      </c>
      <c r="J43" s="165"/>
      <c r="K43" s="165"/>
    </row>
    <row r="44" spans="1:11">
      <c r="A44" s="167"/>
      <c r="B44" s="167"/>
      <c r="C44" s="167"/>
      <c r="D44" s="165"/>
      <c r="E44" s="165"/>
      <c r="F44" s="165"/>
      <c r="G44" s="165"/>
      <c r="H44" s="165"/>
      <c r="I44" s="165"/>
      <c r="J44" s="165"/>
      <c r="K44" s="165"/>
    </row>
    <row r="45" spans="1:11">
      <c r="A45" s="172"/>
      <c r="B45" s="165"/>
      <c r="C45" s="165"/>
      <c r="D45" s="167"/>
      <c r="E45" s="165"/>
      <c r="F45" s="165"/>
      <c r="G45" s="165"/>
      <c r="H45" s="165"/>
      <c r="K45" s="165"/>
    </row>
    <row r="46" spans="1:11">
      <c r="A46" s="165"/>
      <c r="B46" s="165"/>
      <c r="C46" s="188">
        <v>42309</v>
      </c>
      <c r="D46" s="188">
        <v>42278</v>
      </c>
      <c r="E46" s="188">
        <v>42217</v>
      </c>
      <c r="F46" s="164">
        <v>42380</v>
      </c>
      <c r="G46" s="164">
        <v>42380</v>
      </c>
      <c r="H46" s="192">
        <v>42005</v>
      </c>
      <c r="K46" s="192"/>
    </row>
    <row r="47" spans="1:11" ht="30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K47" s="207"/>
    </row>
    <row r="48" spans="1:11">
      <c r="A48" s="199" t="s">
        <v>148</v>
      </c>
      <c r="B48" s="167"/>
      <c r="C48" s="187">
        <v>-2.7E-4</v>
      </c>
      <c r="D48" s="187"/>
      <c r="E48" s="187">
        <v>2.15E-3</v>
      </c>
      <c r="F48" s="187">
        <v>9.1E-4</v>
      </c>
      <c r="G48" s="187">
        <v>0</v>
      </c>
      <c r="H48" s="187">
        <v>-1.0399999999999999E-3</v>
      </c>
      <c r="K48" s="165"/>
    </row>
    <row r="49" spans="1:11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9.1E-4</v>
      </c>
      <c r="G49" s="187">
        <v>0</v>
      </c>
      <c r="H49" s="187">
        <v>-1.0399999999999999E-3</v>
      </c>
      <c r="K49" s="165"/>
    </row>
    <row r="50" spans="1:11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1.32E-3</v>
      </c>
      <c r="G50" s="187">
        <v>0</v>
      </c>
      <c r="H50" s="187">
        <v>-1.0399999999999999E-3</v>
      </c>
      <c r="K50" s="165"/>
    </row>
    <row r="51" spans="1:11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1.32E-3</v>
      </c>
      <c r="G51" s="187">
        <v>0</v>
      </c>
      <c r="H51" s="187">
        <v>-1.0399999999999999E-3</v>
      </c>
      <c r="K51" s="165"/>
    </row>
    <row r="52" spans="1:11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9.5E-4</v>
      </c>
      <c r="G52" s="187">
        <v>0</v>
      </c>
      <c r="H52" s="187">
        <v>-1.06E-3</v>
      </c>
      <c r="K52" s="165"/>
    </row>
    <row r="53" spans="1:11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9.5E-4</v>
      </c>
      <c r="G53" s="187">
        <v>0</v>
      </c>
      <c r="H53" s="187">
        <v>-1.06E-3</v>
      </c>
      <c r="K53" s="165"/>
    </row>
    <row r="54" spans="1:11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5.9999999999999995E-4</v>
      </c>
      <c r="G54" s="187">
        <v>0</v>
      </c>
      <c r="H54" s="187">
        <v>-1.0200000000000001E-3</v>
      </c>
      <c r="K54" s="165"/>
    </row>
    <row r="55" spans="1:11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0</v>
      </c>
      <c r="H55" s="187">
        <v>-1.0200000000000001E-3</v>
      </c>
      <c r="K55" s="165"/>
    </row>
    <row r="56" spans="1:11">
      <c r="A56" s="199" t="s">
        <v>209</v>
      </c>
      <c r="B56" s="167"/>
      <c r="C56" s="187">
        <v>0</v>
      </c>
      <c r="D56" s="187"/>
      <c r="E56" s="187">
        <v>1.98E-3</v>
      </c>
      <c r="F56" s="187">
        <v>8.3000000000000001E-4</v>
      </c>
      <c r="G56" s="187">
        <v>0</v>
      </c>
      <c r="H56" s="187">
        <v>-1.1299999999999999E-3</v>
      </c>
      <c r="K56" s="165"/>
    </row>
    <row r="57" spans="1:11">
      <c r="A57" s="199" t="s">
        <v>154</v>
      </c>
      <c r="B57" s="167"/>
      <c r="C57" s="187">
        <v>0</v>
      </c>
      <c r="D57" s="187"/>
      <c r="E57" s="187">
        <v>1.98E-3</v>
      </c>
      <c r="F57" s="187">
        <v>8.3000000000000001E-4</v>
      </c>
      <c r="G57" s="187">
        <v>0</v>
      </c>
      <c r="H57" s="187">
        <v>-1.1299999999999999E-3</v>
      </c>
      <c r="K57" s="165"/>
    </row>
    <row r="58" spans="1:11">
      <c r="A58" s="199" t="s">
        <v>155</v>
      </c>
      <c r="B58" s="167"/>
      <c r="C58" s="187">
        <v>-2.7E-4</v>
      </c>
      <c r="D58" s="187"/>
      <c r="E58" s="187">
        <v>1.98E-3</v>
      </c>
      <c r="F58" s="187">
        <v>8.3000000000000001E-4</v>
      </c>
      <c r="G58" s="187">
        <v>0</v>
      </c>
      <c r="H58" s="187">
        <v>-1.1299999999999999E-3</v>
      </c>
      <c r="K58" s="165"/>
    </row>
    <row r="59" spans="1:11">
      <c r="A59" s="199" t="s">
        <v>221</v>
      </c>
      <c r="B59" s="167"/>
      <c r="C59" s="187"/>
      <c r="D59" s="187"/>
      <c r="E59" s="233" t="s">
        <v>231</v>
      </c>
      <c r="F59" s="233" t="s">
        <v>241</v>
      </c>
      <c r="G59" s="187">
        <v>0</v>
      </c>
      <c r="H59" s="187">
        <v>-1.0499999999999999E-3</v>
      </c>
      <c r="K59" s="165"/>
    </row>
    <row r="60" spans="1:11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K60" s="165"/>
    </row>
    <row r="61" spans="1:11">
      <c r="A61" s="165"/>
      <c r="B61" s="165"/>
      <c r="C61" s="165"/>
      <c r="D61" s="167"/>
      <c r="E61" s="165"/>
      <c r="F61" s="165"/>
      <c r="G61" s="165"/>
      <c r="H61" s="165"/>
      <c r="I61" s="165"/>
      <c r="J61" s="165"/>
      <c r="K61" s="165"/>
    </row>
    <row r="62" spans="1:11" ht="32.4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  <c r="J62" s="165"/>
      <c r="K62" s="165"/>
    </row>
    <row r="63" spans="1:11">
      <c r="A63" s="199" t="s">
        <v>148</v>
      </c>
      <c r="B63" s="165"/>
      <c r="C63" s="183">
        <f t="shared" ref="C63:H68" si="11">$H4*C48</f>
        <v>-19.422180000000001</v>
      </c>
      <c r="D63" s="183">
        <f t="shared" si="11"/>
        <v>0</v>
      </c>
      <c r="E63" s="183">
        <f t="shared" si="11"/>
        <v>154.65809999999999</v>
      </c>
      <c r="F63" s="183">
        <f>$H4*F48</f>
        <v>65.459940000000003</v>
      </c>
      <c r="G63" s="183">
        <f t="shared" ref="G63" si="12">$H4*G48</f>
        <v>0</v>
      </c>
      <c r="H63" s="183">
        <f t="shared" si="11"/>
        <v>-74.811359999999993</v>
      </c>
      <c r="I63" s="183">
        <f>SUM(C63:H63)</f>
        <v>125.88449999999999</v>
      </c>
      <c r="J63" s="165"/>
      <c r="K63" s="165"/>
    </row>
    <row r="64" spans="1:11">
      <c r="A64" s="199" t="s">
        <v>207</v>
      </c>
      <c r="B64" s="165"/>
      <c r="C64" s="183">
        <f t="shared" si="11"/>
        <v>-19.084140000000001</v>
      </c>
      <c r="D64" s="183">
        <f t="shared" si="11"/>
        <v>-2228.6034600000003</v>
      </c>
      <c r="E64" s="183">
        <f t="shared" si="11"/>
        <v>151.96629999999999</v>
      </c>
      <c r="F64" s="183">
        <f t="shared" ref="F64:G64" si="13">$H5*F49</f>
        <v>64.320620000000005</v>
      </c>
      <c r="G64" s="183">
        <f t="shared" si="13"/>
        <v>0</v>
      </c>
      <c r="H64" s="183">
        <f t="shared" si="11"/>
        <v>-73.50927999999999</v>
      </c>
      <c r="I64" s="183">
        <f t="shared" ref="I64:I73" si="14">SUM(C64:H64)</f>
        <v>-2104.90996</v>
      </c>
      <c r="J64" s="165"/>
      <c r="K64" s="165"/>
    </row>
    <row r="65" spans="1:11">
      <c r="A65" s="199" t="s">
        <v>149</v>
      </c>
      <c r="B65" s="165"/>
      <c r="C65" s="183">
        <f t="shared" si="11"/>
        <v>0</v>
      </c>
      <c r="D65" s="183">
        <f t="shared" si="11"/>
        <v>0</v>
      </c>
      <c r="E65" s="183">
        <f t="shared" si="11"/>
        <v>5993.6808200000005</v>
      </c>
      <c r="F65" s="183">
        <f t="shared" ref="F65:G65" si="15">$H6*F50</f>
        <v>2737.59816</v>
      </c>
      <c r="G65" s="183">
        <f t="shared" si="15"/>
        <v>0</v>
      </c>
      <c r="H65" s="183">
        <f t="shared" si="11"/>
        <v>-2156.89552</v>
      </c>
      <c r="I65" s="183">
        <f t="shared" si="14"/>
        <v>6574.3834600000009</v>
      </c>
      <c r="J65" s="165"/>
      <c r="K65" s="165"/>
    </row>
    <row r="66" spans="1:11">
      <c r="A66" s="199" t="s">
        <v>150</v>
      </c>
      <c r="B66" s="165"/>
      <c r="C66" s="183">
        <f t="shared" si="11"/>
        <v>-7.3113299999999999</v>
      </c>
      <c r="D66" s="183">
        <f t="shared" si="11"/>
        <v>0</v>
      </c>
      <c r="E66" s="183">
        <f t="shared" si="11"/>
        <v>78.258310000000009</v>
      </c>
      <c r="F66" s="183">
        <f t="shared" ref="F66:G66" si="16">$H7*F51</f>
        <v>35.744279999999996</v>
      </c>
      <c r="G66" s="183">
        <f t="shared" si="16"/>
        <v>0</v>
      </c>
      <c r="H66" s="183">
        <f t="shared" si="11"/>
        <v>-28.162159999999997</v>
      </c>
      <c r="I66" s="183">
        <f t="shared" si="14"/>
        <v>78.5291</v>
      </c>
      <c r="J66" s="165"/>
      <c r="K66" s="165"/>
    </row>
    <row r="67" spans="1:11">
      <c r="A67" s="199" t="s">
        <v>151</v>
      </c>
      <c r="B67" s="165"/>
      <c r="C67" s="183">
        <f t="shared" si="11"/>
        <v>0</v>
      </c>
      <c r="D67" s="183">
        <f t="shared" si="11"/>
        <v>0</v>
      </c>
      <c r="E67" s="183">
        <f t="shared" si="11"/>
        <v>13320.476400000001</v>
      </c>
      <c r="F67" s="183">
        <f t="shared" ref="F67:G67" si="17">$H8*F52</f>
        <v>5752.0239000000001</v>
      </c>
      <c r="G67" s="183">
        <f t="shared" si="17"/>
        <v>0</v>
      </c>
      <c r="H67" s="183">
        <f t="shared" si="11"/>
        <v>-6418.0477199999996</v>
      </c>
      <c r="I67" s="183">
        <f t="shared" si="14"/>
        <v>12654.452580000001</v>
      </c>
      <c r="J67" s="165"/>
      <c r="K67" s="165"/>
    </row>
    <row r="68" spans="1:11">
      <c r="A68" s="199" t="s">
        <v>152</v>
      </c>
      <c r="B68" s="165"/>
      <c r="C68" s="183">
        <f t="shared" si="11"/>
        <v>-7.49871</v>
      </c>
      <c r="D68" s="183">
        <f t="shared" si="11"/>
        <v>0</v>
      </c>
      <c r="E68" s="183">
        <f t="shared" si="11"/>
        <v>61.100600000000007</v>
      </c>
      <c r="F68" s="183">
        <f t="shared" ref="F68:G68" si="18">$H9*F53</f>
        <v>26.384350000000001</v>
      </c>
      <c r="G68" s="183">
        <f t="shared" si="18"/>
        <v>0</v>
      </c>
      <c r="H68" s="183">
        <f t="shared" si="11"/>
        <v>-29.43938</v>
      </c>
      <c r="I68" s="183">
        <f t="shared" si="14"/>
        <v>50.546860000000009</v>
      </c>
      <c r="J68" s="165"/>
      <c r="K68" s="165"/>
    </row>
    <row r="69" spans="1:11">
      <c r="A69" s="199" t="s">
        <v>153</v>
      </c>
      <c r="B69" s="165"/>
      <c r="C69" s="183">
        <f t="shared" ref="C69:E69" si="19">$H10*C54+$H11*C55</f>
        <v>0</v>
      </c>
      <c r="D69" s="183">
        <f t="shared" si="19"/>
        <v>0</v>
      </c>
      <c r="E69" s="183">
        <f t="shared" si="19"/>
        <v>0</v>
      </c>
      <c r="F69" s="183">
        <f t="shared" ref="F69:G69" si="20">$H10*F54+$H11*F55</f>
        <v>0</v>
      </c>
      <c r="G69" s="183">
        <f t="shared" si="20"/>
        <v>0</v>
      </c>
      <c r="H69" s="183">
        <f>$H10*H54+$H11*H55</f>
        <v>0</v>
      </c>
      <c r="I69" s="183">
        <f t="shared" si="14"/>
        <v>0</v>
      </c>
      <c r="J69" s="165"/>
      <c r="K69" s="165"/>
    </row>
    <row r="70" spans="1:11">
      <c r="A70" s="199" t="s">
        <v>209</v>
      </c>
      <c r="B70" s="165"/>
      <c r="C70" s="183">
        <f t="shared" ref="C70:H72" si="21">$H12*C56</f>
        <v>0</v>
      </c>
      <c r="D70" s="183">
        <f t="shared" si="21"/>
        <v>0</v>
      </c>
      <c r="E70" s="183">
        <f t="shared" si="21"/>
        <v>0</v>
      </c>
      <c r="F70" s="183">
        <f t="shared" ref="F70:G70" si="22">$H12*F56</f>
        <v>0</v>
      </c>
      <c r="G70" s="183">
        <f t="shared" si="22"/>
        <v>0</v>
      </c>
      <c r="H70" s="183">
        <f t="shared" si="21"/>
        <v>0</v>
      </c>
      <c r="I70" s="183">
        <f t="shared" si="14"/>
        <v>0</v>
      </c>
      <c r="J70" s="165"/>
      <c r="K70" s="165"/>
    </row>
    <row r="71" spans="1:11">
      <c r="A71" s="199" t="s">
        <v>154</v>
      </c>
      <c r="B71" s="165"/>
      <c r="C71" s="183">
        <f t="shared" si="21"/>
        <v>0</v>
      </c>
      <c r="D71" s="183">
        <f t="shared" si="21"/>
        <v>0</v>
      </c>
      <c r="E71" s="183">
        <f t="shared" si="21"/>
        <v>572.72490000000005</v>
      </c>
      <c r="F71" s="183">
        <f t="shared" ref="F71:G71" si="23">$H13*F57</f>
        <v>240.08165</v>
      </c>
      <c r="G71" s="183">
        <f t="shared" si="23"/>
        <v>0</v>
      </c>
      <c r="H71" s="183">
        <f t="shared" si="21"/>
        <v>-326.85814999999997</v>
      </c>
      <c r="I71" s="183">
        <f t="shared" si="14"/>
        <v>485.94840000000005</v>
      </c>
      <c r="J71" s="165"/>
      <c r="K71" s="165"/>
    </row>
    <row r="72" spans="1:11">
      <c r="A72" s="199" t="s">
        <v>155</v>
      </c>
      <c r="B72" s="165"/>
      <c r="C72" s="183">
        <f t="shared" si="21"/>
        <v>-1.3497300000000001</v>
      </c>
      <c r="D72" s="183">
        <f t="shared" si="21"/>
        <v>0</v>
      </c>
      <c r="E72" s="183">
        <f t="shared" si="21"/>
        <v>9.8980200000000007</v>
      </c>
      <c r="F72" s="183">
        <f t="shared" ref="F72:G72" si="24">$H14*F58</f>
        <v>4.1491699999999998</v>
      </c>
      <c r="G72" s="183">
        <f t="shared" si="24"/>
        <v>0</v>
      </c>
      <c r="H72" s="183">
        <f t="shared" si="21"/>
        <v>-5.6488699999999996</v>
      </c>
      <c r="I72" s="183">
        <f t="shared" si="14"/>
        <v>7.0485900000000017</v>
      </c>
      <c r="J72" s="165"/>
      <c r="K72" s="165"/>
    </row>
    <row r="73" spans="1:11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3">
        <v>0</v>
      </c>
      <c r="G73" s="203">
        <v>0</v>
      </c>
      <c r="H73" s="183">
        <f>($H15+$H16+$H17)*H59</f>
        <v>0</v>
      </c>
      <c r="I73" s="183">
        <f t="shared" si="14"/>
        <v>0</v>
      </c>
      <c r="J73" s="165"/>
      <c r="K73" s="165"/>
    </row>
    <row r="74" spans="1:11">
      <c r="A74" s="172"/>
      <c r="B74" s="165"/>
      <c r="C74" s="198">
        <f>SUM(C63:C73)</f>
        <v>-54.666090000000004</v>
      </c>
      <c r="D74" s="198">
        <f t="shared" ref="D74:I74" si="25">SUM(D63:D73)</f>
        <v>-2228.6034600000003</v>
      </c>
      <c r="E74" s="198">
        <f t="shared" si="25"/>
        <v>20342.763450000006</v>
      </c>
      <c r="F74" s="198">
        <f t="shared" si="25"/>
        <v>8925.7620700000007</v>
      </c>
      <c r="G74" s="198">
        <f t="shared" si="25"/>
        <v>0</v>
      </c>
      <c r="H74" s="198">
        <f t="shared" si="25"/>
        <v>-9113.3724399999992</v>
      </c>
      <c r="I74" s="198">
        <f t="shared" si="25"/>
        <v>17871.883529999999</v>
      </c>
      <c r="J74" s="165"/>
      <c r="K74" s="165"/>
    </row>
    <row r="75" spans="1:11">
      <c r="A75" s="165"/>
      <c r="B75" s="165"/>
      <c r="C75" s="165"/>
      <c r="D75" s="165"/>
      <c r="E75" s="165"/>
      <c r="F75" s="165"/>
      <c r="G75" s="165"/>
      <c r="H75" s="165"/>
      <c r="I75" s="165"/>
      <c r="J75" s="165"/>
      <c r="K75" s="165"/>
    </row>
    <row r="76" spans="1:11">
      <c r="A76" s="167" t="s">
        <v>19</v>
      </c>
      <c r="B76" s="167"/>
      <c r="C76" s="183">
        <f>C63+C64</f>
        <v>-38.506320000000002</v>
      </c>
      <c r="D76" s="183">
        <f t="shared" ref="D76:I76" si="26">D63+D64</f>
        <v>-2228.6034600000003</v>
      </c>
      <c r="E76" s="183">
        <f t="shared" si="26"/>
        <v>306.62439999999998</v>
      </c>
      <c r="F76" s="183">
        <f t="shared" si="26"/>
        <v>129.78056000000001</v>
      </c>
      <c r="G76" s="183">
        <f t="shared" si="26"/>
        <v>0</v>
      </c>
      <c r="H76" s="183">
        <f t="shared" si="26"/>
        <v>-148.32063999999997</v>
      </c>
      <c r="I76" s="183">
        <f t="shared" si="26"/>
        <v>-1979.0254600000001</v>
      </c>
      <c r="J76" s="165"/>
      <c r="K76" s="165"/>
    </row>
    <row r="77" spans="1:11">
      <c r="A77" s="167"/>
      <c r="B77" s="167"/>
      <c r="C77" s="183"/>
      <c r="D77" s="183"/>
      <c r="E77" s="183"/>
      <c r="F77" s="183"/>
      <c r="G77" s="183"/>
      <c r="H77" s="183"/>
      <c r="I77" s="183"/>
      <c r="J77" s="165"/>
      <c r="K77" s="165"/>
    </row>
    <row r="78" spans="1:11">
      <c r="A78" s="167" t="s">
        <v>213</v>
      </c>
      <c r="B78" s="167"/>
      <c r="C78" s="194">
        <f>SUM(C65:C68,C70:C72)</f>
        <v>-16.159770000000002</v>
      </c>
      <c r="D78" s="194">
        <f t="shared" ref="D78:I78" si="27">SUM(D65:D68,D70:D72)</f>
        <v>0</v>
      </c>
      <c r="E78" s="194">
        <f t="shared" si="27"/>
        <v>20036.139050000005</v>
      </c>
      <c r="F78" s="194">
        <f t="shared" si="27"/>
        <v>8795.9815100000014</v>
      </c>
      <c r="G78" s="194">
        <f t="shared" si="27"/>
        <v>0</v>
      </c>
      <c r="H78" s="194">
        <f t="shared" si="27"/>
        <v>-8965.0518000000011</v>
      </c>
      <c r="I78" s="194">
        <f t="shared" si="27"/>
        <v>19850.90899</v>
      </c>
      <c r="J78" s="165"/>
      <c r="K78" s="165"/>
    </row>
  </sheetData>
  <mergeCells count="3">
    <mergeCell ref="A1:I1"/>
    <mergeCell ref="E59:E60"/>
    <mergeCell ref="F59:F60"/>
  </mergeCells>
  <pageMargins left="0.7" right="0.7" top="0.47" bottom="0.5" header="0.3" footer="0.3"/>
  <pageSetup scale="80" orientation="landscape" r:id="rId1"/>
  <headerFooter>
    <oddFooter>&amp;L&amp;F / &amp;A&amp;RPage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</sheetPr>
  <dimension ref="A1:M78"/>
  <sheetViews>
    <sheetView workbookViewId="0">
      <selection sqref="A1:I1"/>
    </sheetView>
  </sheetViews>
  <sheetFormatPr defaultColWidth="8.88671875" defaultRowHeight="14.4"/>
  <cols>
    <col min="1" max="1" width="17.6640625" style="165" customWidth="1"/>
    <col min="2" max="2" width="8.88671875" style="165"/>
    <col min="3" max="3" width="15.44140625" style="165" customWidth="1"/>
    <col min="4" max="4" width="16" style="165" customWidth="1"/>
    <col min="5" max="5" width="15.6640625" style="165" customWidth="1"/>
    <col min="6" max="6" width="15.33203125" style="165" customWidth="1"/>
    <col min="7" max="7" width="15.109375" style="165" customWidth="1"/>
    <col min="8" max="8" width="14" style="165" customWidth="1"/>
    <col min="9" max="9" width="15.6640625" style="165" customWidth="1"/>
    <col min="10" max="10" width="10.6640625" style="165" customWidth="1"/>
    <col min="11" max="11" width="10.33203125" style="165" customWidth="1"/>
    <col min="12" max="13" width="12" style="165" customWidth="1"/>
    <col min="14" max="16384" width="8.886718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</row>
    <row r="4" spans="1:9">
      <c r="A4" s="199" t="s">
        <v>148</v>
      </c>
      <c r="B4" s="167"/>
      <c r="C4" s="173">
        <v>210106</v>
      </c>
      <c r="E4" s="202">
        <v>230053745</v>
      </c>
      <c r="F4" s="202">
        <v>-133886429</v>
      </c>
      <c r="G4" s="202">
        <v>112894723</v>
      </c>
      <c r="H4" s="166">
        <f>SUM(F4:G4)</f>
        <v>-20991706</v>
      </c>
      <c r="I4" s="174">
        <f>E4+H4</f>
        <v>209062039</v>
      </c>
    </row>
    <row r="5" spans="1:9">
      <c r="A5" s="199" t="s">
        <v>207</v>
      </c>
      <c r="B5" s="167"/>
      <c r="C5" s="173">
        <v>312</v>
      </c>
      <c r="E5" s="202">
        <v>453076</v>
      </c>
      <c r="F5" s="202">
        <v>-203992</v>
      </c>
      <c r="G5" s="202">
        <v>208019</v>
      </c>
      <c r="H5" s="166">
        <f t="shared" ref="H5:H17" si="0">SUM(F5:G5)</f>
        <v>4027</v>
      </c>
      <c r="I5" s="174">
        <f t="shared" ref="I5:I17" si="1">E5+H5</f>
        <v>457103</v>
      </c>
    </row>
    <row r="6" spans="1:9">
      <c r="A6" s="199" t="s">
        <v>149</v>
      </c>
      <c r="B6" s="167"/>
      <c r="C6" s="173">
        <v>22243</v>
      </c>
      <c r="E6" s="202">
        <v>49652036</v>
      </c>
      <c r="F6" s="202">
        <v>-26246908</v>
      </c>
      <c r="G6" s="202">
        <v>24278755</v>
      </c>
      <c r="H6" s="166">
        <f t="shared" si="0"/>
        <v>-1968153</v>
      </c>
      <c r="I6" s="174">
        <f t="shared" si="1"/>
        <v>47683883</v>
      </c>
    </row>
    <row r="7" spans="1:9">
      <c r="A7" s="199" t="s">
        <v>150</v>
      </c>
      <c r="B7" s="167"/>
      <c r="C7" s="173">
        <v>8989</v>
      </c>
      <c r="E7" s="202">
        <v>5840014</v>
      </c>
      <c r="F7" s="202">
        <v>-3297863</v>
      </c>
      <c r="G7" s="202">
        <v>2852828</v>
      </c>
      <c r="H7" s="166">
        <f t="shared" si="0"/>
        <v>-445035</v>
      </c>
      <c r="I7" s="174">
        <f t="shared" si="1"/>
        <v>5394979</v>
      </c>
    </row>
    <row r="8" spans="1:9">
      <c r="A8" s="199" t="s">
        <v>151</v>
      </c>
      <c r="B8" s="167"/>
      <c r="C8" s="173">
        <v>1878</v>
      </c>
      <c r="E8" s="202">
        <v>109784034</v>
      </c>
      <c r="F8" s="202">
        <v>-58069583</v>
      </c>
      <c r="G8" s="202">
        <v>53401373</v>
      </c>
      <c r="H8" s="166">
        <f t="shared" si="0"/>
        <v>-4668210</v>
      </c>
      <c r="I8" s="174">
        <f t="shared" si="1"/>
        <v>105115824</v>
      </c>
    </row>
    <row r="9" spans="1:9">
      <c r="A9" s="199" t="s">
        <v>152</v>
      </c>
      <c r="B9" s="167"/>
      <c r="C9" s="173">
        <v>50</v>
      </c>
      <c r="E9" s="202">
        <v>2859380</v>
      </c>
      <c r="F9" s="202">
        <v>-1495938</v>
      </c>
      <c r="G9" s="202">
        <v>1396697</v>
      </c>
      <c r="H9" s="166">
        <f t="shared" si="0"/>
        <v>-99241</v>
      </c>
      <c r="I9" s="174">
        <f t="shared" si="1"/>
        <v>2760139</v>
      </c>
    </row>
    <row r="10" spans="1:9">
      <c r="A10" s="199" t="s">
        <v>153</v>
      </c>
      <c r="B10" s="167"/>
      <c r="C10" s="173">
        <v>22</v>
      </c>
      <c r="E10" s="202">
        <f>89320116-E11</f>
        <v>56724526</v>
      </c>
      <c r="F10" s="202">
        <v>-1524703</v>
      </c>
      <c r="G10" s="202">
        <v>0</v>
      </c>
      <c r="H10" s="166">
        <f t="shared" si="0"/>
        <v>-1524703</v>
      </c>
      <c r="I10" s="174">
        <f t="shared" si="1"/>
        <v>55199823</v>
      </c>
    </row>
    <row r="11" spans="1:9">
      <c r="A11" s="199" t="s">
        <v>208</v>
      </c>
      <c r="B11" s="167"/>
      <c r="C11" s="173"/>
      <c r="E11" s="202">
        <v>32595590</v>
      </c>
      <c r="F11" s="202">
        <v>0</v>
      </c>
      <c r="G11" s="202">
        <v>0</v>
      </c>
      <c r="H11" s="166">
        <f t="shared" si="0"/>
        <v>0</v>
      </c>
      <c r="I11" s="174">
        <f t="shared" si="1"/>
        <v>32595590</v>
      </c>
    </row>
    <row r="12" spans="1:9">
      <c r="A12" s="199" t="s">
        <v>209</v>
      </c>
      <c r="B12" s="167"/>
      <c r="C12" s="173">
        <v>31</v>
      </c>
      <c r="E12" s="202">
        <v>5020</v>
      </c>
      <c r="F12" s="202">
        <v>0</v>
      </c>
      <c r="G12" s="202">
        <v>0</v>
      </c>
      <c r="H12" s="166">
        <f t="shared" si="0"/>
        <v>0</v>
      </c>
      <c r="I12" s="174">
        <f t="shared" si="1"/>
        <v>5020</v>
      </c>
    </row>
    <row r="13" spans="1:9">
      <c r="A13" s="199" t="s">
        <v>154</v>
      </c>
      <c r="B13" s="167"/>
      <c r="C13" s="173">
        <v>1198</v>
      </c>
      <c r="E13" s="202">
        <v>3578838</v>
      </c>
      <c r="F13" s="202">
        <v>-1733928</v>
      </c>
      <c r="G13" s="202">
        <v>1723583</v>
      </c>
      <c r="H13" s="166">
        <f t="shared" si="0"/>
        <v>-10345</v>
      </c>
      <c r="I13" s="174">
        <f t="shared" si="1"/>
        <v>3568493</v>
      </c>
    </row>
    <row r="14" spans="1:9">
      <c r="A14" s="199" t="s">
        <v>155</v>
      </c>
      <c r="B14" s="167"/>
      <c r="C14" s="173">
        <v>1183</v>
      </c>
      <c r="E14" s="202">
        <v>251557</v>
      </c>
      <c r="F14" s="202">
        <v>-135994</v>
      </c>
      <c r="G14" s="202">
        <v>118868</v>
      </c>
      <c r="H14" s="166">
        <f t="shared" si="0"/>
        <v>-17126</v>
      </c>
      <c r="I14" s="174">
        <f t="shared" si="1"/>
        <v>234431</v>
      </c>
    </row>
    <row r="15" spans="1:9">
      <c r="A15" s="199" t="s">
        <v>210</v>
      </c>
      <c r="B15" s="167"/>
      <c r="C15" s="173">
        <v>403</v>
      </c>
      <c r="E15" s="202">
        <f>1201983+1</f>
        <v>1201984</v>
      </c>
      <c r="F15" s="202"/>
      <c r="G15" s="202"/>
      <c r="H15" s="166">
        <f t="shared" si="0"/>
        <v>0</v>
      </c>
      <c r="I15" s="174">
        <f t="shared" si="1"/>
        <v>1201984</v>
      </c>
    </row>
    <row r="16" spans="1:9">
      <c r="A16" s="199" t="s">
        <v>211</v>
      </c>
      <c r="B16" s="167"/>
      <c r="C16" s="173"/>
      <c r="E16" s="202">
        <v>458946</v>
      </c>
      <c r="F16" s="202"/>
      <c r="G16" s="202"/>
      <c r="H16" s="166">
        <f t="shared" si="0"/>
        <v>0</v>
      </c>
      <c r="I16" s="174">
        <f t="shared" si="1"/>
        <v>458946</v>
      </c>
    </row>
    <row r="17" spans="1:9">
      <c r="A17" s="199" t="s">
        <v>212</v>
      </c>
      <c r="B17" s="167"/>
      <c r="C17" s="173"/>
      <c r="E17" s="202">
        <v>244451</v>
      </c>
      <c r="F17" s="202"/>
      <c r="G17" s="202"/>
      <c r="H17" s="166">
        <f t="shared" si="0"/>
        <v>0</v>
      </c>
      <c r="I17" s="174">
        <f t="shared" si="1"/>
        <v>244451</v>
      </c>
    </row>
    <row r="18" spans="1:9">
      <c r="A18" s="167"/>
      <c r="B18" s="167"/>
      <c r="C18" s="175">
        <f>SUM(C4:C17)</f>
        <v>246415</v>
      </c>
      <c r="E18" s="175">
        <f t="shared" ref="E18:I18" si="2">SUM(E4:E17)</f>
        <v>493703197</v>
      </c>
      <c r="F18" s="175">
        <f t="shared" si="2"/>
        <v>-226595338</v>
      </c>
      <c r="G18" s="175">
        <f t="shared" si="2"/>
        <v>196874846</v>
      </c>
      <c r="H18" s="175">
        <f t="shared" si="2"/>
        <v>-29720492</v>
      </c>
      <c r="I18" s="175">
        <f t="shared" si="2"/>
        <v>463982705</v>
      </c>
    </row>
    <row r="19" spans="1:9" ht="15" thickBot="1">
      <c r="A19" s="167"/>
      <c r="B19" s="167"/>
      <c r="C19" s="167"/>
      <c r="E19" s="167"/>
      <c r="F19" s="167"/>
      <c r="G19" s="167"/>
      <c r="I19" s="167"/>
    </row>
    <row r="20" spans="1:9">
      <c r="A20" s="167" t="s">
        <v>19</v>
      </c>
      <c r="B20" s="167"/>
      <c r="C20" s="176">
        <f>C4+C5</f>
        <v>210418</v>
      </c>
      <c r="E20" s="177">
        <f>E4+E5</f>
        <v>230506821</v>
      </c>
      <c r="F20" s="177">
        <f t="shared" ref="F20:I20" si="3">F4+F5</f>
        <v>-134090421</v>
      </c>
      <c r="G20" s="177">
        <f t="shared" si="3"/>
        <v>113102742</v>
      </c>
      <c r="H20" s="177">
        <f t="shared" si="3"/>
        <v>-20987679</v>
      </c>
      <c r="I20" s="176">
        <f t="shared" si="3"/>
        <v>209519142</v>
      </c>
    </row>
    <row r="21" spans="1:9">
      <c r="A21" s="167"/>
      <c r="B21" s="167"/>
      <c r="C21" s="178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35572</v>
      </c>
      <c r="E22" s="196">
        <f>SUM(E6:E9,E12:E14)</f>
        <v>171970879</v>
      </c>
      <c r="F22" s="196">
        <f t="shared" ref="F22:H22" si="4">SUM(F6:F9,F12:F14)</f>
        <v>-90980214</v>
      </c>
      <c r="G22" s="196">
        <f t="shared" si="4"/>
        <v>83772104</v>
      </c>
      <c r="H22" s="196">
        <f t="shared" si="4"/>
        <v>-7208110</v>
      </c>
      <c r="I22" s="195">
        <f>SUM(I6:I9,I12:I14)</f>
        <v>164762769</v>
      </c>
    </row>
    <row r="23" spans="1:9">
      <c r="A23" s="167"/>
      <c r="B23" s="167"/>
      <c r="C23" s="167"/>
      <c r="D23" s="167"/>
      <c r="E23" s="167"/>
    </row>
    <row r="24" spans="1:9" ht="55.95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</row>
    <row r="26" spans="1:9">
      <c r="A26" s="199" t="s">
        <v>148</v>
      </c>
      <c r="B26" s="167"/>
      <c r="C26" s="200">
        <v>1821388.5</v>
      </c>
      <c r="D26" s="200">
        <v>20473107.329999998</v>
      </c>
      <c r="E26" s="203">
        <v>-12234755</v>
      </c>
      <c r="F26" s="203">
        <v>10433942</v>
      </c>
      <c r="G26" s="191">
        <f>SUM(D26:F26)</f>
        <v>18672294.329999998</v>
      </c>
      <c r="H26" s="191">
        <f>-I63</f>
        <v>-30207.728999999992</v>
      </c>
      <c r="I26" s="191">
        <f>SUM(G26:H26)</f>
        <v>18642086.601</v>
      </c>
    </row>
    <row r="27" spans="1:9">
      <c r="A27" s="199" t="s">
        <v>207</v>
      </c>
      <c r="B27" s="167"/>
      <c r="C27" s="200">
        <v>2660.5</v>
      </c>
      <c r="D27" s="200">
        <v>40256.199999999997</v>
      </c>
      <c r="E27" s="203">
        <v>-11770</v>
      </c>
      <c r="F27" s="203">
        <v>12343</v>
      </c>
      <c r="G27" s="191">
        <f t="shared" ref="G27:G36" si="5">SUM(D27:F27)</f>
        <v>40829.199999999997</v>
      </c>
      <c r="H27" s="191">
        <f t="shared" ref="H27:H35" si="6">-I64</f>
        <v>17.928059999999988</v>
      </c>
      <c r="I27" s="191">
        <f t="shared" ref="I27:I36" si="7">SUM(G27:H27)</f>
        <v>40847.128059999995</v>
      </c>
    </row>
    <row r="28" spans="1:9">
      <c r="A28" s="199" t="s">
        <v>149</v>
      </c>
      <c r="B28" s="167"/>
      <c r="C28" s="200">
        <f>2861.37+406008</f>
        <v>408869.37</v>
      </c>
      <c r="D28" s="200">
        <v>5736029.7800000003</v>
      </c>
      <c r="E28" s="203">
        <v>-3032166</v>
      </c>
      <c r="F28" s="203">
        <v>2815492</v>
      </c>
      <c r="G28" s="191">
        <f t="shared" si="5"/>
        <v>5519355.7800000003</v>
      </c>
      <c r="H28" s="191">
        <f t="shared" si="6"/>
        <v>-11346.383350000004</v>
      </c>
      <c r="I28" s="191">
        <f t="shared" si="7"/>
        <v>5508009.3966500005</v>
      </c>
    </row>
    <row r="29" spans="1:9">
      <c r="A29" s="199" t="s">
        <v>150</v>
      </c>
      <c r="B29" s="167"/>
      <c r="C29" s="200">
        <f>401.52+163044+18</f>
        <v>163463.51999999999</v>
      </c>
      <c r="D29" s="200">
        <v>807307.63</v>
      </c>
      <c r="E29" s="203">
        <v>-446790</v>
      </c>
      <c r="F29" s="203">
        <v>400353</v>
      </c>
      <c r="G29" s="191">
        <f t="shared" si="5"/>
        <v>760870.63</v>
      </c>
      <c r="H29" s="191">
        <f t="shared" si="6"/>
        <v>-918.96670999999992</v>
      </c>
      <c r="I29" s="191">
        <f t="shared" si="7"/>
        <v>759951.66329000005</v>
      </c>
    </row>
    <row r="30" spans="1:9">
      <c r="A30" s="199" t="s">
        <v>151</v>
      </c>
      <c r="B30" s="167"/>
      <c r="C30" s="200">
        <v>941366.67</v>
      </c>
      <c r="D30" s="200">
        <v>9935072.6300000008</v>
      </c>
      <c r="E30" s="203">
        <v>-4654363</v>
      </c>
      <c r="F30" s="203">
        <v>4333682</v>
      </c>
      <c r="G30" s="191">
        <f t="shared" si="5"/>
        <v>9614391.6300000008</v>
      </c>
      <c r="H30" s="191">
        <f t="shared" si="6"/>
        <v>-19278.232600000003</v>
      </c>
      <c r="I30" s="191">
        <f t="shared" si="7"/>
        <v>9595113.3974000011</v>
      </c>
    </row>
    <row r="31" spans="1:9">
      <c r="A31" s="199" t="s">
        <v>152</v>
      </c>
      <c r="B31" s="167"/>
      <c r="C31" s="200">
        <v>25000</v>
      </c>
      <c r="D31" s="200">
        <v>253408.58</v>
      </c>
      <c r="E31" s="203">
        <v>-119819</v>
      </c>
      <c r="F31" s="203">
        <v>114266</v>
      </c>
      <c r="G31" s="191">
        <f t="shared" si="5"/>
        <v>247855.58</v>
      </c>
      <c r="H31" s="191">
        <f t="shared" si="6"/>
        <v>-567.35037999999997</v>
      </c>
      <c r="I31" s="191">
        <f t="shared" si="7"/>
        <v>247288.22962</v>
      </c>
    </row>
    <row r="32" spans="1:9">
      <c r="A32" s="199" t="s">
        <v>153</v>
      </c>
      <c r="B32" s="167"/>
      <c r="C32" s="200">
        <v>462000</v>
      </c>
      <c r="D32" s="200">
        <f>5301818.81-83380.1</f>
        <v>5218438.71</v>
      </c>
      <c r="E32" s="203">
        <v>-100321</v>
      </c>
      <c r="F32" s="203">
        <v>0</v>
      </c>
      <c r="G32" s="191">
        <f t="shared" si="5"/>
        <v>5118117.71</v>
      </c>
      <c r="H32" s="191">
        <f t="shared" si="6"/>
        <v>853.8336799999995</v>
      </c>
      <c r="I32" s="191">
        <f t="shared" si="7"/>
        <v>5118971.5436800001</v>
      </c>
    </row>
    <row r="33" spans="1:13">
      <c r="A33" s="199" t="s">
        <v>209</v>
      </c>
      <c r="B33" s="167"/>
      <c r="C33" s="200">
        <v>558</v>
      </c>
      <c r="D33" s="200">
        <v>901.19</v>
      </c>
      <c r="E33" s="203">
        <v>0</v>
      </c>
      <c r="F33" s="203">
        <v>0</v>
      </c>
      <c r="G33" s="191">
        <f t="shared" si="5"/>
        <v>901.19</v>
      </c>
      <c r="H33" s="191">
        <f t="shared" si="6"/>
        <v>0</v>
      </c>
      <c r="I33" s="191">
        <f t="shared" si="7"/>
        <v>901.19</v>
      </c>
    </row>
    <row r="34" spans="1:13">
      <c r="A34" s="199" t="s">
        <v>154</v>
      </c>
      <c r="B34" s="167"/>
      <c r="C34" s="200">
        <v>21708</v>
      </c>
      <c r="D34" s="200">
        <v>317946.55</v>
      </c>
      <c r="E34" s="203">
        <v>-154588</v>
      </c>
      <c r="F34" s="203">
        <v>155368</v>
      </c>
      <c r="G34" s="191">
        <f t="shared" si="5"/>
        <v>318726.55</v>
      </c>
      <c r="H34" s="191">
        <f t="shared" si="6"/>
        <v>-780.22728000000018</v>
      </c>
      <c r="I34" s="191">
        <f t="shared" si="7"/>
        <v>317946.32272</v>
      </c>
    </row>
    <row r="35" spans="1:13">
      <c r="A35" s="199" t="s">
        <v>155</v>
      </c>
      <c r="B35" s="167"/>
      <c r="C35" s="200">
        <v>21438</v>
      </c>
      <c r="D35" s="200">
        <v>42976.9</v>
      </c>
      <c r="E35" s="203">
        <v>-20922</v>
      </c>
      <c r="F35" s="203">
        <v>19878</v>
      </c>
      <c r="G35" s="191">
        <f t="shared" si="5"/>
        <v>41932.9</v>
      </c>
      <c r="H35" s="191">
        <f t="shared" si="6"/>
        <v>-38.409580000000005</v>
      </c>
      <c r="I35" s="191">
        <f t="shared" si="7"/>
        <v>41894.490420000002</v>
      </c>
    </row>
    <row r="36" spans="1:13">
      <c r="A36" s="199" t="s">
        <v>221</v>
      </c>
      <c r="B36" s="167"/>
      <c r="C36" s="191"/>
      <c r="D36" s="200">
        <v>578043.13</v>
      </c>
      <c r="E36" s="200"/>
      <c r="F36" s="200"/>
      <c r="G36" s="191">
        <f t="shared" si="5"/>
        <v>578043.13</v>
      </c>
      <c r="H36" s="191"/>
      <c r="I36" s="191">
        <f t="shared" si="7"/>
        <v>578043.13</v>
      </c>
    </row>
    <row r="37" spans="1:13">
      <c r="A37" s="199" t="s">
        <v>222</v>
      </c>
      <c r="B37" s="167"/>
      <c r="C37" s="186"/>
      <c r="D37" s="200">
        <v>839982.73</v>
      </c>
      <c r="E37" s="200"/>
      <c r="F37" s="200"/>
      <c r="G37" s="191"/>
      <c r="H37" s="191"/>
      <c r="I37" s="191"/>
    </row>
    <row r="38" spans="1:13">
      <c r="A38" s="199" t="s">
        <v>223</v>
      </c>
      <c r="B38" s="167"/>
      <c r="C38" s="186"/>
      <c r="D38" s="200">
        <v>1649047.61</v>
      </c>
      <c r="E38" s="200"/>
      <c r="F38" s="200"/>
      <c r="G38" s="191"/>
      <c r="H38" s="191"/>
      <c r="I38" s="191"/>
    </row>
    <row r="39" spans="1:13">
      <c r="A39" s="167"/>
      <c r="B39" s="167"/>
      <c r="C39" s="181">
        <f>SUM(C26:C38)</f>
        <v>3868452.56</v>
      </c>
      <c r="D39" s="181">
        <f t="shared" ref="D39:I39" si="8">SUM(D26:D38)</f>
        <v>45892518.969999991</v>
      </c>
      <c r="E39" s="181">
        <f t="shared" si="8"/>
        <v>-20775494</v>
      </c>
      <c r="F39" s="181">
        <f t="shared" si="8"/>
        <v>18285324</v>
      </c>
      <c r="G39" s="181">
        <f t="shared" si="8"/>
        <v>40913318.629999995</v>
      </c>
      <c r="H39" s="181">
        <f t="shared" si="8"/>
        <v>-62265.537160000007</v>
      </c>
      <c r="I39" s="181">
        <f t="shared" si="8"/>
        <v>40851053.092840001</v>
      </c>
    </row>
    <row r="40" spans="1:13" ht="15" thickBot="1">
      <c r="A40" s="167"/>
      <c r="B40" s="167"/>
      <c r="D40" s="182"/>
      <c r="E40" s="167"/>
      <c r="F40" s="167"/>
    </row>
    <row r="41" spans="1:13">
      <c r="A41" s="167" t="s">
        <v>19</v>
      </c>
      <c r="B41" s="167"/>
      <c r="C41" s="184">
        <f>C26+C27</f>
        <v>1824049</v>
      </c>
      <c r="D41" s="183">
        <f t="shared" ref="D41:I41" si="9">D26+D27</f>
        <v>20513363.529999997</v>
      </c>
      <c r="E41" s="183">
        <f t="shared" si="9"/>
        <v>-12246525</v>
      </c>
      <c r="F41" s="183">
        <f t="shared" si="9"/>
        <v>10446285</v>
      </c>
      <c r="G41" s="183">
        <f t="shared" si="9"/>
        <v>18713123.529999997</v>
      </c>
      <c r="H41" s="183">
        <f t="shared" si="9"/>
        <v>-30189.800939999994</v>
      </c>
      <c r="I41" s="184">
        <f t="shared" si="9"/>
        <v>18682933.729059998</v>
      </c>
    </row>
    <row r="42" spans="1:13">
      <c r="A42" s="167"/>
      <c r="B42" s="167"/>
      <c r="C42" s="190"/>
      <c r="D42" s="183"/>
      <c r="E42" s="167"/>
      <c r="F42" s="167"/>
      <c r="I42" s="185"/>
    </row>
    <row r="43" spans="1:13" ht="15" thickBot="1">
      <c r="A43" s="167" t="s">
        <v>213</v>
      </c>
      <c r="B43" s="167"/>
      <c r="C43" s="193">
        <f>SUM(C28:C31,C33:C35)</f>
        <v>1582403.56</v>
      </c>
      <c r="D43" s="194">
        <f t="shared" ref="D43:I43" si="10">SUM(D28:D31,D33:D35)</f>
        <v>17093643.259999998</v>
      </c>
      <c r="E43" s="194">
        <f t="shared" si="10"/>
        <v>-8428648</v>
      </c>
      <c r="F43" s="194">
        <f t="shared" si="10"/>
        <v>7839039</v>
      </c>
      <c r="G43" s="194">
        <f t="shared" si="10"/>
        <v>16504034.260000002</v>
      </c>
      <c r="H43" s="194">
        <f t="shared" si="10"/>
        <v>-32929.56990000001</v>
      </c>
      <c r="I43" s="193">
        <f t="shared" si="10"/>
        <v>16471104.690100003</v>
      </c>
    </row>
    <row r="44" spans="1:13">
      <c r="A44" s="167"/>
      <c r="B44" s="167"/>
      <c r="C44" s="167"/>
    </row>
    <row r="45" spans="1:13">
      <c r="A45" s="172"/>
      <c r="D45" s="167"/>
      <c r="I45" s="186" t="s">
        <v>242</v>
      </c>
    </row>
    <row r="46" spans="1:13">
      <c r="C46" s="188">
        <v>42309</v>
      </c>
      <c r="D46" s="188">
        <v>42278</v>
      </c>
      <c r="E46" s="188">
        <v>42217</v>
      </c>
      <c r="F46" s="164">
        <v>42380</v>
      </c>
      <c r="G46" s="164">
        <v>42380</v>
      </c>
      <c r="H46" s="192">
        <v>42005</v>
      </c>
      <c r="I46" s="164">
        <v>42380</v>
      </c>
      <c r="J46" s="164">
        <v>42380</v>
      </c>
      <c r="K46" s="192"/>
      <c r="L46" s="164"/>
      <c r="M46" s="164"/>
    </row>
    <row r="47" spans="1:13" ht="27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80" t="s">
        <v>229</v>
      </c>
      <c r="K47" s="206"/>
      <c r="L47" s="180"/>
      <c r="M47" s="180"/>
    </row>
    <row r="48" spans="1:13">
      <c r="A48" s="199" t="s">
        <v>148</v>
      </c>
      <c r="B48" s="167"/>
      <c r="C48" s="187">
        <v>-2.7E-4</v>
      </c>
      <c r="D48" s="187"/>
      <c r="E48" s="187">
        <v>2.15E-3</v>
      </c>
      <c r="F48" s="187">
        <v>9.1E-4</v>
      </c>
      <c r="G48" s="187">
        <v>0</v>
      </c>
      <c r="H48" s="187">
        <v>-1.0399999999999999E-3</v>
      </c>
      <c r="I48" s="187">
        <f>0.00091-0.00002</f>
        <v>8.8999999999999995E-4</v>
      </c>
      <c r="J48" s="187">
        <v>-4.8000000000000001E-4</v>
      </c>
      <c r="L48" s="187"/>
      <c r="M48" s="187"/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9.1E-4</v>
      </c>
      <c r="G49" s="187">
        <v>0</v>
      </c>
      <c r="H49" s="187">
        <v>-1.0399999999999999E-3</v>
      </c>
      <c r="I49" s="187">
        <f>I48</f>
        <v>8.8999999999999995E-4</v>
      </c>
      <c r="J49" s="187">
        <f>J48</f>
        <v>-4.8000000000000001E-4</v>
      </c>
      <c r="L49" s="187"/>
      <c r="M49" s="187"/>
    </row>
    <row r="50" spans="1:13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1.32E-3</v>
      </c>
      <c r="G50" s="187">
        <v>0</v>
      </c>
      <c r="H50" s="187">
        <v>-1.0399999999999999E-3</v>
      </c>
      <c r="I50" s="187">
        <f>0.00132-0.00003</f>
        <v>1.2899999999999999E-3</v>
      </c>
      <c r="J50" s="187">
        <v>-6.4000000000000005E-4</v>
      </c>
      <c r="L50" s="187"/>
      <c r="M50" s="187"/>
    </row>
    <row r="51" spans="1:13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1.32E-3</v>
      </c>
      <c r="G51" s="187">
        <v>0</v>
      </c>
      <c r="H51" s="187">
        <v>-1.0399999999999999E-3</v>
      </c>
      <c r="I51" s="187">
        <f>I50</f>
        <v>1.2899999999999999E-3</v>
      </c>
      <c r="J51" s="187">
        <f>J50</f>
        <v>-6.4000000000000005E-4</v>
      </c>
      <c r="L51" s="187"/>
      <c r="M51" s="187"/>
    </row>
    <row r="52" spans="1:13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9.5E-4</v>
      </c>
      <c r="G52" s="187">
        <v>0</v>
      </c>
      <c r="H52" s="187">
        <v>-1.06E-3</v>
      </c>
      <c r="I52" s="187">
        <f>0.00095-0.00002</f>
        <v>9.2999999999999995E-4</v>
      </c>
      <c r="J52" s="187">
        <f>-0.00048</f>
        <v>-4.8000000000000001E-4</v>
      </c>
      <c r="L52" s="187"/>
      <c r="M52" s="187"/>
    </row>
    <row r="53" spans="1:13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9.5E-4</v>
      </c>
      <c r="G53" s="187">
        <v>0</v>
      </c>
      <c r="H53" s="187">
        <v>-1.06E-3</v>
      </c>
      <c r="I53" s="187">
        <f>I52</f>
        <v>9.2999999999999995E-4</v>
      </c>
      <c r="J53" s="187">
        <f>J52</f>
        <v>-4.8000000000000001E-4</v>
      </c>
      <c r="L53" s="187"/>
      <c r="M53" s="187"/>
    </row>
    <row r="54" spans="1:13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5.9999999999999995E-4</v>
      </c>
      <c r="G54" s="187">
        <v>0</v>
      </c>
      <c r="H54" s="187">
        <v>-1.0200000000000001E-3</v>
      </c>
      <c r="I54" s="187">
        <f>0.0006-0.00008</f>
        <v>5.1999999999999995E-4</v>
      </c>
      <c r="J54" s="187">
        <v>-3.1E-4</v>
      </c>
      <c r="L54" s="187"/>
      <c r="M54" s="187"/>
    </row>
    <row r="55" spans="1:13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0</v>
      </c>
      <c r="H55" s="187">
        <v>-1.0200000000000001E-3</v>
      </c>
      <c r="I55" s="187">
        <v>0</v>
      </c>
      <c r="J55" s="187">
        <f>J54</f>
        <v>-3.1E-4</v>
      </c>
      <c r="L55" s="187"/>
      <c r="M55" s="187"/>
    </row>
    <row r="56" spans="1:13">
      <c r="A56" s="199" t="s">
        <v>209</v>
      </c>
      <c r="B56" s="167"/>
      <c r="C56" s="187">
        <v>0</v>
      </c>
      <c r="D56" s="187"/>
      <c r="E56" s="187">
        <v>1.98E-3</v>
      </c>
      <c r="F56" s="187">
        <v>8.3000000000000001E-4</v>
      </c>
      <c r="G56" s="187">
        <v>0</v>
      </c>
      <c r="H56" s="187">
        <v>-1.1299999999999999E-3</v>
      </c>
      <c r="I56" s="187">
        <f>0.00083-0.00002</f>
        <v>8.0999999999999996E-4</v>
      </c>
      <c r="J56" s="187">
        <v>-4.4000000000000002E-4</v>
      </c>
      <c r="L56" s="187"/>
      <c r="M56" s="187"/>
    </row>
    <row r="57" spans="1:13">
      <c r="A57" s="199" t="s">
        <v>154</v>
      </c>
      <c r="B57" s="167"/>
      <c r="C57" s="187">
        <v>0</v>
      </c>
      <c r="D57" s="187"/>
      <c r="E57" s="187">
        <v>1.98E-3</v>
      </c>
      <c r="F57" s="187">
        <v>8.3000000000000001E-4</v>
      </c>
      <c r="G57" s="187">
        <v>0</v>
      </c>
      <c r="H57" s="187">
        <v>-1.1299999999999999E-3</v>
      </c>
      <c r="I57" s="187">
        <f>I56</f>
        <v>8.0999999999999996E-4</v>
      </c>
      <c r="J57" s="187">
        <f>J56</f>
        <v>-4.4000000000000002E-4</v>
      </c>
      <c r="L57" s="187"/>
      <c r="M57" s="187"/>
    </row>
    <row r="58" spans="1:13">
      <c r="A58" s="199" t="s">
        <v>155</v>
      </c>
      <c r="B58" s="167"/>
      <c r="C58" s="187">
        <v>-2.7E-4</v>
      </c>
      <c r="D58" s="187"/>
      <c r="E58" s="187">
        <v>1.98E-3</v>
      </c>
      <c r="F58" s="187">
        <v>8.3000000000000001E-4</v>
      </c>
      <c r="G58" s="187">
        <v>0</v>
      </c>
      <c r="H58" s="187">
        <v>-1.1299999999999999E-3</v>
      </c>
      <c r="I58" s="187">
        <f>I56</f>
        <v>8.0999999999999996E-4</v>
      </c>
      <c r="J58" s="187">
        <f>J56</f>
        <v>-4.4000000000000002E-4</v>
      </c>
      <c r="L58" s="187"/>
      <c r="M58" s="187"/>
    </row>
    <row r="59" spans="1:13" ht="14.4" customHeight="1">
      <c r="A59" s="199" t="s">
        <v>221</v>
      </c>
      <c r="B59" s="167"/>
      <c r="C59" s="187"/>
      <c r="D59" s="187"/>
      <c r="E59" s="233" t="s">
        <v>231</v>
      </c>
      <c r="F59" s="233" t="s">
        <v>241</v>
      </c>
      <c r="G59" s="187">
        <v>0</v>
      </c>
      <c r="H59" s="187">
        <v>-1.0499999999999999E-3</v>
      </c>
      <c r="I59" s="208"/>
      <c r="J59" s="187"/>
      <c r="L59" s="233"/>
      <c r="M59" s="187"/>
    </row>
    <row r="60" spans="1:13">
      <c r="A60" s="199" t="s">
        <v>212</v>
      </c>
      <c r="B60" s="167"/>
      <c r="C60" s="187">
        <v>-2.7E-4</v>
      </c>
      <c r="D60" s="187"/>
      <c r="E60" s="233"/>
      <c r="F60" s="233"/>
      <c r="G60" s="187">
        <v>0</v>
      </c>
      <c r="H60" s="187">
        <v>-1.0499999999999999E-3</v>
      </c>
      <c r="I60" s="208"/>
      <c r="J60" s="187"/>
      <c r="L60" s="233"/>
      <c r="M60" s="187"/>
    </row>
    <row r="61" spans="1:13">
      <c r="D61" s="167"/>
    </row>
    <row r="62" spans="1:13" ht="42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13">
      <c r="A63" s="199" t="s">
        <v>148</v>
      </c>
      <c r="C63" s="183">
        <f t="shared" ref="C63:H68" si="11">$H4*C48</f>
        <v>5667.76062</v>
      </c>
      <c r="D63" s="183">
        <f t="shared" si="11"/>
        <v>0</v>
      </c>
      <c r="E63" s="183">
        <f t="shared" si="11"/>
        <v>-45132.1679</v>
      </c>
      <c r="F63" s="204">
        <f>$G4*F48+F4*I48</f>
        <v>-16424.723880000005</v>
      </c>
      <c r="G63" s="204">
        <f t="shared" ref="G63:G69" si="12">$G4*G48+F4*J48</f>
        <v>64265.485919999999</v>
      </c>
      <c r="H63" s="183">
        <f t="shared" si="11"/>
        <v>21831.374239999997</v>
      </c>
      <c r="I63" s="183">
        <f>SUM(C63:H63)</f>
        <v>30207.728999999992</v>
      </c>
    </row>
    <row r="64" spans="1:13">
      <c r="A64" s="199" t="s">
        <v>207</v>
      </c>
      <c r="C64" s="183">
        <f t="shared" si="11"/>
        <v>-1.0872900000000001</v>
      </c>
      <c r="D64" s="183">
        <f t="shared" si="11"/>
        <v>-126.97131000000002</v>
      </c>
      <c r="E64" s="183">
        <f t="shared" si="11"/>
        <v>8.6580499999999994</v>
      </c>
      <c r="F64" s="204">
        <f t="shared" ref="F64:F69" si="13">$G5*F49+F5*I49</f>
        <v>7.7444100000000162</v>
      </c>
      <c r="G64" s="204">
        <f t="shared" si="12"/>
        <v>97.916160000000005</v>
      </c>
      <c r="H64" s="183">
        <f t="shared" si="11"/>
        <v>-4.1880799999999994</v>
      </c>
      <c r="I64" s="183">
        <f t="shared" ref="I64:I73" si="14">SUM(C64:H64)</f>
        <v>-17.928059999999988</v>
      </c>
    </row>
    <row r="65" spans="1:9">
      <c r="A65" s="199" t="s">
        <v>149</v>
      </c>
      <c r="C65" s="183">
        <f t="shared" si="11"/>
        <v>0</v>
      </c>
      <c r="D65" s="183">
        <f t="shared" si="11"/>
        <v>0</v>
      </c>
      <c r="E65" s="183">
        <f t="shared" si="11"/>
        <v>-5687.9621700000007</v>
      </c>
      <c r="F65" s="204">
        <f t="shared" si="13"/>
        <v>-1810.5547199999965</v>
      </c>
      <c r="G65" s="204">
        <f t="shared" si="12"/>
        <v>16798.021120000001</v>
      </c>
      <c r="H65" s="183">
        <f t="shared" si="11"/>
        <v>2046.8791199999998</v>
      </c>
      <c r="I65" s="183">
        <f t="shared" si="14"/>
        <v>11346.383350000004</v>
      </c>
    </row>
    <row r="66" spans="1:9">
      <c r="A66" s="199" t="s">
        <v>150</v>
      </c>
      <c r="C66" s="183">
        <f t="shared" si="11"/>
        <v>120.15945000000001</v>
      </c>
      <c r="D66" s="183">
        <f t="shared" si="11"/>
        <v>0</v>
      </c>
      <c r="E66" s="183">
        <f t="shared" si="11"/>
        <v>-1286.1511500000001</v>
      </c>
      <c r="F66" s="204">
        <f t="shared" si="13"/>
        <v>-488.51031000000012</v>
      </c>
      <c r="G66" s="204">
        <f t="shared" si="12"/>
        <v>2110.6323200000002</v>
      </c>
      <c r="H66" s="183">
        <f t="shared" si="11"/>
        <v>462.83639999999997</v>
      </c>
      <c r="I66" s="183">
        <f t="shared" si="14"/>
        <v>918.96670999999992</v>
      </c>
    </row>
    <row r="67" spans="1:9">
      <c r="A67" s="199" t="s">
        <v>151</v>
      </c>
      <c r="C67" s="183">
        <f t="shared" si="11"/>
        <v>0</v>
      </c>
      <c r="D67" s="183">
        <f t="shared" si="11"/>
        <v>0</v>
      </c>
      <c r="E67" s="183">
        <f t="shared" si="11"/>
        <v>-10270.062</v>
      </c>
      <c r="F67" s="204">
        <f t="shared" si="13"/>
        <v>-3273.4078399999999</v>
      </c>
      <c r="G67" s="204">
        <f t="shared" si="12"/>
        <v>27873.399840000002</v>
      </c>
      <c r="H67" s="183">
        <f t="shared" si="11"/>
        <v>4948.3026</v>
      </c>
      <c r="I67" s="183">
        <f t="shared" si="14"/>
        <v>19278.232600000003</v>
      </c>
    </row>
    <row r="68" spans="1:9">
      <c r="A68" s="199" t="s">
        <v>152</v>
      </c>
      <c r="C68" s="183">
        <f t="shared" si="11"/>
        <v>26.795069999999999</v>
      </c>
      <c r="D68" s="183">
        <f t="shared" si="11"/>
        <v>0</v>
      </c>
      <c r="E68" s="183">
        <f t="shared" si="11"/>
        <v>-218.33020000000002</v>
      </c>
      <c r="F68" s="204">
        <f t="shared" si="13"/>
        <v>-64.360190000000102</v>
      </c>
      <c r="G68" s="204">
        <f t="shared" si="12"/>
        <v>718.05024000000003</v>
      </c>
      <c r="H68" s="183">
        <f t="shared" si="11"/>
        <v>105.19546</v>
      </c>
      <c r="I68" s="183">
        <f t="shared" si="14"/>
        <v>567.35037999999997</v>
      </c>
    </row>
    <row r="69" spans="1:9">
      <c r="A69" s="199" t="s">
        <v>153</v>
      </c>
      <c r="C69" s="183">
        <f t="shared" ref="C69:E69" si="15">$H10*C54+$H11*C55</f>
        <v>0</v>
      </c>
      <c r="D69" s="183">
        <f t="shared" si="15"/>
        <v>0</v>
      </c>
      <c r="E69" s="183">
        <f t="shared" si="15"/>
        <v>-2088.8431099999998</v>
      </c>
      <c r="F69" s="204">
        <f t="shared" si="13"/>
        <v>-792.84555999999998</v>
      </c>
      <c r="G69" s="204">
        <f t="shared" si="12"/>
        <v>472.65793000000002</v>
      </c>
      <c r="H69" s="183">
        <f>$H10*H54+$H11*H55</f>
        <v>1555.1970600000002</v>
      </c>
      <c r="I69" s="183">
        <f t="shared" si="14"/>
        <v>-853.8336799999995</v>
      </c>
    </row>
    <row r="70" spans="1:9">
      <c r="A70" s="199" t="s">
        <v>209</v>
      </c>
      <c r="C70" s="183">
        <f t="shared" ref="C70:H72" si="16">$H12*C56</f>
        <v>0</v>
      </c>
      <c r="D70" s="183">
        <f t="shared" si="16"/>
        <v>0</v>
      </c>
      <c r="E70" s="183">
        <f t="shared" si="16"/>
        <v>0</v>
      </c>
      <c r="F70" s="204">
        <f>$G12*F56+F12*I56</f>
        <v>0</v>
      </c>
      <c r="G70" s="204">
        <f>$G12*G56+F12*J56</f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C71" s="183">
        <f t="shared" si="16"/>
        <v>0</v>
      </c>
      <c r="D71" s="183">
        <f t="shared" si="16"/>
        <v>0</v>
      </c>
      <c r="E71" s="183">
        <f t="shared" si="16"/>
        <v>-20.4831</v>
      </c>
      <c r="F71" s="204">
        <f t="shared" ref="F71:F72" si="17">$G13*F57+F13*I57</f>
        <v>26.09221000000025</v>
      </c>
      <c r="G71" s="204">
        <f>$G13*G57+F13*J57</f>
        <v>762.92831999999999</v>
      </c>
      <c r="H71" s="183">
        <f t="shared" si="16"/>
        <v>11.68985</v>
      </c>
      <c r="I71" s="183">
        <f t="shared" si="14"/>
        <v>780.22728000000018</v>
      </c>
    </row>
    <row r="72" spans="1:9">
      <c r="A72" s="199" t="s">
        <v>155</v>
      </c>
      <c r="C72" s="183">
        <f t="shared" si="16"/>
        <v>4.6240199999999998</v>
      </c>
      <c r="D72" s="183">
        <f t="shared" si="16"/>
        <v>0</v>
      </c>
      <c r="E72" s="183">
        <f t="shared" si="16"/>
        <v>-33.909480000000002</v>
      </c>
      <c r="F72" s="204">
        <f t="shared" si="17"/>
        <v>-11.494699999999995</v>
      </c>
      <c r="G72" s="204">
        <f>$G14*G58+F14*J58</f>
        <v>59.837360000000004</v>
      </c>
      <c r="H72" s="183">
        <f t="shared" si="16"/>
        <v>19.35238</v>
      </c>
      <c r="I72" s="183">
        <f t="shared" si="14"/>
        <v>38.409580000000005</v>
      </c>
    </row>
    <row r="73" spans="1:9">
      <c r="A73" s="199" t="s">
        <v>221</v>
      </c>
      <c r="C73" s="183">
        <f>($H15+$H16+$H17)*C59</f>
        <v>0</v>
      </c>
      <c r="D73" s="183">
        <f>($H15+$H16+$H17)*D59</f>
        <v>0</v>
      </c>
      <c r="E73" s="203">
        <v>0</v>
      </c>
      <c r="F73" s="205">
        <v>0</v>
      </c>
      <c r="G73" s="204">
        <f>$G15*G59+F15*J59</f>
        <v>0</v>
      </c>
      <c r="H73" s="183">
        <f>($H15+$H16+$H17)*H59</f>
        <v>0</v>
      </c>
      <c r="I73" s="183">
        <f t="shared" si="14"/>
        <v>0</v>
      </c>
    </row>
    <row r="74" spans="1:9">
      <c r="A74" s="172"/>
      <c r="C74" s="198">
        <f>SUM(C63:C73)</f>
        <v>5818.2518700000001</v>
      </c>
      <c r="D74" s="198">
        <f t="shared" ref="D74:I74" si="18">SUM(D63:D73)</f>
        <v>-126.97131000000002</v>
      </c>
      <c r="E74" s="198">
        <f t="shared" si="18"/>
        <v>-64729.251059999995</v>
      </c>
      <c r="F74" s="198">
        <f t="shared" si="18"/>
        <v>-22832.060580000005</v>
      </c>
      <c r="G74" s="198">
        <f t="shared" si="18"/>
        <v>113158.92921000002</v>
      </c>
      <c r="H74" s="198">
        <f t="shared" si="18"/>
        <v>30976.639029999995</v>
      </c>
      <c r="I74" s="198">
        <f t="shared" si="18"/>
        <v>62265.537160000007</v>
      </c>
    </row>
    <row r="76" spans="1:9">
      <c r="A76" s="167" t="s">
        <v>19</v>
      </c>
      <c r="B76" s="167"/>
      <c r="C76" s="183">
        <f>C63+C64</f>
        <v>5666.6733299999996</v>
      </c>
      <c r="D76" s="183">
        <f t="shared" ref="D76:I76" si="19">D63+D64</f>
        <v>-126.97131000000002</v>
      </c>
      <c r="E76" s="183">
        <f t="shared" si="19"/>
        <v>-45123.509850000002</v>
      </c>
      <c r="F76" s="183">
        <f t="shared" si="19"/>
        <v>-16416.979470000006</v>
      </c>
      <c r="G76" s="183">
        <f t="shared" si="19"/>
        <v>64363.40208</v>
      </c>
      <c r="H76" s="183">
        <f t="shared" si="19"/>
        <v>21827.186159999997</v>
      </c>
      <c r="I76" s="183">
        <f t="shared" si="19"/>
        <v>30189.800939999994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151.57854</v>
      </c>
      <c r="D78" s="194">
        <f t="shared" ref="D78:I78" si="20">SUM(D65:D68,D70:D72)</f>
        <v>0</v>
      </c>
      <c r="E78" s="194">
        <f t="shared" si="20"/>
        <v>-17516.898100000002</v>
      </c>
      <c r="F78" s="194">
        <f t="shared" si="20"/>
        <v>-5622.2355499999967</v>
      </c>
      <c r="G78" s="194">
        <f t="shared" si="20"/>
        <v>48322.869200000001</v>
      </c>
      <c r="H78" s="194">
        <f t="shared" si="20"/>
        <v>7594.2558099999997</v>
      </c>
      <c r="I78" s="194">
        <f t="shared" si="20"/>
        <v>32929.56990000001</v>
      </c>
    </row>
  </sheetData>
  <mergeCells count="4">
    <mergeCell ref="A1:I1"/>
    <mergeCell ref="E59:E60"/>
    <mergeCell ref="F59:F60"/>
    <mergeCell ref="L59:L60"/>
  </mergeCells>
  <pageMargins left="0.7" right="0.7" top="0.66" bottom="0.64" header="0.3" footer="0.3"/>
  <pageSetup scale="75" orientation="landscape" r:id="rId1"/>
  <headerFooter>
    <oddFooter>&amp;L&amp;F / &amp;A&amp;RPage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M78"/>
  <sheetViews>
    <sheetView workbookViewId="0">
      <selection sqref="A1:I1"/>
    </sheetView>
  </sheetViews>
  <sheetFormatPr defaultRowHeight="14.4"/>
  <cols>
    <col min="1" max="1" width="17.6640625" customWidth="1"/>
    <col min="3" max="3" width="15.44140625" customWidth="1"/>
    <col min="4" max="4" width="16" customWidth="1"/>
    <col min="5" max="5" width="15.6640625" customWidth="1"/>
    <col min="6" max="6" width="15.33203125" customWidth="1"/>
    <col min="7" max="7" width="15.109375" customWidth="1"/>
    <col min="8" max="8" width="14" customWidth="1"/>
    <col min="9" max="9" width="15.6640625" customWidth="1"/>
    <col min="10" max="10" width="10.6640625" customWidth="1"/>
    <col min="11" max="11" width="10.33203125" customWidth="1"/>
    <col min="12" max="13" width="12" customWidth="1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67"/>
      <c r="B3" s="167"/>
      <c r="C3" s="167"/>
      <c r="D3" s="165"/>
      <c r="E3" s="165"/>
      <c r="F3" s="165"/>
      <c r="G3" s="165"/>
      <c r="H3" s="165"/>
      <c r="I3" s="165"/>
    </row>
    <row r="4" spans="1:9">
      <c r="A4" s="199" t="s">
        <v>148</v>
      </c>
      <c r="B4" s="167"/>
      <c r="C4" s="173">
        <f>210834-2829</f>
        <v>208005</v>
      </c>
      <c r="D4" s="165"/>
      <c r="E4" s="202">
        <f>284231394-3609242</f>
        <v>280622152</v>
      </c>
      <c r="F4" s="202">
        <v>-139705593</v>
      </c>
      <c r="G4" s="202">
        <v>133886429</v>
      </c>
      <c r="H4" s="166">
        <f>SUM(F4:G4)</f>
        <v>-5819164</v>
      </c>
      <c r="I4" s="174">
        <f>E4+H4</f>
        <v>274802988</v>
      </c>
    </row>
    <row r="5" spans="1:9">
      <c r="A5" s="199" t="s">
        <v>207</v>
      </c>
      <c r="B5" s="167"/>
      <c r="C5" s="173">
        <f>216-4</f>
        <v>212</v>
      </c>
      <c r="D5" s="165"/>
      <c r="E5" s="202">
        <f>409848-4520</f>
        <v>405328</v>
      </c>
      <c r="F5" s="202">
        <v>-187022</v>
      </c>
      <c r="G5" s="202">
        <v>203992</v>
      </c>
      <c r="H5" s="166">
        <f t="shared" ref="H5:H17" si="0">SUM(F5:G5)</f>
        <v>16970</v>
      </c>
      <c r="I5" s="174">
        <f t="shared" ref="I5:I17" si="1">E5+H5</f>
        <v>422298</v>
      </c>
    </row>
    <row r="6" spans="1:9">
      <c r="A6" s="199" t="s">
        <v>149</v>
      </c>
      <c r="B6" s="167"/>
      <c r="C6" s="173">
        <f>22391-326</f>
        <v>22065</v>
      </c>
      <c r="D6" s="165"/>
      <c r="E6" s="202">
        <f>56241868-1051356</f>
        <v>55190512</v>
      </c>
      <c r="F6" s="202">
        <v>-28764016</v>
      </c>
      <c r="G6" s="202">
        <v>26246908</v>
      </c>
      <c r="H6" s="166">
        <f t="shared" si="0"/>
        <v>-2517108</v>
      </c>
      <c r="I6" s="174">
        <f t="shared" si="1"/>
        <v>52673404</v>
      </c>
    </row>
    <row r="7" spans="1:9">
      <c r="A7" s="199" t="s">
        <v>150</v>
      </c>
      <c r="B7" s="167"/>
      <c r="C7" s="173">
        <f>9026-149</f>
        <v>8877</v>
      </c>
      <c r="D7" s="165"/>
      <c r="E7" s="202">
        <f>7035358-122817</f>
        <v>6912541</v>
      </c>
      <c r="F7" s="202">
        <v>-3403804</v>
      </c>
      <c r="G7" s="202">
        <v>3297863</v>
      </c>
      <c r="H7" s="166">
        <f t="shared" si="0"/>
        <v>-105941</v>
      </c>
      <c r="I7" s="174">
        <f t="shared" si="1"/>
        <v>6806600</v>
      </c>
    </row>
    <row r="8" spans="1:9">
      <c r="A8" s="199" t="s">
        <v>151</v>
      </c>
      <c r="B8" s="167"/>
      <c r="C8" s="173">
        <f>1937-31</f>
        <v>1906</v>
      </c>
      <c r="D8" s="165"/>
      <c r="E8" s="202">
        <f>123851943-1787340</f>
        <v>122064603</v>
      </c>
      <c r="F8" s="202">
        <v>-67889064</v>
      </c>
      <c r="G8" s="202">
        <v>58069583</v>
      </c>
      <c r="H8" s="166">
        <f t="shared" si="0"/>
        <v>-9819481</v>
      </c>
      <c r="I8" s="174">
        <f t="shared" si="1"/>
        <v>112245122</v>
      </c>
    </row>
    <row r="9" spans="1:9">
      <c r="A9" s="199" t="s">
        <v>152</v>
      </c>
      <c r="B9" s="167"/>
      <c r="C9" s="173">
        <v>45</v>
      </c>
      <c r="D9" s="165"/>
      <c r="E9" s="202">
        <v>3122259</v>
      </c>
      <c r="F9" s="202">
        <v>-1870222</v>
      </c>
      <c r="G9" s="202">
        <v>1495938</v>
      </c>
      <c r="H9" s="166">
        <f t="shared" si="0"/>
        <v>-374284</v>
      </c>
      <c r="I9" s="174">
        <f t="shared" si="1"/>
        <v>2747975</v>
      </c>
    </row>
    <row r="10" spans="1:9">
      <c r="A10" s="199" t="s">
        <v>153</v>
      </c>
      <c r="B10" s="167"/>
      <c r="C10" s="173">
        <v>21</v>
      </c>
      <c r="D10" s="165"/>
      <c r="E10" s="202">
        <f>93759560-E11</f>
        <v>59603236</v>
      </c>
      <c r="F10" s="202">
        <v>-2654594</v>
      </c>
      <c r="G10" s="202">
        <v>1524703</v>
      </c>
      <c r="H10" s="166">
        <f t="shared" si="0"/>
        <v>-1129891</v>
      </c>
      <c r="I10" s="174">
        <f t="shared" si="1"/>
        <v>58473345</v>
      </c>
    </row>
    <row r="11" spans="1:9">
      <c r="A11" s="199" t="s">
        <v>208</v>
      </c>
      <c r="B11" s="167"/>
      <c r="C11" s="173"/>
      <c r="D11" s="165"/>
      <c r="E11" s="202">
        <v>34156324</v>
      </c>
      <c r="F11" s="202">
        <v>0</v>
      </c>
      <c r="G11" s="202">
        <v>0</v>
      </c>
      <c r="H11" s="166">
        <f t="shared" si="0"/>
        <v>0</v>
      </c>
      <c r="I11" s="174">
        <f t="shared" si="1"/>
        <v>34156324</v>
      </c>
    </row>
    <row r="12" spans="1:9">
      <c r="A12" s="199" t="s">
        <v>209</v>
      </c>
      <c r="B12" s="167"/>
      <c r="C12" s="173">
        <v>31</v>
      </c>
      <c r="D12" s="165"/>
      <c r="E12" s="202">
        <v>-9460</v>
      </c>
      <c r="F12" s="202">
        <v>0</v>
      </c>
      <c r="G12" s="202">
        <v>0</v>
      </c>
      <c r="H12" s="166">
        <f t="shared" si="0"/>
        <v>0</v>
      </c>
      <c r="I12" s="174">
        <f t="shared" si="1"/>
        <v>-9460</v>
      </c>
    </row>
    <row r="13" spans="1:9">
      <c r="A13" s="199" t="s">
        <v>154</v>
      </c>
      <c r="B13" s="167"/>
      <c r="C13" s="173">
        <f>1227-6</f>
        <v>1221</v>
      </c>
      <c r="D13" s="165"/>
      <c r="E13" s="202">
        <f>3692415-6132</f>
        <v>3686283</v>
      </c>
      <c r="F13" s="202">
        <v>-2206862</v>
      </c>
      <c r="G13" s="202">
        <v>1733928</v>
      </c>
      <c r="H13" s="166">
        <f t="shared" si="0"/>
        <v>-472934</v>
      </c>
      <c r="I13" s="174">
        <f t="shared" si="1"/>
        <v>3213349</v>
      </c>
    </row>
    <row r="14" spans="1:9">
      <c r="A14" s="199" t="s">
        <v>155</v>
      </c>
      <c r="B14" s="167"/>
      <c r="C14" s="173">
        <f>1191-5</f>
        <v>1186</v>
      </c>
      <c r="D14" s="165"/>
      <c r="E14" s="202">
        <f>286326-581</f>
        <v>285745</v>
      </c>
      <c r="F14" s="202">
        <v>-149618</v>
      </c>
      <c r="G14" s="202">
        <v>135994</v>
      </c>
      <c r="H14" s="166">
        <f t="shared" si="0"/>
        <v>-13624</v>
      </c>
      <c r="I14" s="174">
        <f t="shared" si="1"/>
        <v>272121</v>
      </c>
    </row>
    <row r="15" spans="1:9">
      <c r="A15" s="199" t="s">
        <v>210</v>
      </c>
      <c r="B15" s="167"/>
      <c r="C15" s="173">
        <v>405</v>
      </c>
      <c r="D15" s="165"/>
      <c r="E15" s="202">
        <v>1363852</v>
      </c>
      <c r="F15" s="202"/>
      <c r="G15" s="202"/>
      <c r="H15" s="166">
        <f t="shared" si="0"/>
        <v>0</v>
      </c>
      <c r="I15" s="174">
        <f t="shared" si="1"/>
        <v>1363852</v>
      </c>
    </row>
    <row r="16" spans="1:9">
      <c r="A16" s="199" t="s">
        <v>211</v>
      </c>
      <c r="B16" s="167"/>
      <c r="C16" s="173"/>
      <c r="D16" s="165"/>
      <c r="E16" s="202">
        <v>492656</v>
      </c>
      <c r="F16" s="202"/>
      <c r="G16" s="202"/>
      <c r="H16" s="166">
        <f t="shared" si="0"/>
        <v>0</v>
      </c>
      <c r="I16" s="174">
        <f t="shared" si="1"/>
        <v>492656</v>
      </c>
    </row>
    <row r="17" spans="1:9">
      <c r="A17" s="199" t="s">
        <v>212</v>
      </c>
      <c r="B17" s="167"/>
      <c r="C17" s="173"/>
      <c r="D17" s="165"/>
      <c r="E17" s="202">
        <v>268337</v>
      </c>
      <c r="F17" s="202"/>
      <c r="G17" s="202"/>
      <c r="H17" s="166">
        <f t="shared" si="0"/>
        <v>0</v>
      </c>
      <c r="I17" s="174">
        <f t="shared" si="1"/>
        <v>268337</v>
      </c>
    </row>
    <row r="18" spans="1:9">
      <c r="A18" s="167"/>
      <c r="B18" s="167"/>
      <c r="C18" s="175">
        <f>SUM(C4:C17)</f>
        <v>243974</v>
      </c>
      <c r="D18" s="165"/>
      <c r="E18" s="175">
        <f t="shared" ref="E18:I18" si="2">SUM(E4:E17)</f>
        <v>568164368</v>
      </c>
      <c r="F18" s="175">
        <f t="shared" si="2"/>
        <v>-246830795</v>
      </c>
      <c r="G18" s="175">
        <f t="shared" si="2"/>
        <v>226595338</v>
      </c>
      <c r="H18" s="175">
        <f t="shared" si="2"/>
        <v>-20235457</v>
      </c>
      <c r="I18" s="175">
        <f t="shared" si="2"/>
        <v>547928911</v>
      </c>
    </row>
    <row r="19" spans="1:9" ht="15" thickBot="1">
      <c r="A19" s="167"/>
      <c r="B19" s="167"/>
      <c r="C19" s="167"/>
      <c r="D19" s="165"/>
      <c r="E19" s="167"/>
      <c r="F19" s="167"/>
      <c r="G19" s="167"/>
      <c r="H19" s="165"/>
      <c r="I19" s="167"/>
    </row>
    <row r="20" spans="1:9">
      <c r="A20" s="167" t="s">
        <v>19</v>
      </c>
      <c r="B20" s="167"/>
      <c r="C20" s="176">
        <f>C4+C5</f>
        <v>208217</v>
      </c>
      <c r="D20" s="165"/>
      <c r="E20" s="177">
        <f>E4+E5</f>
        <v>281027480</v>
      </c>
      <c r="F20" s="177">
        <f t="shared" ref="F20:H20" si="3">F4+F5</f>
        <v>-139892615</v>
      </c>
      <c r="G20" s="177">
        <f t="shared" si="3"/>
        <v>134090421</v>
      </c>
      <c r="H20" s="177">
        <f t="shared" si="3"/>
        <v>-5802194</v>
      </c>
      <c r="I20" s="176">
        <f t="shared" ref="I20" si="4">I4+I5</f>
        <v>275225286</v>
      </c>
    </row>
    <row r="21" spans="1:9">
      <c r="A21" s="167"/>
      <c r="B21" s="167"/>
      <c r="C21" s="178"/>
      <c r="D21" s="165"/>
      <c r="E21" s="167"/>
      <c r="F21" s="167"/>
      <c r="G21" s="167"/>
      <c r="H21" s="167"/>
      <c r="I21" s="178"/>
    </row>
    <row r="22" spans="1:9" ht="15" thickBot="1">
      <c r="A22" s="167" t="s">
        <v>213</v>
      </c>
      <c r="B22" s="167"/>
      <c r="C22" s="195">
        <f>SUM(C6:C9,C12:C14)</f>
        <v>35331</v>
      </c>
      <c r="D22" s="165"/>
      <c r="E22" s="196">
        <f>SUM(E6:E9,E12:E14)</f>
        <v>191252483</v>
      </c>
      <c r="F22" s="196">
        <f t="shared" ref="F22:H22" si="5">SUM(F6:F9,F12:F14)</f>
        <v>-104283586</v>
      </c>
      <c r="G22" s="196">
        <f t="shared" si="5"/>
        <v>90980214</v>
      </c>
      <c r="H22" s="196">
        <f t="shared" si="5"/>
        <v>-13303372</v>
      </c>
      <c r="I22" s="195">
        <f>SUM(I6:I9,I12:I14)</f>
        <v>177949111</v>
      </c>
    </row>
    <row r="23" spans="1:9">
      <c r="A23" s="167"/>
      <c r="B23" s="167"/>
      <c r="C23" s="167"/>
      <c r="D23" s="167"/>
      <c r="E23" s="167"/>
      <c r="F23" s="165"/>
      <c r="G23" s="165"/>
      <c r="H23" s="165"/>
      <c r="I23" s="165"/>
    </row>
    <row r="24" spans="1:9" ht="55.95" customHeight="1">
      <c r="A24" s="168"/>
      <c r="B24" s="179"/>
      <c r="C24" s="189" t="s">
        <v>214</v>
      </c>
      <c r="D24" s="189" t="s">
        <v>215</v>
      </c>
      <c r="E24" s="171" t="s">
        <v>216</v>
      </c>
      <c r="F24" s="171" t="s">
        <v>217</v>
      </c>
      <c r="G24" s="171" t="s">
        <v>218</v>
      </c>
      <c r="H24" s="171" t="s">
        <v>219</v>
      </c>
      <c r="I24" s="171" t="s">
        <v>220</v>
      </c>
    </row>
    <row r="25" spans="1:9">
      <c r="A25" s="167"/>
      <c r="B25" s="167"/>
      <c r="C25" s="200"/>
      <c r="D25" s="167"/>
      <c r="E25" s="167"/>
      <c r="F25" s="165"/>
      <c r="G25" s="165"/>
      <c r="H25" s="165"/>
      <c r="I25" s="165"/>
    </row>
    <row r="26" spans="1:9">
      <c r="A26" s="199" t="s">
        <v>148</v>
      </c>
      <c r="B26" s="167"/>
      <c r="C26" s="200">
        <f>1827534+51-24046.5</f>
        <v>1803538.5</v>
      </c>
      <c r="D26" s="200">
        <f>25786540.76-325611.44</f>
        <v>25460929.32</v>
      </c>
      <c r="E26" s="203">
        <v>-12578026</v>
      </c>
      <c r="F26" s="203">
        <v>12234755</v>
      </c>
      <c r="G26" s="191">
        <f>SUM(D26:F26)</f>
        <v>25117658.32</v>
      </c>
      <c r="H26" s="191">
        <f>-I63</f>
        <v>-139416.91764999999</v>
      </c>
      <c r="I26" s="191">
        <f>SUM(G26:H26)</f>
        <v>24978241.402350001</v>
      </c>
    </row>
    <row r="27" spans="1:9">
      <c r="A27" s="199" t="s">
        <v>207</v>
      </c>
      <c r="B27" s="167"/>
      <c r="C27" s="200">
        <f>1853-34</f>
        <v>1819</v>
      </c>
      <c r="D27" s="200">
        <f>37527.3-430.72</f>
        <v>37096.58</v>
      </c>
      <c r="E27" s="203">
        <v>-10498</v>
      </c>
      <c r="F27" s="203">
        <v>11770</v>
      </c>
      <c r="G27" s="191">
        <f t="shared" ref="G27:G36" si="6">SUM(D27:F27)</f>
        <v>38368.58</v>
      </c>
      <c r="H27" s="191">
        <f t="shared" ref="H27:H35" si="7">-I64</f>
        <v>317.47850000000005</v>
      </c>
      <c r="I27" s="191">
        <f t="shared" ref="I27:I36" si="8">SUM(G27:H27)</f>
        <v>38686.058499999999</v>
      </c>
    </row>
    <row r="28" spans="1:9">
      <c r="A28" s="199" t="s">
        <v>149</v>
      </c>
      <c r="B28" s="167"/>
      <c r="C28" s="200">
        <f>2733.47+408888-5868</f>
        <v>405753.47</v>
      </c>
      <c r="D28" s="200">
        <f>6452324.31-117582.86</f>
        <v>6334741.4499999993</v>
      </c>
      <c r="E28" s="203">
        <v>-3298731</v>
      </c>
      <c r="F28" s="203">
        <v>3032166</v>
      </c>
      <c r="G28" s="191">
        <f t="shared" si="6"/>
        <v>6068176.4499999993</v>
      </c>
      <c r="H28" s="191">
        <f t="shared" si="7"/>
        <v>-34552.132720000001</v>
      </c>
      <c r="I28" s="191">
        <f t="shared" si="8"/>
        <v>6033624.3172799991</v>
      </c>
    </row>
    <row r="29" spans="1:9">
      <c r="A29" s="199" t="s">
        <v>150</v>
      </c>
      <c r="B29" s="167"/>
      <c r="C29" s="200">
        <f>387.31+163746+18-2682</f>
        <v>161469.31</v>
      </c>
      <c r="D29" s="200">
        <f>943676.07-16228.32</f>
        <v>927447.75</v>
      </c>
      <c r="E29" s="203">
        <v>-465332</v>
      </c>
      <c r="F29" s="203">
        <v>446790</v>
      </c>
      <c r="G29" s="191">
        <f t="shared" si="6"/>
        <v>908905.75</v>
      </c>
      <c r="H29" s="191">
        <f t="shared" si="7"/>
        <v>-4597.1532499999994</v>
      </c>
      <c r="I29" s="191">
        <f t="shared" si="8"/>
        <v>904308.59675000003</v>
      </c>
    </row>
    <row r="30" spans="1:9">
      <c r="A30" s="199" t="s">
        <v>151</v>
      </c>
      <c r="B30" s="167"/>
      <c r="C30" s="200">
        <f>969766.68-15500</f>
        <v>954266.68</v>
      </c>
      <c r="D30" s="200">
        <f>11091210.56-167408.83</f>
        <v>10923801.73</v>
      </c>
      <c r="E30" s="203">
        <v>-5400717</v>
      </c>
      <c r="F30" s="203">
        <v>4654363</v>
      </c>
      <c r="G30" s="191">
        <f t="shared" si="6"/>
        <v>10177447.73</v>
      </c>
      <c r="H30" s="191">
        <f t="shared" si="7"/>
        <v>-56349.433050000007</v>
      </c>
      <c r="I30" s="191">
        <f t="shared" si="8"/>
        <v>10121098.296950001</v>
      </c>
    </row>
    <row r="31" spans="1:9">
      <c r="A31" s="199" t="s">
        <v>152</v>
      </c>
      <c r="B31" s="167"/>
      <c r="C31" s="200">
        <v>23000</v>
      </c>
      <c r="D31" s="200">
        <v>276269.96999999997</v>
      </c>
      <c r="E31" s="203">
        <v>-149169</v>
      </c>
      <c r="F31" s="203">
        <v>119819</v>
      </c>
      <c r="G31" s="191">
        <f t="shared" si="6"/>
        <v>246919.96999999997</v>
      </c>
      <c r="H31" s="191">
        <f t="shared" si="7"/>
        <v>-1488.3804399999999</v>
      </c>
      <c r="I31" s="191">
        <f t="shared" si="8"/>
        <v>245431.58955999996</v>
      </c>
    </row>
    <row r="32" spans="1:9">
      <c r="A32" s="199" t="s">
        <v>153</v>
      </c>
      <c r="B32" s="167"/>
      <c r="C32" s="200">
        <f>441000</f>
        <v>441000</v>
      </c>
      <c r="D32" s="200">
        <f>5549230.66-81728</f>
        <v>5467502.6600000001</v>
      </c>
      <c r="E32" s="203">
        <v>-168233</v>
      </c>
      <c r="F32" s="203">
        <v>100321</v>
      </c>
      <c r="G32" s="191">
        <f t="shared" si="6"/>
        <v>5399590.6600000001</v>
      </c>
      <c r="H32" s="191">
        <f t="shared" si="7"/>
        <v>-1013.1093200000005</v>
      </c>
      <c r="I32" s="191">
        <f t="shared" si="8"/>
        <v>5398577.5506800003</v>
      </c>
    </row>
    <row r="33" spans="1:13">
      <c r="A33" s="199" t="s">
        <v>209</v>
      </c>
      <c r="B33" s="167"/>
      <c r="C33" s="200">
        <v>558</v>
      </c>
      <c r="D33" s="200">
        <v>-99.83</v>
      </c>
      <c r="E33" s="203">
        <v>0</v>
      </c>
      <c r="F33" s="203">
        <v>0</v>
      </c>
      <c r="G33" s="191">
        <f t="shared" si="6"/>
        <v>-99.83</v>
      </c>
      <c r="H33" s="191">
        <f t="shared" si="7"/>
        <v>0</v>
      </c>
      <c r="I33" s="191">
        <f t="shared" si="8"/>
        <v>-99.83</v>
      </c>
    </row>
    <row r="34" spans="1:13">
      <c r="A34" s="199" t="s">
        <v>154</v>
      </c>
      <c r="B34" s="167"/>
      <c r="C34" s="200">
        <f>22230-108</f>
        <v>22122</v>
      </c>
      <c r="D34" s="200">
        <f>330517.14-726.83</f>
        <v>329790.31</v>
      </c>
      <c r="E34" s="203">
        <v>-195204</v>
      </c>
      <c r="F34" s="203">
        <v>154588</v>
      </c>
      <c r="G34" s="191">
        <f t="shared" si="6"/>
        <v>289174.31</v>
      </c>
      <c r="H34" s="191">
        <f t="shared" si="7"/>
        <v>-1585.7452800000001</v>
      </c>
      <c r="I34" s="191">
        <f t="shared" si="8"/>
        <v>287588.56472000002</v>
      </c>
    </row>
    <row r="35" spans="1:13">
      <c r="A35" s="199" t="s">
        <v>155</v>
      </c>
      <c r="B35" s="167"/>
      <c r="C35" s="200">
        <f>21690-90</f>
        <v>21600</v>
      </c>
      <c r="D35" s="200">
        <f>46305.79-146.42</f>
        <v>46159.37</v>
      </c>
      <c r="E35" s="203">
        <v>-22641</v>
      </c>
      <c r="F35" s="203">
        <v>20922</v>
      </c>
      <c r="G35" s="191">
        <f t="shared" si="6"/>
        <v>44440.37</v>
      </c>
      <c r="H35" s="191">
        <f t="shared" si="7"/>
        <v>-133.68284</v>
      </c>
      <c r="I35" s="191">
        <f t="shared" si="8"/>
        <v>44306.687160000001</v>
      </c>
    </row>
    <row r="36" spans="1:13">
      <c r="A36" s="199" t="s">
        <v>221</v>
      </c>
      <c r="B36" s="167"/>
      <c r="C36" s="191"/>
      <c r="D36" s="200">
        <v>583767.26</v>
      </c>
      <c r="E36" s="200"/>
      <c r="F36" s="200"/>
      <c r="G36" s="191">
        <f t="shared" si="6"/>
        <v>583767.26</v>
      </c>
      <c r="H36" s="191"/>
      <c r="I36" s="191">
        <f t="shared" si="8"/>
        <v>583767.26</v>
      </c>
    </row>
    <row r="37" spans="1:13">
      <c r="A37" s="199" t="s">
        <v>222</v>
      </c>
      <c r="B37" s="167"/>
      <c r="C37" s="186"/>
      <c r="D37" s="200">
        <v>389053.77</v>
      </c>
      <c r="E37" s="200"/>
      <c r="F37" s="200"/>
      <c r="G37" s="191"/>
      <c r="H37" s="191"/>
      <c r="I37" s="191"/>
    </row>
    <row r="38" spans="1:13">
      <c r="A38" s="199" t="s">
        <v>223</v>
      </c>
      <c r="B38" s="167"/>
      <c r="C38" s="186"/>
      <c r="D38" s="200">
        <v>1871497.45</v>
      </c>
      <c r="E38" s="200"/>
      <c r="F38" s="200"/>
      <c r="G38" s="191"/>
      <c r="H38" s="191"/>
      <c r="I38" s="191"/>
    </row>
    <row r="39" spans="1:13">
      <c r="A39" s="167"/>
      <c r="B39" s="167"/>
      <c r="C39" s="181">
        <f>SUM(C26:C38)</f>
        <v>3835126.96</v>
      </c>
      <c r="D39" s="181">
        <f t="shared" ref="D39:I39" si="9">SUM(D26:D38)</f>
        <v>52647957.789999999</v>
      </c>
      <c r="E39" s="181">
        <f t="shared" si="9"/>
        <v>-22288551</v>
      </c>
      <c r="F39" s="181">
        <f t="shared" si="9"/>
        <v>20775494</v>
      </c>
      <c r="G39" s="181">
        <f t="shared" si="9"/>
        <v>48874349.569999993</v>
      </c>
      <c r="H39" s="181">
        <f t="shared" si="9"/>
        <v>-238819.07605</v>
      </c>
      <c r="I39" s="181">
        <f t="shared" si="9"/>
        <v>48635530.493949994</v>
      </c>
    </row>
    <row r="40" spans="1:13" ht="15" thickBot="1">
      <c r="A40" s="167"/>
      <c r="B40" s="167"/>
      <c r="C40" s="165"/>
      <c r="D40" s="182"/>
      <c r="E40" s="167"/>
      <c r="F40" s="167"/>
      <c r="G40" s="165"/>
      <c r="H40" s="165"/>
      <c r="I40" s="165"/>
    </row>
    <row r="41" spans="1:13">
      <c r="A41" s="167" t="s">
        <v>19</v>
      </c>
      <c r="B41" s="167"/>
      <c r="C41" s="184">
        <f>C26+C27</f>
        <v>1805357.5</v>
      </c>
      <c r="D41" s="183">
        <f t="shared" ref="D41:I41" si="10">D26+D27</f>
        <v>25498025.899999999</v>
      </c>
      <c r="E41" s="183">
        <f t="shared" si="10"/>
        <v>-12588524</v>
      </c>
      <c r="F41" s="183">
        <f t="shared" si="10"/>
        <v>12246525</v>
      </c>
      <c r="G41" s="183">
        <f t="shared" si="10"/>
        <v>25156026.899999999</v>
      </c>
      <c r="H41" s="183">
        <f t="shared" si="10"/>
        <v>-139099.43914999999</v>
      </c>
      <c r="I41" s="184">
        <f t="shared" si="10"/>
        <v>25016927.46085</v>
      </c>
    </row>
    <row r="42" spans="1:13">
      <c r="A42" s="167"/>
      <c r="B42" s="167"/>
      <c r="C42" s="190"/>
      <c r="D42" s="183"/>
      <c r="E42" s="167"/>
      <c r="F42" s="167"/>
      <c r="G42" s="165"/>
      <c r="H42" s="165"/>
      <c r="I42" s="185"/>
    </row>
    <row r="43" spans="1:13" ht="15" thickBot="1">
      <c r="A43" s="167" t="s">
        <v>213</v>
      </c>
      <c r="B43" s="167"/>
      <c r="C43" s="193">
        <f>SUM(C28:C31,C33:C35)</f>
        <v>1588769.46</v>
      </c>
      <c r="D43" s="194">
        <f t="shared" ref="D43:I43" si="11">SUM(D28:D31,D33:D35)</f>
        <v>18838110.75</v>
      </c>
      <c r="E43" s="194">
        <f t="shared" si="11"/>
        <v>-9531794</v>
      </c>
      <c r="F43" s="194">
        <f t="shared" si="11"/>
        <v>8428648</v>
      </c>
      <c r="G43" s="194">
        <f t="shared" si="11"/>
        <v>17734964.75</v>
      </c>
      <c r="H43" s="194">
        <f t="shared" si="11"/>
        <v>-98706.527579999994</v>
      </c>
      <c r="I43" s="193">
        <f t="shared" si="11"/>
        <v>17636258.22242</v>
      </c>
    </row>
    <row r="44" spans="1:13">
      <c r="A44" s="167"/>
      <c r="B44" s="167"/>
      <c r="C44" s="167"/>
      <c r="D44" s="165"/>
      <c r="E44" s="165"/>
      <c r="F44" s="165"/>
      <c r="G44" s="165"/>
      <c r="H44" s="165"/>
      <c r="I44" s="165"/>
    </row>
    <row r="45" spans="1:13">
      <c r="A45" s="172"/>
      <c r="B45" s="165"/>
      <c r="C45" s="165"/>
      <c r="D45" s="167"/>
      <c r="E45" s="165"/>
      <c r="F45" s="165"/>
      <c r="G45" s="165"/>
      <c r="H45" s="165"/>
      <c r="I45" s="186" t="s">
        <v>242</v>
      </c>
    </row>
    <row r="46" spans="1:13">
      <c r="A46" s="165"/>
      <c r="B46" s="165"/>
      <c r="C46" s="188">
        <v>42309</v>
      </c>
      <c r="D46" s="188">
        <v>42278</v>
      </c>
      <c r="E46" s="188">
        <v>42217</v>
      </c>
      <c r="F46" s="188">
        <v>42278</v>
      </c>
      <c r="G46" s="188">
        <v>42005</v>
      </c>
      <c r="H46" s="192">
        <v>42005</v>
      </c>
      <c r="I46" s="164">
        <v>42380</v>
      </c>
      <c r="J46" s="164">
        <v>42380</v>
      </c>
      <c r="K46" s="192"/>
      <c r="L46" s="164">
        <v>42380</v>
      </c>
      <c r="M46" s="164">
        <v>42380</v>
      </c>
    </row>
    <row r="47" spans="1:13" ht="27" customHeight="1">
      <c r="A47" s="197" t="s">
        <v>224</v>
      </c>
      <c r="B47" s="169"/>
      <c r="C47" s="180" t="s">
        <v>225</v>
      </c>
      <c r="D47" s="180" t="s">
        <v>226</v>
      </c>
      <c r="E47" s="180" t="s">
        <v>227</v>
      </c>
      <c r="F47" s="180" t="s">
        <v>228</v>
      </c>
      <c r="G47" s="180" t="s">
        <v>229</v>
      </c>
      <c r="H47" s="180" t="s">
        <v>230</v>
      </c>
      <c r="I47" s="180" t="s">
        <v>228</v>
      </c>
      <c r="J47" s="180" t="s">
        <v>229</v>
      </c>
      <c r="K47" s="201"/>
      <c r="L47" s="180" t="s">
        <v>228</v>
      </c>
      <c r="M47" s="180" t="s">
        <v>229</v>
      </c>
    </row>
    <row r="48" spans="1:13">
      <c r="A48" s="199" t="s">
        <v>148</v>
      </c>
      <c r="B48" s="167"/>
      <c r="C48" s="187">
        <v>-2.7E-4</v>
      </c>
      <c r="D48" s="187"/>
      <c r="E48" s="187">
        <v>2.15E-3</v>
      </c>
      <c r="F48" s="187">
        <v>8.4999999999999995E-4</v>
      </c>
      <c r="G48" s="187">
        <v>-1.49E-3</v>
      </c>
      <c r="H48" s="187">
        <v>-1.0399999999999999E-3</v>
      </c>
      <c r="I48" s="187">
        <f>0.00091-0.00002</f>
        <v>8.8999999999999995E-4</v>
      </c>
      <c r="J48" s="187">
        <v>-4.8000000000000001E-4</v>
      </c>
      <c r="L48" s="187">
        <v>9.1E-4</v>
      </c>
      <c r="M48" s="187">
        <v>0</v>
      </c>
    </row>
    <row r="49" spans="1:13">
      <c r="A49" s="199" t="s">
        <v>207</v>
      </c>
      <c r="B49" s="167"/>
      <c r="C49" s="187">
        <v>-2.7E-4</v>
      </c>
      <c r="D49" s="187">
        <v>-3.1530000000000002E-2</v>
      </c>
      <c r="E49" s="187">
        <v>2.15E-3</v>
      </c>
      <c r="F49" s="187">
        <v>8.4999999999999995E-4</v>
      </c>
      <c r="G49" s="187">
        <v>-1.49E-3</v>
      </c>
      <c r="H49" s="187">
        <v>-1.0399999999999999E-3</v>
      </c>
      <c r="I49" s="187">
        <f>I48</f>
        <v>8.8999999999999995E-4</v>
      </c>
      <c r="J49" s="187">
        <f>J48</f>
        <v>-4.8000000000000001E-4</v>
      </c>
      <c r="L49" s="187">
        <v>9.1E-4</v>
      </c>
      <c r="M49" s="187">
        <v>0</v>
      </c>
    </row>
    <row r="50" spans="1:13">
      <c r="A50" s="199" t="s">
        <v>149</v>
      </c>
      <c r="B50" s="167"/>
      <c r="C50" s="187">
        <v>0</v>
      </c>
      <c r="D50" s="187"/>
      <c r="E50" s="187">
        <v>2.8900000000000002E-3</v>
      </c>
      <c r="F50" s="187">
        <v>1.23E-3</v>
      </c>
      <c r="G50" s="187">
        <v>-2E-3</v>
      </c>
      <c r="H50" s="187">
        <v>-1.0399999999999999E-3</v>
      </c>
      <c r="I50" s="187">
        <f>0.00132-0.00003</f>
        <v>1.2899999999999999E-3</v>
      </c>
      <c r="J50" s="187">
        <v>-6.4000000000000005E-4</v>
      </c>
      <c r="L50" s="187">
        <v>1.32E-3</v>
      </c>
      <c r="M50" s="187">
        <v>0</v>
      </c>
    </row>
    <row r="51" spans="1:13">
      <c r="A51" s="199" t="s">
        <v>150</v>
      </c>
      <c r="B51" s="167"/>
      <c r="C51" s="187">
        <v>-2.7E-4</v>
      </c>
      <c r="D51" s="187"/>
      <c r="E51" s="187">
        <v>2.8900000000000002E-3</v>
      </c>
      <c r="F51" s="187">
        <v>1.23E-3</v>
      </c>
      <c r="G51" s="187">
        <v>-2E-3</v>
      </c>
      <c r="H51" s="187">
        <v>-1.0399999999999999E-3</v>
      </c>
      <c r="I51" s="187">
        <f>I50</f>
        <v>1.2899999999999999E-3</v>
      </c>
      <c r="J51" s="187">
        <f>J50</f>
        <v>-6.4000000000000005E-4</v>
      </c>
      <c r="L51" s="187">
        <v>1.32E-3</v>
      </c>
      <c r="M51" s="187">
        <v>0</v>
      </c>
    </row>
    <row r="52" spans="1:13">
      <c r="A52" s="199" t="s">
        <v>151</v>
      </c>
      <c r="B52" s="167"/>
      <c r="C52" s="187">
        <v>0</v>
      </c>
      <c r="D52" s="187"/>
      <c r="E52" s="187">
        <v>2.2000000000000001E-3</v>
      </c>
      <c r="F52" s="187">
        <v>8.8999999999999995E-4</v>
      </c>
      <c r="G52" s="187">
        <v>-1.5E-3</v>
      </c>
      <c r="H52" s="187">
        <v>-1.06E-3</v>
      </c>
      <c r="I52" s="187">
        <f>0.00095-0.00002</f>
        <v>9.2999999999999995E-4</v>
      </c>
      <c r="J52" s="187">
        <f>-0.00048</f>
        <v>-4.8000000000000001E-4</v>
      </c>
      <c r="L52" s="187">
        <v>9.5E-4</v>
      </c>
      <c r="M52" s="187">
        <v>0</v>
      </c>
    </row>
    <row r="53" spans="1:13">
      <c r="A53" s="199" t="s">
        <v>152</v>
      </c>
      <c r="B53" s="167"/>
      <c r="C53" s="187">
        <v>-2.7E-4</v>
      </c>
      <c r="D53" s="187"/>
      <c r="E53" s="187">
        <v>2.2000000000000001E-3</v>
      </c>
      <c r="F53" s="187">
        <v>8.8999999999999995E-4</v>
      </c>
      <c r="G53" s="187">
        <v>-1.5E-3</v>
      </c>
      <c r="H53" s="187">
        <v>-1.06E-3</v>
      </c>
      <c r="I53" s="187">
        <f>I52</f>
        <v>9.2999999999999995E-4</v>
      </c>
      <c r="J53" s="187">
        <f>J52</f>
        <v>-4.8000000000000001E-4</v>
      </c>
      <c r="L53" s="187">
        <v>9.5E-4</v>
      </c>
      <c r="M53" s="187">
        <v>0</v>
      </c>
    </row>
    <row r="54" spans="1:13">
      <c r="A54" s="199" t="s">
        <v>153</v>
      </c>
      <c r="B54" s="167"/>
      <c r="C54" s="187">
        <v>0</v>
      </c>
      <c r="D54" s="187"/>
      <c r="E54" s="187">
        <v>1.3699999999999999E-3</v>
      </c>
      <c r="F54" s="187">
        <v>5.5999999999999995E-4</v>
      </c>
      <c r="G54" s="187">
        <v>-9.7000000000000005E-4</v>
      </c>
      <c r="H54" s="187">
        <v>-1.0200000000000001E-3</v>
      </c>
      <c r="I54" s="187">
        <f>0.0006-0.00008</f>
        <v>5.1999999999999995E-4</v>
      </c>
      <c r="J54" s="187">
        <v>-3.1E-4</v>
      </c>
      <c r="L54" s="187">
        <v>5.9999999999999995E-4</v>
      </c>
      <c r="M54" s="187">
        <v>0</v>
      </c>
    </row>
    <row r="55" spans="1:13">
      <c r="A55" s="199" t="s">
        <v>208</v>
      </c>
      <c r="B55" s="167"/>
      <c r="C55" s="187">
        <v>0</v>
      </c>
      <c r="D55" s="187"/>
      <c r="E55" s="187">
        <v>1.3699999999999999E-3</v>
      </c>
      <c r="F55" s="187">
        <v>0</v>
      </c>
      <c r="G55" s="187">
        <v>-9.7000000000000005E-4</v>
      </c>
      <c r="H55" s="187">
        <v>-1.0200000000000001E-3</v>
      </c>
      <c r="I55" s="187">
        <v>0</v>
      </c>
      <c r="J55" s="187">
        <f>J54</f>
        <v>-3.1E-4</v>
      </c>
      <c r="L55" s="187">
        <v>0</v>
      </c>
      <c r="M55" s="187">
        <v>0</v>
      </c>
    </row>
    <row r="56" spans="1:13">
      <c r="A56" s="199" t="s">
        <v>209</v>
      </c>
      <c r="B56" s="167"/>
      <c r="C56" s="187">
        <v>0</v>
      </c>
      <c r="D56" s="187"/>
      <c r="E56" s="187">
        <v>1.98E-3</v>
      </c>
      <c r="F56" s="187">
        <v>7.7999999999999999E-4</v>
      </c>
      <c r="G56" s="187">
        <v>-1.39E-3</v>
      </c>
      <c r="H56" s="187">
        <v>-1.1299999999999999E-3</v>
      </c>
      <c r="I56" s="187">
        <f>0.00083-0.00002</f>
        <v>8.0999999999999996E-4</v>
      </c>
      <c r="J56" s="187">
        <v>-4.4000000000000002E-4</v>
      </c>
      <c r="L56" s="187">
        <v>8.3000000000000001E-4</v>
      </c>
      <c r="M56" s="187">
        <v>0</v>
      </c>
    </row>
    <row r="57" spans="1:13">
      <c r="A57" s="199" t="s">
        <v>154</v>
      </c>
      <c r="B57" s="167"/>
      <c r="C57" s="187">
        <v>0</v>
      </c>
      <c r="D57" s="187"/>
      <c r="E57" s="187">
        <v>1.98E-3</v>
      </c>
      <c r="F57" s="187">
        <v>7.7999999999999999E-4</v>
      </c>
      <c r="G57" s="187">
        <v>-1.39E-3</v>
      </c>
      <c r="H57" s="187">
        <v>-1.1299999999999999E-3</v>
      </c>
      <c r="I57" s="187">
        <f>I56</f>
        <v>8.0999999999999996E-4</v>
      </c>
      <c r="J57" s="187">
        <f>J56</f>
        <v>-4.4000000000000002E-4</v>
      </c>
      <c r="L57" s="187">
        <v>8.3000000000000001E-4</v>
      </c>
      <c r="M57" s="187">
        <v>0</v>
      </c>
    </row>
    <row r="58" spans="1:13">
      <c r="A58" s="199" t="s">
        <v>155</v>
      </c>
      <c r="B58" s="167"/>
      <c r="C58" s="187">
        <v>-2.7E-4</v>
      </c>
      <c r="D58" s="187"/>
      <c r="E58" s="187">
        <v>1.98E-3</v>
      </c>
      <c r="F58" s="187">
        <v>7.7999999999999999E-4</v>
      </c>
      <c r="G58" s="187">
        <v>-1.39E-3</v>
      </c>
      <c r="H58" s="187">
        <v>-1.1299999999999999E-3</v>
      </c>
      <c r="I58" s="187">
        <f>I56</f>
        <v>8.0999999999999996E-4</v>
      </c>
      <c r="J58" s="187">
        <f>J56</f>
        <v>-4.4000000000000002E-4</v>
      </c>
      <c r="L58" s="187">
        <v>8.3000000000000001E-4</v>
      </c>
      <c r="M58" s="187">
        <v>0</v>
      </c>
    </row>
    <row r="59" spans="1:13">
      <c r="A59" s="199" t="s">
        <v>221</v>
      </c>
      <c r="B59" s="167"/>
      <c r="C59" s="187"/>
      <c r="D59" s="187"/>
      <c r="E59" s="233" t="s">
        <v>231</v>
      </c>
      <c r="F59" s="233" t="s">
        <v>232</v>
      </c>
      <c r="G59" s="187">
        <v>-4.5799999999999999E-3</v>
      </c>
      <c r="H59" s="187">
        <v>-1.0499999999999999E-3</v>
      </c>
      <c r="I59" s="233" t="s">
        <v>241</v>
      </c>
      <c r="J59" s="187">
        <v>0</v>
      </c>
      <c r="L59" s="233" t="s">
        <v>241</v>
      </c>
      <c r="M59" s="187">
        <v>0</v>
      </c>
    </row>
    <row r="60" spans="1:13">
      <c r="A60" s="199" t="s">
        <v>212</v>
      </c>
      <c r="B60" s="167"/>
      <c r="C60" s="187">
        <v>-2.7E-4</v>
      </c>
      <c r="D60" s="187"/>
      <c r="E60" s="233"/>
      <c r="F60" s="233"/>
      <c r="G60" s="187">
        <v>-4.5799999999999999E-3</v>
      </c>
      <c r="H60" s="187">
        <v>-1.0499999999999999E-3</v>
      </c>
      <c r="I60" s="233"/>
      <c r="J60" s="187">
        <v>0</v>
      </c>
      <c r="L60" s="233"/>
      <c r="M60" s="187">
        <v>0</v>
      </c>
    </row>
    <row r="61" spans="1:13">
      <c r="A61" s="165"/>
      <c r="B61" s="165"/>
      <c r="C61" s="165"/>
      <c r="D61" s="167"/>
      <c r="E61" s="165"/>
      <c r="F61" s="165"/>
      <c r="G61" s="165"/>
      <c r="H61" s="165"/>
      <c r="I61" s="165"/>
    </row>
    <row r="62" spans="1:13" ht="42" customHeight="1">
      <c r="A62" s="197" t="s">
        <v>233</v>
      </c>
      <c r="B62" s="169"/>
      <c r="C62" s="189" t="s">
        <v>240</v>
      </c>
      <c r="D62" s="189" t="s">
        <v>234</v>
      </c>
      <c r="E62" s="189" t="s">
        <v>235</v>
      </c>
      <c r="F62" s="189" t="s">
        <v>236</v>
      </c>
      <c r="G62" s="189" t="s">
        <v>237</v>
      </c>
      <c r="H62" s="189" t="s">
        <v>238</v>
      </c>
      <c r="I62" s="189" t="s">
        <v>239</v>
      </c>
    </row>
    <row r="63" spans="1:13">
      <c r="A63" s="199" t="s">
        <v>148</v>
      </c>
      <c r="B63" s="165"/>
      <c r="C63" s="183">
        <f t="shared" ref="C63:H68" si="12">$H4*C48</f>
        <v>1571.17428</v>
      </c>
      <c r="D63" s="183">
        <f t="shared" si="12"/>
        <v>0</v>
      </c>
      <c r="E63" s="183">
        <f t="shared" si="12"/>
        <v>-12511.202600000001</v>
      </c>
      <c r="F63" s="204">
        <f t="shared" ref="F63:G68" si="13">$F4*F48+$G4*I48</f>
        <v>409.16776000001119</v>
      </c>
      <c r="G63" s="204">
        <f t="shared" si="13"/>
        <v>143895.84764999998</v>
      </c>
      <c r="H63" s="183">
        <f t="shared" si="12"/>
        <v>6051.9305599999998</v>
      </c>
      <c r="I63" s="183">
        <f>SUM(C63:H63)</f>
        <v>139416.91764999999</v>
      </c>
    </row>
    <row r="64" spans="1:13">
      <c r="A64" s="199" t="s">
        <v>207</v>
      </c>
      <c r="B64" s="165"/>
      <c r="C64" s="183">
        <f t="shared" si="12"/>
        <v>-4.5819000000000001</v>
      </c>
      <c r="D64" s="183">
        <f t="shared" si="12"/>
        <v>-535.06410000000005</v>
      </c>
      <c r="E64" s="183">
        <f t="shared" si="12"/>
        <v>36.485500000000002</v>
      </c>
      <c r="F64" s="204">
        <f t="shared" si="13"/>
        <v>22.584180000000003</v>
      </c>
      <c r="G64" s="204">
        <f t="shared" si="13"/>
        <v>180.74662000000001</v>
      </c>
      <c r="H64" s="183">
        <f t="shared" si="12"/>
        <v>-17.648799999999998</v>
      </c>
      <c r="I64" s="183">
        <f t="shared" ref="I64:I73" si="14">SUM(C64:H64)</f>
        <v>-317.47850000000005</v>
      </c>
    </row>
    <row r="65" spans="1:9">
      <c r="A65" s="199" t="s">
        <v>149</v>
      </c>
      <c r="B65" s="165"/>
      <c r="C65" s="183">
        <f t="shared" si="12"/>
        <v>0</v>
      </c>
      <c r="D65" s="183">
        <f t="shared" si="12"/>
        <v>0</v>
      </c>
      <c r="E65" s="183">
        <f t="shared" si="12"/>
        <v>-7274.4421200000006</v>
      </c>
      <c r="F65" s="204">
        <f t="shared" si="13"/>
        <v>-1521.228360000001</v>
      </c>
      <c r="G65" s="204">
        <f t="shared" si="13"/>
        <v>40730.010880000002</v>
      </c>
      <c r="H65" s="183">
        <f t="shared" si="12"/>
        <v>2617.7923199999996</v>
      </c>
      <c r="I65" s="183">
        <f t="shared" si="14"/>
        <v>34552.132720000001</v>
      </c>
    </row>
    <row r="66" spans="1:9">
      <c r="A66" s="199" t="s">
        <v>150</v>
      </c>
      <c r="B66" s="165"/>
      <c r="C66" s="183">
        <f t="shared" si="12"/>
        <v>28.60407</v>
      </c>
      <c r="D66" s="183">
        <f t="shared" si="12"/>
        <v>0</v>
      </c>
      <c r="E66" s="183">
        <f t="shared" si="12"/>
        <v>-306.16949</v>
      </c>
      <c r="F66" s="204">
        <f t="shared" si="13"/>
        <v>67.564349999999649</v>
      </c>
      <c r="G66" s="204">
        <f t="shared" si="13"/>
        <v>4696.9756799999996</v>
      </c>
      <c r="H66" s="183">
        <f t="shared" si="12"/>
        <v>110.17863999999999</v>
      </c>
      <c r="I66" s="183">
        <f t="shared" si="14"/>
        <v>4597.1532499999994</v>
      </c>
    </row>
    <row r="67" spans="1:9">
      <c r="A67" s="199" t="s">
        <v>151</v>
      </c>
      <c r="B67" s="165"/>
      <c r="C67" s="183">
        <f t="shared" si="12"/>
        <v>0</v>
      </c>
      <c r="D67" s="183">
        <f t="shared" si="12"/>
        <v>0</v>
      </c>
      <c r="E67" s="183">
        <f t="shared" si="12"/>
        <v>-21602.858200000002</v>
      </c>
      <c r="F67" s="204">
        <f t="shared" si="13"/>
        <v>-6416.5547699999952</v>
      </c>
      <c r="G67" s="204">
        <f t="shared" si="13"/>
        <v>73960.196160000007</v>
      </c>
      <c r="H67" s="183">
        <f t="shared" si="12"/>
        <v>10408.64986</v>
      </c>
      <c r="I67" s="183">
        <f t="shared" si="14"/>
        <v>56349.433050000007</v>
      </c>
    </row>
    <row r="68" spans="1:9">
      <c r="A68" s="199" t="s">
        <v>152</v>
      </c>
      <c r="B68" s="165"/>
      <c r="C68" s="183">
        <f t="shared" si="12"/>
        <v>101.05668</v>
      </c>
      <c r="D68" s="183">
        <f t="shared" si="12"/>
        <v>0</v>
      </c>
      <c r="E68" s="183">
        <f t="shared" si="12"/>
        <v>-823.4248</v>
      </c>
      <c r="F68" s="204">
        <f t="shared" si="13"/>
        <v>-273.27523999999994</v>
      </c>
      <c r="G68" s="204">
        <f t="shared" si="13"/>
        <v>2087.2827600000001</v>
      </c>
      <c r="H68" s="183">
        <f t="shared" si="12"/>
        <v>396.74104</v>
      </c>
      <c r="I68" s="183">
        <f t="shared" si="14"/>
        <v>1488.3804399999999</v>
      </c>
    </row>
    <row r="69" spans="1:9">
      <c r="A69" s="199" t="s">
        <v>153</v>
      </c>
      <c r="B69" s="165"/>
      <c r="C69" s="183">
        <f t="shared" ref="C69:E69" si="15">$H10*C54+$H11*C55</f>
        <v>0</v>
      </c>
      <c r="D69" s="183">
        <f t="shared" si="15"/>
        <v>0</v>
      </c>
      <c r="E69" s="183">
        <f t="shared" si="15"/>
        <v>-1547.9506699999999</v>
      </c>
      <c r="F69" s="204">
        <f>$F10*F54+$F11*F55+$G10*I54+$G11*I55</f>
        <v>-693.72707999999989</v>
      </c>
      <c r="G69" s="204">
        <f>$F10*G54+$F11*G55+$G10*J54+$G11*J55</f>
        <v>2102.2982500000003</v>
      </c>
      <c r="H69" s="183">
        <f>$H10*H54+$H11*H55</f>
        <v>1152.48882</v>
      </c>
      <c r="I69" s="183">
        <f t="shared" si="14"/>
        <v>1013.1093200000005</v>
      </c>
    </row>
    <row r="70" spans="1:9">
      <c r="A70" s="199" t="s">
        <v>209</v>
      </c>
      <c r="B70" s="165"/>
      <c r="C70" s="183">
        <f t="shared" ref="C70:H72" si="16">$H12*C56</f>
        <v>0</v>
      </c>
      <c r="D70" s="183">
        <f t="shared" si="16"/>
        <v>0</v>
      </c>
      <c r="E70" s="183">
        <f t="shared" si="16"/>
        <v>0</v>
      </c>
      <c r="F70" s="204">
        <f>$F12*F56+$G12*I56</f>
        <v>0</v>
      </c>
      <c r="G70" s="204">
        <f>$F12*G56+$G12*J56</f>
        <v>0</v>
      </c>
      <c r="H70" s="183">
        <f t="shared" si="16"/>
        <v>0</v>
      </c>
      <c r="I70" s="183">
        <f t="shared" si="14"/>
        <v>0</v>
      </c>
    </row>
    <row r="71" spans="1:9">
      <c r="A71" s="199" t="s">
        <v>154</v>
      </c>
      <c r="B71" s="165"/>
      <c r="C71" s="183">
        <f t="shared" si="16"/>
        <v>0</v>
      </c>
      <c r="D71" s="183">
        <f t="shared" si="16"/>
        <v>0</v>
      </c>
      <c r="E71" s="183">
        <f t="shared" si="16"/>
        <v>-936.40931999999998</v>
      </c>
      <c r="F71" s="204">
        <f t="shared" ref="F71:G72" si="17">$F13*F57+$G13*I57</f>
        <v>-316.87067999999999</v>
      </c>
      <c r="G71" s="204">
        <f t="shared" si="17"/>
        <v>2304.60986</v>
      </c>
      <c r="H71" s="183">
        <f t="shared" si="16"/>
        <v>534.41541999999993</v>
      </c>
      <c r="I71" s="183">
        <f t="shared" si="14"/>
        <v>1585.7452800000001</v>
      </c>
    </row>
    <row r="72" spans="1:9">
      <c r="A72" s="199" t="s">
        <v>155</v>
      </c>
      <c r="B72" s="165"/>
      <c r="C72" s="183">
        <f t="shared" si="16"/>
        <v>3.67848</v>
      </c>
      <c r="D72" s="183">
        <f t="shared" si="16"/>
        <v>0</v>
      </c>
      <c r="E72" s="183">
        <f t="shared" si="16"/>
        <v>-26.975519999999999</v>
      </c>
      <c r="F72" s="204">
        <f t="shared" si="17"/>
        <v>-6.5469000000000079</v>
      </c>
      <c r="G72" s="204">
        <f t="shared" si="17"/>
        <v>148.13166000000001</v>
      </c>
      <c r="H72" s="183">
        <f t="shared" si="16"/>
        <v>15.395119999999999</v>
      </c>
      <c r="I72" s="183">
        <f t="shared" si="14"/>
        <v>133.68284</v>
      </c>
    </row>
    <row r="73" spans="1:9">
      <c r="A73" s="199" t="s">
        <v>221</v>
      </c>
      <c r="B73" s="165"/>
      <c r="C73" s="183">
        <f>($H15+$H16+$H17)*C59</f>
        <v>0</v>
      </c>
      <c r="D73" s="183">
        <f>($H15+$H16+$H17)*D59</f>
        <v>0</v>
      </c>
      <c r="E73" s="203">
        <v>0</v>
      </c>
      <c r="F73" s="205">
        <v>0</v>
      </c>
      <c r="G73" s="204"/>
      <c r="H73" s="183">
        <f>($H15+$H16+$H17)*H59</f>
        <v>0</v>
      </c>
      <c r="I73" s="183">
        <f t="shared" si="14"/>
        <v>0</v>
      </c>
    </row>
    <row r="74" spans="1:9">
      <c r="A74" s="172"/>
      <c r="B74" s="165"/>
      <c r="C74" s="198">
        <f>SUM(C63:C73)</f>
        <v>1699.9316100000001</v>
      </c>
      <c r="D74" s="198">
        <f t="shared" ref="D74:I74" si="18">SUM(D63:D73)</f>
        <v>-535.06410000000005</v>
      </c>
      <c r="E74" s="198">
        <f t="shared" si="18"/>
        <v>-44992.947220000002</v>
      </c>
      <c r="F74" s="198">
        <f t="shared" si="18"/>
        <v>-8728.8867399999854</v>
      </c>
      <c r="G74" s="198">
        <f t="shared" si="18"/>
        <v>270106.09951999999</v>
      </c>
      <c r="H74" s="198">
        <f t="shared" si="18"/>
        <v>21269.94298</v>
      </c>
      <c r="I74" s="198">
        <f t="shared" si="18"/>
        <v>238819.07605</v>
      </c>
    </row>
    <row r="76" spans="1:9">
      <c r="A76" s="167" t="s">
        <v>19</v>
      </c>
      <c r="B76" s="167"/>
      <c r="C76" s="183">
        <f>C63+C64</f>
        <v>1566.59238</v>
      </c>
      <c r="D76" s="183">
        <f t="shared" ref="D76:I76" si="19">D63+D64</f>
        <v>-535.06410000000005</v>
      </c>
      <c r="E76" s="183">
        <f t="shared" si="19"/>
        <v>-12474.7171</v>
      </c>
      <c r="F76" s="183">
        <f t="shared" si="19"/>
        <v>431.75194000001119</v>
      </c>
      <c r="G76" s="183">
        <f t="shared" si="19"/>
        <v>144076.59426999997</v>
      </c>
      <c r="H76" s="183">
        <f t="shared" si="19"/>
        <v>6034.2817599999998</v>
      </c>
      <c r="I76" s="183">
        <f t="shared" si="19"/>
        <v>139099.43914999999</v>
      </c>
    </row>
    <row r="77" spans="1:9">
      <c r="A77" s="167"/>
      <c r="B77" s="167"/>
      <c r="C77" s="183"/>
      <c r="D77" s="183"/>
      <c r="E77" s="183"/>
      <c r="F77" s="183"/>
      <c r="G77" s="183"/>
      <c r="H77" s="183"/>
      <c r="I77" s="183"/>
    </row>
    <row r="78" spans="1:9">
      <c r="A78" s="167" t="s">
        <v>213</v>
      </c>
      <c r="B78" s="167"/>
      <c r="C78" s="194">
        <f>SUM(C65:C68,C70:C72)</f>
        <v>133.33923000000001</v>
      </c>
      <c r="D78" s="194">
        <f t="shared" ref="D78:I78" si="20">SUM(D65:D68,D70:D72)</f>
        <v>0</v>
      </c>
      <c r="E78" s="194">
        <f t="shared" si="20"/>
        <v>-30970.279450000002</v>
      </c>
      <c r="F78" s="194">
        <f t="shared" si="20"/>
        <v>-8466.9115999999958</v>
      </c>
      <c r="G78" s="194">
        <f t="shared" si="20"/>
        <v>123927.20700000001</v>
      </c>
      <c r="H78" s="194">
        <f t="shared" si="20"/>
        <v>14083.172399999999</v>
      </c>
      <c r="I78" s="194">
        <f t="shared" si="20"/>
        <v>98706.527579999994</v>
      </c>
    </row>
  </sheetData>
  <mergeCells count="5">
    <mergeCell ref="A1:I1"/>
    <mergeCell ref="E59:E60"/>
    <mergeCell ref="F59:F60"/>
    <mergeCell ref="I59:I60"/>
    <mergeCell ref="L59:L60"/>
  </mergeCells>
  <pageMargins left="0.7" right="0.7" top="0.66" bottom="0.64" header="0.3" footer="0.3"/>
  <pageSetup scale="75" orientation="landscape" r:id="rId1"/>
  <headerFooter>
    <oddFooter>&amp;L&amp;F / 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workbookViewId="0"/>
  </sheetViews>
  <sheetFormatPr defaultRowHeight="14.4"/>
  <cols>
    <col min="2" max="2" width="3" customWidth="1"/>
    <col min="3" max="3" width="30.6640625" customWidth="1"/>
    <col min="4" max="4" width="3.33203125" customWidth="1"/>
  </cols>
  <sheetData>
    <row r="1" spans="1:5">
      <c r="A1" s="136" t="s">
        <v>182</v>
      </c>
      <c r="B1" s="137"/>
      <c r="C1" s="137"/>
      <c r="D1" s="137"/>
      <c r="E1" s="138"/>
    </row>
    <row r="2" spans="1:5">
      <c r="A2" s="220" t="s">
        <v>183</v>
      </c>
      <c r="B2" s="220"/>
      <c r="C2" s="220"/>
      <c r="D2" s="220"/>
      <c r="E2" s="220"/>
    </row>
    <row r="3" spans="1:5">
      <c r="A3" s="220" t="s">
        <v>184</v>
      </c>
      <c r="B3" s="220"/>
      <c r="C3" s="220"/>
      <c r="D3" s="220"/>
      <c r="E3" s="220"/>
    </row>
    <row r="4" spans="1:5" ht="15.6">
      <c r="A4" s="221" t="s">
        <v>185</v>
      </c>
      <c r="B4" s="222"/>
      <c r="C4" s="221"/>
      <c r="D4" s="221"/>
      <c r="E4" s="221"/>
    </row>
    <row r="5" spans="1:5">
      <c r="A5" s="139"/>
      <c r="B5" s="139"/>
      <c r="C5" s="139"/>
      <c r="D5" s="139"/>
      <c r="E5" s="140"/>
    </row>
    <row r="6" spans="1:5">
      <c r="A6" s="141" t="s">
        <v>186</v>
      </c>
      <c r="B6" s="141"/>
      <c r="C6" s="141"/>
      <c r="D6" s="141"/>
      <c r="E6" s="142"/>
    </row>
    <row r="7" spans="1:5">
      <c r="A7" s="143" t="s">
        <v>187</v>
      </c>
      <c r="B7" s="141"/>
      <c r="C7" s="143" t="s">
        <v>188</v>
      </c>
      <c r="D7" s="144"/>
      <c r="E7" s="145" t="s">
        <v>189</v>
      </c>
    </row>
    <row r="8" spans="1:5">
      <c r="A8" s="139"/>
      <c r="B8" s="139"/>
      <c r="C8" s="139"/>
      <c r="D8" s="139"/>
      <c r="E8" s="140"/>
    </row>
    <row r="9" spans="1:5">
      <c r="A9" s="146">
        <v>1</v>
      </c>
      <c r="B9" s="139"/>
      <c r="C9" s="147" t="s">
        <v>70</v>
      </c>
      <c r="D9" s="139"/>
      <c r="E9" s="148">
        <v>1</v>
      </c>
    </row>
    <row r="10" spans="1:5">
      <c r="A10" s="146"/>
      <c r="B10" s="139"/>
      <c r="C10" s="139"/>
      <c r="D10" s="139"/>
      <c r="E10" s="148"/>
    </row>
    <row r="11" spans="1:5">
      <c r="A11" s="146"/>
      <c r="B11" s="139"/>
      <c r="C11" s="149" t="s">
        <v>190</v>
      </c>
      <c r="D11" s="150"/>
      <c r="E11" s="148"/>
    </row>
    <row r="12" spans="1:5">
      <c r="A12" s="146">
        <v>2</v>
      </c>
      <c r="B12" s="139"/>
      <c r="C12" s="150" t="s">
        <v>191</v>
      </c>
      <c r="D12" s="150"/>
      <c r="E12" s="150">
        <v>5.3530000000000001E-3</v>
      </c>
    </row>
    <row r="13" spans="1:5">
      <c r="A13" s="146"/>
      <c r="B13" s="139"/>
      <c r="C13" s="150"/>
      <c r="D13" s="150"/>
      <c r="E13" s="150"/>
    </row>
    <row r="14" spans="1:5">
      <c r="A14" s="146">
        <v>3</v>
      </c>
      <c r="B14" s="139"/>
      <c r="C14" s="150" t="s">
        <v>192</v>
      </c>
      <c r="D14" s="150"/>
      <c r="E14" s="150">
        <v>2E-3</v>
      </c>
    </row>
    <row r="15" spans="1:5">
      <c r="A15" s="146"/>
      <c r="B15" s="139"/>
      <c r="C15" s="150"/>
      <c r="D15" s="150"/>
      <c r="E15" s="150"/>
    </row>
    <row r="16" spans="1:5">
      <c r="A16" s="146">
        <v>4</v>
      </c>
      <c r="B16" s="139"/>
      <c r="C16" s="150" t="s">
        <v>193</v>
      </c>
      <c r="D16" s="150"/>
      <c r="E16" s="150">
        <v>3.8526999999999999E-2</v>
      </c>
    </row>
    <row r="17" spans="1:5">
      <c r="A17" s="146"/>
      <c r="B17" s="139"/>
      <c r="C17" s="150"/>
      <c r="D17" s="150"/>
      <c r="E17" s="150"/>
    </row>
    <row r="18" spans="1:5">
      <c r="A18" s="146">
        <v>5</v>
      </c>
      <c r="B18" s="139"/>
      <c r="C18" s="150" t="s">
        <v>194</v>
      </c>
      <c r="D18" s="150"/>
      <c r="E18" s="151">
        <f>SUM(E12:E16)</f>
        <v>4.5879999999999997E-2</v>
      </c>
    </row>
    <row r="19" spans="1:5">
      <c r="A19" s="146"/>
      <c r="B19" s="139"/>
      <c r="C19" s="150"/>
      <c r="D19" s="150"/>
      <c r="E19" s="152"/>
    </row>
    <row r="20" spans="1:5">
      <c r="A20" s="146">
        <v>6</v>
      </c>
      <c r="B20" s="139"/>
      <c r="C20" s="150" t="s">
        <v>195</v>
      </c>
      <c r="D20" s="150"/>
      <c r="E20" s="152">
        <f>E9-E18</f>
        <v>0.95411999999999997</v>
      </c>
    </row>
    <row r="21" spans="1:5">
      <c r="A21" s="139"/>
      <c r="B21" s="139"/>
      <c r="C21" s="150"/>
      <c r="D21" s="150"/>
      <c r="E21" s="152"/>
    </row>
    <row r="22" spans="1:5">
      <c r="A22" s="146">
        <v>7</v>
      </c>
      <c r="B22" s="139"/>
      <c r="C22" s="150" t="s">
        <v>196</v>
      </c>
      <c r="D22" s="153"/>
      <c r="E22" s="154">
        <f>ROUND(E20*0.35,6)</f>
        <v>0.33394200000000002</v>
      </c>
    </row>
    <row r="23" spans="1:5">
      <c r="A23" s="139"/>
      <c r="B23" s="139"/>
      <c r="C23" s="150"/>
      <c r="D23" s="150"/>
      <c r="E23" s="152"/>
    </row>
    <row r="24" spans="1:5" ht="15" thickBot="1">
      <c r="A24" s="146">
        <v>8</v>
      </c>
      <c r="B24" s="139"/>
      <c r="C24" s="149" t="s">
        <v>197</v>
      </c>
      <c r="D24" s="150"/>
      <c r="E24" s="155">
        <f>ROUND(E20-E22,5)</f>
        <v>0.62017999999999995</v>
      </c>
    </row>
    <row r="25" spans="1:5" ht="15" thickTop="1"/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38"/>
  <sheetViews>
    <sheetView tabSelected="1" workbookViewId="0">
      <selection activeCell="E9" sqref="E9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223" t="s">
        <v>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>
      <c r="A2" s="223" t="s">
        <v>53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>
      <c r="A3" s="224" t="s">
        <v>77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14" t="s">
        <v>25</v>
      </c>
      <c r="K6" s="9" t="s">
        <v>27</v>
      </c>
    </row>
    <row r="7" spans="1:11">
      <c r="A7" s="7"/>
      <c r="B7" s="8"/>
      <c r="C7" s="8"/>
      <c r="D7" s="8"/>
      <c r="E7" s="115" t="s">
        <v>28</v>
      </c>
      <c r="F7" s="115" t="s">
        <v>29</v>
      </c>
      <c r="G7" s="115" t="s">
        <v>30</v>
      </c>
      <c r="H7" s="115" t="s">
        <v>31</v>
      </c>
      <c r="I7" s="115" t="s">
        <v>33</v>
      </c>
      <c r="J7" s="116" t="s">
        <v>32</v>
      </c>
      <c r="K7" s="115" t="s">
        <v>34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17"/>
      <c r="K8" s="118"/>
    </row>
    <row r="9" spans="1:11">
      <c r="A9" s="7">
        <v>1</v>
      </c>
      <c r="B9" s="8" t="s">
        <v>167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19">
        <v>65194000</v>
      </c>
      <c r="K9" s="120">
        <v>7020000</v>
      </c>
    </row>
    <row r="10" spans="1:11">
      <c r="A10" s="7">
        <v>2</v>
      </c>
      <c r="B10" s="8" t="s">
        <v>168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19">
        <v>-1056000</v>
      </c>
      <c r="K10" s="120">
        <v>-112000</v>
      </c>
    </row>
    <row r="11" spans="1:11">
      <c r="A11" s="7">
        <v>3</v>
      </c>
      <c r="B11" s="8" t="s">
        <v>169</v>
      </c>
      <c r="C11" s="8"/>
      <c r="D11" s="8"/>
      <c r="E11" s="10">
        <f>SUM(F11:K11)</f>
        <v>491872000</v>
      </c>
      <c r="F11" s="10">
        <f t="shared" ref="F11:K11" si="0">F9+F10</f>
        <v>211363000</v>
      </c>
      <c r="G11" s="10">
        <f t="shared" si="0"/>
        <v>70145000</v>
      </c>
      <c r="H11" s="10">
        <f t="shared" si="0"/>
        <v>128034000</v>
      </c>
      <c r="I11" s="10">
        <f t="shared" si="0"/>
        <v>11284000</v>
      </c>
      <c r="J11" s="121">
        <f>J9+J10</f>
        <v>64138000</v>
      </c>
      <c r="K11" s="122">
        <f t="shared" si="0"/>
        <v>6908000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21"/>
      <c r="K12" s="122"/>
    </row>
    <row r="13" spans="1:11">
      <c r="A13" s="7">
        <v>4</v>
      </c>
      <c r="B13" s="8" t="s">
        <v>80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23">
        <v>1105372136</v>
      </c>
      <c r="K13" s="124">
        <v>25127765</v>
      </c>
    </row>
    <row r="14" spans="1:11">
      <c r="A14" s="7">
        <v>5</v>
      </c>
      <c r="B14" s="8" t="s">
        <v>170</v>
      </c>
      <c r="C14" s="8"/>
      <c r="D14" s="13"/>
      <c r="E14" s="13">
        <f t="shared" ref="E14:K14" si="1">$E$27</f>
        <v>1.6410000000000001E-2</v>
      </c>
      <c r="F14" s="13">
        <f t="shared" si="1"/>
        <v>1.6410000000000001E-2</v>
      </c>
      <c r="G14" s="13">
        <f t="shared" si="1"/>
        <v>1.6410000000000001E-2</v>
      </c>
      <c r="H14" s="13">
        <f t="shared" si="1"/>
        <v>1.6410000000000001E-2</v>
      </c>
      <c r="I14" s="13">
        <f t="shared" si="1"/>
        <v>1.6410000000000001E-2</v>
      </c>
      <c r="J14" s="125">
        <f t="shared" si="1"/>
        <v>1.6410000000000001E-2</v>
      </c>
      <c r="K14" s="126">
        <f t="shared" si="1"/>
        <v>1.6410000000000001E-2</v>
      </c>
    </row>
    <row r="15" spans="1:11">
      <c r="A15" s="7">
        <v>6</v>
      </c>
      <c r="B15" s="8" t="s">
        <v>59</v>
      </c>
      <c r="C15" s="8"/>
      <c r="D15" s="13"/>
      <c r="E15" s="10">
        <f>SUM(F15:K15)</f>
        <v>92779423.866030008</v>
      </c>
      <c r="F15" s="10">
        <f>F14*F13</f>
        <v>39030824.488710001</v>
      </c>
      <c r="G15" s="10">
        <f t="shared" ref="G15:K15" si="2">G14*G13</f>
        <v>9655664.2827599999</v>
      </c>
      <c r="H15" s="10">
        <f t="shared" si="2"/>
        <v>23289535.927110001</v>
      </c>
      <c r="I15" s="10">
        <f t="shared" si="2"/>
        <v>2251895.7920400002</v>
      </c>
      <c r="J15" s="121">
        <f>J14*J13</f>
        <v>18139156.751760002</v>
      </c>
      <c r="K15" s="122">
        <f t="shared" si="2"/>
        <v>412346.62365000002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21"/>
      <c r="K16" s="122"/>
    </row>
    <row r="17" spans="1:11">
      <c r="A17" s="7">
        <v>7</v>
      </c>
      <c r="B17" s="8" t="s">
        <v>62</v>
      </c>
      <c r="C17" s="8"/>
      <c r="D17" s="8"/>
      <c r="E17" s="10">
        <f>SUM(F17:K17)</f>
        <v>346598079.50938004</v>
      </c>
      <c r="F17" s="14">
        <f t="shared" ref="F17:I17" si="3">F11-F15</f>
        <v>172332175.51129001</v>
      </c>
      <c r="G17" s="14">
        <f t="shared" si="3"/>
        <v>60489335.717239998</v>
      </c>
      <c r="H17" s="14">
        <f t="shared" si="3"/>
        <v>104744464.07289</v>
      </c>
      <c r="I17" s="14">
        <f t="shared" si="3"/>
        <v>9032104.2079600003</v>
      </c>
      <c r="J17" s="117"/>
      <c r="K17" s="118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17"/>
      <c r="K18" s="118"/>
    </row>
    <row r="19" spans="1:11">
      <c r="A19" s="7">
        <v>8</v>
      </c>
      <c r="B19" s="8" t="s">
        <v>81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17"/>
      <c r="K19" s="118"/>
    </row>
    <row r="20" spans="1:11">
      <c r="A20" s="7">
        <v>9</v>
      </c>
      <c r="B20" s="8" t="s">
        <v>171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17"/>
      <c r="K20" s="118"/>
    </row>
    <row r="21" spans="1:11">
      <c r="A21" s="7">
        <v>10</v>
      </c>
      <c r="B21" s="8" t="s">
        <v>60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17"/>
      <c r="K21" s="118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225" t="s">
        <v>79</v>
      </c>
      <c r="K22" s="226"/>
    </row>
    <row r="23" spans="1:11">
      <c r="A23" s="7">
        <v>11</v>
      </c>
      <c r="B23" s="8" t="s">
        <v>61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225"/>
      <c r="K23" s="226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172</v>
      </c>
      <c r="C25" s="8"/>
      <c r="D25" s="8"/>
      <c r="E25" s="127">
        <v>1.566E-2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56</v>
      </c>
      <c r="C26" s="8"/>
      <c r="D26" s="8"/>
      <c r="E26" s="18">
        <f>1/'Conversion Factor'!E20</f>
        <v>1.0480861946086446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173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58</v>
      </c>
      <c r="H29" s="6"/>
    </row>
    <row r="30" spans="1:11">
      <c r="A30" s="3">
        <v>15</v>
      </c>
      <c r="B30" s="2" t="s">
        <v>66</v>
      </c>
      <c r="F30" s="47">
        <f>ROUND(F19/12,0)</f>
        <v>205172</v>
      </c>
      <c r="G30" s="47">
        <f>ROUND((G19+H19+I19)/12,0)</f>
        <v>34823</v>
      </c>
    </row>
    <row r="31" spans="1:11">
      <c r="A31" s="3">
        <v>16</v>
      </c>
      <c r="B31" s="2" t="s">
        <v>65</v>
      </c>
      <c r="F31" s="48">
        <f>F13</f>
        <v>2378478031</v>
      </c>
      <c r="G31" s="48">
        <f>G13+H13+I13</f>
        <v>2144856551</v>
      </c>
    </row>
    <row r="32" spans="1:11">
      <c r="A32" s="3">
        <v>17</v>
      </c>
      <c r="B32" s="2" t="s">
        <v>63</v>
      </c>
      <c r="F32" s="48">
        <f>F21</f>
        <v>20927569.5</v>
      </c>
      <c r="G32" s="48">
        <f>G21+H21+I21</f>
        <v>19142824</v>
      </c>
    </row>
    <row r="33" spans="1:9">
      <c r="A33" s="3">
        <v>18</v>
      </c>
      <c r="B33" s="2" t="s">
        <v>35</v>
      </c>
      <c r="F33" s="5">
        <f>F19</f>
        <v>2462067</v>
      </c>
      <c r="G33" s="5">
        <f>G19+H19+I19</f>
        <v>417878</v>
      </c>
    </row>
    <row r="34" spans="1:9">
      <c r="A34" s="3">
        <v>19</v>
      </c>
      <c r="B34" s="2" t="s">
        <v>64</v>
      </c>
      <c r="F34" s="49">
        <f>F32/F33</f>
        <v>8.5</v>
      </c>
      <c r="G34" s="49">
        <f>G32/G33</f>
        <v>45.809599931080363</v>
      </c>
    </row>
    <row r="35" spans="1:9">
      <c r="G35" s="46"/>
      <c r="H35" s="4"/>
    </row>
    <row r="36" spans="1:9">
      <c r="D36" s="2" t="s">
        <v>174</v>
      </c>
    </row>
    <row r="37" spans="1:9">
      <c r="D37" s="2" t="s">
        <v>175</v>
      </c>
      <c r="F37" s="128">
        <f>F23/F13</f>
        <v>6.3656087648467335E-2</v>
      </c>
      <c r="G37" s="128">
        <f t="shared" ref="G37:I37" si="4">G23/G13</f>
        <v>9.1650724739878009E-2</v>
      </c>
      <c r="H37" s="128">
        <f t="shared" si="4"/>
        <v>6.5309764445137655E-2</v>
      </c>
      <c r="I37" s="128">
        <f t="shared" si="4"/>
        <v>6.1986442030770555E-2</v>
      </c>
    </row>
    <row r="38" spans="1:9">
      <c r="D38" s="2" t="s">
        <v>176</v>
      </c>
      <c r="F38" s="129">
        <f>F37+F14</f>
        <v>8.0066087648467343E-2</v>
      </c>
      <c r="G38" s="129">
        <f t="shared" ref="G38:I38" si="5">G37+G14</f>
        <v>0.10806072473987802</v>
      </c>
      <c r="H38" s="129">
        <f t="shared" si="5"/>
        <v>8.1719764445137649E-2</v>
      </c>
      <c r="I38" s="129">
        <f t="shared" si="5"/>
        <v>7.8396442030770563E-2</v>
      </c>
    </row>
  </sheetData>
  <mergeCells count="4">
    <mergeCell ref="A1:K1"/>
    <mergeCell ref="A2:K2"/>
    <mergeCell ref="A3:K3"/>
    <mergeCell ref="J22:K23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F22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223" t="s">
        <v>20</v>
      </c>
      <c r="B2" s="223"/>
      <c r="C2" s="223"/>
      <c r="D2" s="223"/>
      <c r="E2" s="223"/>
    </row>
    <row r="3" spans="1:6">
      <c r="A3" s="223" t="s">
        <v>53</v>
      </c>
      <c r="B3" s="223"/>
      <c r="C3" s="223"/>
      <c r="D3" s="223"/>
      <c r="E3" s="223"/>
    </row>
    <row r="4" spans="1:6">
      <c r="A4" s="224" t="s">
        <v>74</v>
      </c>
      <c r="B4" s="224"/>
      <c r="C4" s="224"/>
      <c r="D4" s="224"/>
      <c r="E4" s="224"/>
    </row>
    <row r="5" spans="1:6">
      <c r="A5" s="24"/>
      <c r="B5" s="24"/>
      <c r="C5" s="24"/>
      <c r="D5" s="24"/>
      <c r="E5" s="24"/>
    </row>
    <row r="6" spans="1:6">
      <c r="A6" s="24"/>
      <c r="B6" s="24"/>
      <c r="C6" s="24"/>
      <c r="D6" s="24"/>
      <c r="E6" s="24"/>
    </row>
    <row r="7" spans="1:6" ht="46.8">
      <c r="A7" s="130" t="s">
        <v>17</v>
      </c>
      <c r="B7" s="131"/>
      <c r="C7" s="130" t="s">
        <v>16</v>
      </c>
      <c r="D7" s="130" t="s">
        <v>19</v>
      </c>
      <c r="E7" s="130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68</v>
      </c>
      <c r="C10" s="25" t="s">
        <v>177</v>
      </c>
      <c r="D10" s="27">
        <f>'Attachment 4, Page 1'!F23</f>
        <v>151404606.01129001</v>
      </c>
      <c r="E10" s="27">
        <f>SUM('Attachment 4, Page 1'!G23:I23)</f>
        <v>155123079.99809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82</v>
      </c>
      <c r="C12" s="25" t="s">
        <v>57</v>
      </c>
      <c r="D12" s="28">
        <f>'Attachment 4, Page 1'!F19/12</f>
        <v>205172.25</v>
      </c>
      <c r="E12" s="28">
        <f>SUM('Attachment 4, Page 1'!G19:I19)/12</f>
        <v>34823.166666666664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69</v>
      </c>
      <c r="C14" s="25" t="str">
        <f>"("&amp;A10&amp;") / ("&amp;A12&amp;")"</f>
        <v>(1) / (2)</v>
      </c>
      <c r="D14" s="29">
        <f>ROUND(D10/D12,2)</f>
        <v>737.94</v>
      </c>
      <c r="E14" s="29">
        <f>ROUND(E10/E12,2)</f>
        <v>4454.59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52</v>
      </c>
      <c r="C16" s="24"/>
      <c r="D16" s="24"/>
      <c r="E16" s="24"/>
    </row>
    <row r="18" spans="2:5">
      <c r="B18" s="52" t="s">
        <v>70</v>
      </c>
    </row>
    <row r="19" spans="2:5">
      <c r="B19" s="52" t="s">
        <v>71</v>
      </c>
      <c r="D19" s="27">
        <f>D12*D14</f>
        <v>151404810.16500002</v>
      </c>
      <c r="E19" s="27">
        <f>E12*E14</f>
        <v>155122930.00166667</v>
      </c>
    </row>
    <row r="20" spans="2:5">
      <c r="B20" s="52" t="s">
        <v>73</v>
      </c>
      <c r="D20" s="27">
        <f>'Attachment 4, Page 1'!F32</f>
        <v>20927569.5</v>
      </c>
      <c r="E20" s="27">
        <f>'Attachment 4, Page 1'!G32</f>
        <v>19142824</v>
      </c>
    </row>
    <row r="21" spans="2:5">
      <c r="B21" s="52" t="s">
        <v>72</v>
      </c>
      <c r="D21" s="27">
        <f>'Attachment 4, Page 1'!F15</f>
        <v>39030824.488710001</v>
      </c>
      <c r="E21" s="27">
        <f>'Attachment 4, Page 1'!H15+'Attachment 4, Page 1'!I15</f>
        <v>25541431.719150003</v>
      </c>
    </row>
    <row r="22" spans="2:5">
      <c r="B22" s="52" t="s">
        <v>15</v>
      </c>
      <c r="D22" s="53">
        <f>SUM(D19:D21)</f>
        <v>211363204.15371001</v>
      </c>
      <c r="E22" s="53">
        <f>SUM(E19:E21)</f>
        <v>199807185.72081667</v>
      </c>
    </row>
  </sheetData>
  <mergeCells count="3">
    <mergeCell ref="A2:E2"/>
    <mergeCell ref="A3:E3"/>
    <mergeCell ref="A4:E4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5"/>
  <sheetViews>
    <sheetView workbookViewId="0">
      <selection sqref="A1:P1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227" t="s">
        <v>20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ht="17.399999999999999">
      <c r="A2" s="227" t="str">
        <f>'Attachment 4, Page 2'!A3:E3</f>
        <v xml:space="preserve"> Electric Decoupling Mechanism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ht="17.399999999999999">
      <c r="A3" s="228" t="s">
        <v>76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15.6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</row>
    <row r="5" spans="1:16" ht="30.6" customHeight="1">
      <c r="A5" s="132" t="s">
        <v>17</v>
      </c>
      <c r="B5" s="133"/>
      <c r="C5" s="134" t="s">
        <v>16</v>
      </c>
      <c r="D5" s="135" t="s">
        <v>36</v>
      </c>
      <c r="E5" s="135" t="s">
        <v>37</v>
      </c>
      <c r="F5" s="135" t="s">
        <v>38</v>
      </c>
      <c r="G5" s="135" t="s">
        <v>39</v>
      </c>
      <c r="H5" s="135" t="s">
        <v>40</v>
      </c>
      <c r="I5" s="135" t="s">
        <v>41</v>
      </c>
      <c r="J5" s="135" t="s">
        <v>42</v>
      </c>
      <c r="K5" s="135" t="s">
        <v>43</v>
      </c>
      <c r="L5" s="135" t="s">
        <v>44</v>
      </c>
      <c r="M5" s="135" t="s">
        <v>45</v>
      </c>
      <c r="N5" s="135" t="s">
        <v>46</v>
      </c>
      <c r="O5" s="135" t="s">
        <v>47</v>
      </c>
      <c r="P5" s="132" t="s">
        <v>28</v>
      </c>
    </row>
    <row r="6" spans="1:16">
      <c r="A6" s="20"/>
      <c r="B6" s="21" t="s">
        <v>14</v>
      </c>
      <c r="C6" s="21" t="s">
        <v>13</v>
      </c>
      <c r="D6" s="21" t="s">
        <v>12</v>
      </c>
      <c r="E6" s="21" t="s">
        <v>11</v>
      </c>
      <c r="F6" s="21" t="s">
        <v>10</v>
      </c>
      <c r="G6" s="21" t="s">
        <v>9</v>
      </c>
      <c r="H6" s="21" t="s">
        <v>8</v>
      </c>
      <c r="I6" s="21" t="s">
        <v>7</v>
      </c>
      <c r="J6" s="21" t="s">
        <v>6</v>
      </c>
      <c r="K6" s="21" t="s">
        <v>5</v>
      </c>
      <c r="L6" s="21" t="s">
        <v>4</v>
      </c>
      <c r="M6" s="21" t="s">
        <v>3</v>
      </c>
      <c r="N6" s="21" t="s">
        <v>2</v>
      </c>
      <c r="O6" s="21" t="s">
        <v>1</v>
      </c>
      <c r="P6" s="21" t="s">
        <v>0</v>
      </c>
    </row>
    <row r="7" spans="1:16">
      <c r="A7" s="21">
        <v>1</v>
      </c>
      <c r="B7" s="32" t="s">
        <v>48</v>
      </c>
      <c r="C7" s="21"/>
      <c r="D7" s="20"/>
      <c r="E7" s="20"/>
      <c r="F7" s="20"/>
      <c r="G7" s="20"/>
      <c r="H7" s="22"/>
      <c r="I7" s="22"/>
      <c r="J7" s="20"/>
      <c r="K7" s="20"/>
      <c r="L7" s="20"/>
      <c r="M7" s="20"/>
      <c r="N7" s="20"/>
      <c r="O7" s="20"/>
      <c r="P7" s="33"/>
    </row>
    <row r="8" spans="1:16">
      <c r="A8" s="21">
        <f t="shared" ref="A8:A27" si="0">A7+1</f>
        <v>2</v>
      </c>
      <c r="B8" s="34" t="s">
        <v>19</v>
      </c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3"/>
    </row>
    <row r="9" spans="1:16">
      <c r="A9" s="21">
        <f t="shared" si="0"/>
        <v>3</v>
      </c>
      <c r="B9" s="23" t="s">
        <v>49</v>
      </c>
      <c r="C9" s="21" t="s">
        <v>78</v>
      </c>
      <c r="D9" s="45">
        <f>'TY Normalized Usage by Month'!D50</f>
        <v>284675925</v>
      </c>
      <c r="E9" s="45">
        <f>'TY Normalized Usage by Month'!E50</f>
        <v>232597855</v>
      </c>
      <c r="F9" s="45">
        <f>'TY Normalized Usage by Month'!F50</f>
        <v>228752581</v>
      </c>
      <c r="G9" s="45">
        <f>'TY Normalized Usage by Month'!G50</f>
        <v>172322869</v>
      </c>
      <c r="H9" s="45">
        <f>'TY Normalized Usage by Month'!H50</f>
        <v>166632549</v>
      </c>
      <c r="I9" s="45">
        <f>'TY Normalized Usage by Month'!I50</f>
        <v>148170954</v>
      </c>
      <c r="J9" s="45">
        <f>'TY Normalized Usage by Month'!J50</f>
        <v>153360033</v>
      </c>
      <c r="K9" s="45">
        <f>'TY Normalized Usage by Month'!K50</f>
        <v>181322317</v>
      </c>
      <c r="L9" s="45">
        <f>'TY Normalized Usage by Month'!L50</f>
        <v>146560541</v>
      </c>
      <c r="M9" s="45">
        <f>'TY Normalized Usage by Month'!M50</f>
        <v>174054557</v>
      </c>
      <c r="N9" s="45">
        <f>'TY Normalized Usage by Month'!N50</f>
        <v>212665464</v>
      </c>
      <c r="O9" s="45">
        <f>'TY Normalized Usage by Month'!O50</f>
        <v>277362386</v>
      </c>
      <c r="P9" s="35">
        <f>SUM(D9:O9)</f>
        <v>2378478031</v>
      </c>
    </row>
    <row r="10" spans="1:16">
      <c r="A10" s="21">
        <f t="shared" si="0"/>
        <v>4</v>
      </c>
      <c r="B10" s="20" t="s">
        <v>50</v>
      </c>
      <c r="C10" s="36" t="s">
        <v>54</v>
      </c>
      <c r="D10" s="37">
        <f t="shared" ref="D10:O10" si="1">D9/$P9</f>
        <v>0.11968827178122463</v>
      </c>
      <c r="E10" s="37">
        <f t="shared" si="1"/>
        <v>9.7792727941324431E-2</v>
      </c>
      <c r="F10" s="37">
        <f t="shared" si="1"/>
        <v>9.6176032748061149E-2</v>
      </c>
      <c r="G10" s="37">
        <f t="shared" si="1"/>
        <v>7.2450897907831047E-2</v>
      </c>
      <c r="H10" s="37">
        <f t="shared" si="1"/>
        <v>7.0058477239725234E-2</v>
      </c>
      <c r="I10" s="37">
        <f t="shared" si="1"/>
        <v>6.2296540926091069E-2</v>
      </c>
      <c r="J10" s="37">
        <f t="shared" si="1"/>
        <v>6.4478221367267274E-2</v>
      </c>
      <c r="K10" s="37">
        <f t="shared" si="1"/>
        <v>7.6234598191249808E-2</v>
      </c>
      <c r="L10" s="37">
        <f t="shared" si="1"/>
        <v>6.1619463829304548E-2</v>
      </c>
      <c r="M10" s="37">
        <f t="shared" si="1"/>
        <v>7.3178963493230595E-2</v>
      </c>
      <c r="N10" s="37">
        <f t="shared" si="1"/>
        <v>8.9412414673675833E-2</v>
      </c>
      <c r="O10" s="37">
        <f t="shared" si="1"/>
        <v>0.1166133899010144</v>
      </c>
      <c r="P10" s="37">
        <f>SUM(D10:O10)</f>
        <v>1</v>
      </c>
    </row>
    <row r="11" spans="1:16">
      <c r="A11" s="21"/>
      <c r="B11" s="20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>
      <c r="A12" s="21">
        <v>5</v>
      </c>
      <c r="B12" s="34" t="s">
        <v>51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6</v>
      </c>
      <c r="B13" s="23" t="s">
        <v>49</v>
      </c>
      <c r="C13" s="21" t="s">
        <v>78</v>
      </c>
      <c r="D13" s="45">
        <f>'TY Normalized Usage by Month'!D53</f>
        <v>174546983</v>
      </c>
      <c r="E13" s="45">
        <f>'TY Normalized Usage by Month'!E53</f>
        <v>177500854</v>
      </c>
      <c r="F13" s="45">
        <f>'TY Normalized Usage by Month'!F53</f>
        <v>166289029</v>
      </c>
      <c r="G13" s="45">
        <f>'TY Normalized Usage by Month'!G53</f>
        <v>165417455</v>
      </c>
      <c r="H13" s="45">
        <f>'TY Normalized Usage by Month'!H53</f>
        <v>178108889</v>
      </c>
      <c r="I13" s="45">
        <f>'TY Normalized Usage by Month'!I53</f>
        <v>185503197</v>
      </c>
      <c r="J13" s="45">
        <f>'TY Normalized Usage by Month'!J53</f>
        <v>200737081</v>
      </c>
      <c r="K13" s="45">
        <f>'TY Normalized Usage by Month'!K53</f>
        <v>187588012</v>
      </c>
      <c r="L13" s="45">
        <f>'TY Normalized Usage by Month'!L53</f>
        <v>179420897</v>
      </c>
      <c r="M13" s="45">
        <f>'TY Normalized Usage by Month'!M53</f>
        <v>183203251</v>
      </c>
      <c r="N13" s="45">
        <f>'TY Normalized Usage by Month'!N53</f>
        <v>168530619</v>
      </c>
      <c r="O13" s="45">
        <f>'TY Normalized Usage by Month'!O53</f>
        <v>178010284</v>
      </c>
      <c r="P13" s="35">
        <f>SUM(D13:O13)</f>
        <v>2144856551</v>
      </c>
    </row>
    <row r="14" spans="1:16">
      <c r="A14" s="21">
        <v>7</v>
      </c>
      <c r="B14" s="20" t="s">
        <v>50</v>
      </c>
      <c r="C14" s="36" t="s">
        <v>54</v>
      </c>
      <c r="D14" s="40">
        <f t="shared" ref="D14:O14" si="2">D13/$P13</f>
        <v>8.1379327171609991E-2</v>
      </c>
      <c r="E14" s="40">
        <f t="shared" si="2"/>
        <v>8.2756515309727122E-2</v>
      </c>
      <c r="F14" s="40">
        <f t="shared" si="2"/>
        <v>7.7529207686393195E-2</v>
      </c>
      <c r="G14" s="40">
        <f t="shared" si="2"/>
        <v>7.7122852305846354E-2</v>
      </c>
      <c r="H14" s="40">
        <f t="shared" si="2"/>
        <v>8.3040000468544151E-2</v>
      </c>
      <c r="I14" s="40">
        <f t="shared" si="2"/>
        <v>8.6487460857702828E-2</v>
      </c>
      <c r="J14" s="40">
        <f t="shared" si="2"/>
        <v>9.3589979668528431E-2</v>
      </c>
      <c r="K14" s="40">
        <f t="shared" si="2"/>
        <v>8.7459467586557496E-2</v>
      </c>
      <c r="L14" s="40">
        <f t="shared" si="2"/>
        <v>8.3651700117822941E-2</v>
      </c>
      <c r="M14" s="40">
        <f t="shared" si="2"/>
        <v>8.5415153248633274E-2</v>
      </c>
      <c r="N14" s="40">
        <f t="shared" si="2"/>
        <v>7.8574307881534411E-2</v>
      </c>
      <c r="O14" s="40">
        <f t="shared" si="2"/>
        <v>8.299402769709982E-2</v>
      </c>
      <c r="P14" s="40">
        <f>SUM(D14:O14)</f>
        <v>1</v>
      </c>
    </row>
    <row r="15" spans="1:16">
      <c r="A15" s="21"/>
      <c r="B15" s="2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>
      <c r="A16" s="21"/>
      <c r="B16" s="34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</row>
    <row r="17" spans="1:16">
      <c r="A17" s="21"/>
      <c r="B17" s="23"/>
      <c r="C17" s="21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35"/>
    </row>
    <row r="18" spans="1:16">
      <c r="A18" s="21"/>
      <c r="B18" s="20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21"/>
      <c r="B19" s="20"/>
      <c r="C19" s="21"/>
      <c r="D19" s="40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>
      <c r="A20" s="21">
        <v>8</v>
      </c>
      <c r="B20" s="32" t="s">
        <v>75</v>
      </c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f t="shared" si="0"/>
        <v>9</v>
      </c>
      <c r="B21" s="34" t="s">
        <v>19</v>
      </c>
      <c r="C21" s="21"/>
      <c r="D21" s="4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1">
        <f t="shared" si="0"/>
        <v>10</v>
      </c>
      <c r="B22" s="20" t="s">
        <v>178</v>
      </c>
      <c r="C22" s="21" t="s">
        <v>179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42">
        <f>'Attachment 4, Page 2'!D14</f>
        <v>737.94</v>
      </c>
    </row>
    <row r="23" spans="1:16">
      <c r="A23" s="21">
        <f t="shared" si="0"/>
        <v>11</v>
      </c>
      <c r="B23" s="20" t="s">
        <v>180</v>
      </c>
      <c r="C23" s="21" t="str">
        <f>"("&amp;A$10&amp;") x ("&amp;A22&amp;")"</f>
        <v>(4) x (10)</v>
      </c>
      <c r="D23" s="43">
        <f t="shared" ref="D23:O23" si="3">$P22*D$10</f>
        <v>88.322763278236906</v>
      </c>
      <c r="E23" s="43">
        <f t="shared" si="3"/>
        <v>72.16516565702095</v>
      </c>
      <c r="F23" s="43">
        <f t="shared" si="3"/>
        <v>70.972141606104245</v>
      </c>
      <c r="G23" s="43">
        <f t="shared" si="3"/>
        <v>53.464415602104843</v>
      </c>
      <c r="H23" s="43">
        <f t="shared" si="3"/>
        <v>51.698952694282845</v>
      </c>
      <c r="I23" s="43">
        <f t="shared" si="3"/>
        <v>45.971109410999645</v>
      </c>
      <c r="J23" s="43">
        <f t="shared" si="3"/>
        <v>47.581058675761213</v>
      </c>
      <c r="K23" s="43">
        <f t="shared" si="3"/>
        <v>56.256559389250889</v>
      </c>
      <c r="L23" s="43">
        <f t="shared" si="3"/>
        <v>45.471467138196999</v>
      </c>
      <c r="M23" s="43">
        <f t="shared" si="3"/>
        <v>54.001684320194592</v>
      </c>
      <c r="N23" s="43">
        <f t="shared" si="3"/>
        <v>65.980997284292343</v>
      </c>
      <c r="O23" s="43">
        <f t="shared" si="3"/>
        <v>86.053684943554572</v>
      </c>
      <c r="P23" s="42">
        <f>SUM(D23:O23)</f>
        <v>737.94</v>
      </c>
    </row>
    <row r="24" spans="1:16">
      <c r="A24" s="21"/>
      <c r="B24" s="20"/>
      <c r="C24" s="21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2"/>
    </row>
    <row r="25" spans="1:16">
      <c r="A25" s="21">
        <f>A23+1</f>
        <v>12</v>
      </c>
      <c r="B25" s="34" t="s">
        <v>51</v>
      </c>
      <c r="C25" s="4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42"/>
    </row>
    <row r="26" spans="1:16">
      <c r="A26" s="21">
        <f t="shared" si="0"/>
        <v>13</v>
      </c>
      <c r="B26" s="20" t="s">
        <v>178</v>
      </c>
      <c r="C26" s="21" t="s">
        <v>179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>
        <f>'Attachment 4, Page 2'!E14</f>
        <v>4454.59</v>
      </c>
    </row>
    <row r="27" spans="1:16">
      <c r="A27" s="21">
        <f t="shared" si="0"/>
        <v>14</v>
      </c>
      <c r="B27" s="20" t="s">
        <v>180</v>
      </c>
      <c r="C27" s="21" t="str">
        <f>"("&amp;A$14&amp;") x ("&amp;A26&amp;")"</f>
        <v>(7) x (13)</v>
      </c>
      <c r="D27" s="43">
        <f t="shared" ref="D27:O27" si="4">$P26*D$14</f>
        <v>362.51153702538215</v>
      </c>
      <c r="E27" s="43">
        <f t="shared" si="4"/>
        <v>368.64634553355734</v>
      </c>
      <c r="F27" s="43">
        <f t="shared" si="4"/>
        <v>345.3608332677303</v>
      </c>
      <c r="G27" s="43">
        <f t="shared" si="4"/>
        <v>343.55068665310012</v>
      </c>
      <c r="H27" s="43">
        <f t="shared" si="4"/>
        <v>369.90915568717207</v>
      </c>
      <c r="I27" s="43">
        <f t="shared" si="4"/>
        <v>385.26617826211447</v>
      </c>
      <c r="J27" s="43">
        <f t="shared" si="4"/>
        <v>416.90498753163007</v>
      </c>
      <c r="K27" s="43">
        <f t="shared" si="4"/>
        <v>389.59606971640318</v>
      </c>
      <c r="L27" s="43">
        <f t="shared" si="4"/>
        <v>372.63402682785289</v>
      </c>
      <c r="M27" s="43">
        <f t="shared" si="4"/>
        <v>380.4894875098293</v>
      </c>
      <c r="N27" s="43">
        <f t="shared" si="4"/>
        <v>350.01632614600436</v>
      </c>
      <c r="O27" s="43">
        <f t="shared" si="4"/>
        <v>369.7043658392239</v>
      </c>
      <c r="P27" s="42">
        <f>SUM(D27:O27)</f>
        <v>4454.59</v>
      </c>
    </row>
    <row r="28" spans="1:16">
      <c r="A28" s="21"/>
      <c r="B28" s="20"/>
      <c r="C28" s="21"/>
      <c r="D28" s="43"/>
      <c r="E28" s="43"/>
      <c r="F28" s="43"/>
      <c r="G28" s="43"/>
      <c r="I28" s="43"/>
      <c r="J28" s="43"/>
      <c r="K28" s="43"/>
      <c r="L28" s="43"/>
      <c r="M28" s="43"/>
      <c r="N28" s="43"/>
      <c r="O28" s="43"/>
      <c r="P28" s="42"/>
    </row>
    <row r="29" spans="1:16">
      <c r="A29" s="21"/>
      <c r="B29" s="34"/>
      <c r="C29" s="44"/>
      <c r="D29" s="20"/>
      <c r="E29" s="20"/>
      <c r="F29" s="20"/>
      <c r="G29" s="20"/>
      <c r="H29" s="20"/>
      <c r="I29" s="43"/>
      <c r="J29" s="20"/>
      <c r="K29" s="43"/>
      <c r="L29" s="20"/>
      <c r="M29" s="20"/>
      <c r="N29" s="20"/>
      <c r="O29" s="20"/>
      <c r="P29" s="42"/>
    </row>
    <row r="30" spans="1:16">
      <c r="A30" s="21"/>
      <c r="B30" s="20"/>
      <c r="C30" s="21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/>
    </row>
    <row r="32" spans="1:16">
      <c r="A32" s="21"/>
      <c r="B32" s="20"/>
      <c r="C32" s="44"/>
      <c r="D32" s="21"/>
      <c r="E32" s="21"/>
      <c r="F32" s="21"/>
      <c r="G32" s="21"/>
      <c r="H32" s="20"/>
      <c r="I32" s="43"/>
      <c r="J32" s="20"/>
      <c r="K32" s="43"/>
      <c r="L32" s="20"/>
      <c r="M32" s="20"/>
      <c r="N32" s="20"/>
      <c r="O32" s="20"/>
      <c r="P32" s="42"/>
    </row>
    <row r="33" spans="1:16">
      <c r="A33" s="21"/>
      <c r="B33" s="23" t="s">
        <v>55</v>
      </c>
      <c r="C33" s="21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20"/>
    </row>
    <row r="34" spans="1:16">
      <c r="I34" s="43"/>
    </row>
    <row r="35" spans="1:16">
      <c r="H35" s="43"/>
    </row>
  </sheetData>
  <mergeCells count="4">
    <mergeCell ref="A1:P1"/>
    <mergeCell ref="A2:P2"/>
    <mergeCell ref="A3:P3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09375" defaultRowHeight="14.4"/>
  <cols>
    <col min="1" max="16384" width="9.109375" style="215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T71"/>
  <sheetViews>
    <sheetView topLeftCell="F43" workbookViewId="0">
      <selection activeCell="N69" sqref="N69"/>
    </sheetView>
  </sheetViews>
  <sheetFormatPr defaultRowHeight="14.4"/>
  <cols>
    <col min="2" max="2" width="30.6640625" customWidth="1"/>
    <col min="3" max="3" width="13.5546875" customWidth="1"/>
    <col min="4" max="4" width="11.6640625" customWidth="1"/>
    <col min="5" max="5" width="12.5546875" customWidth="1"/>
    <col min="6" max="6" width="14.33203125" customWidth="1"/>
    <col min="7" max="7" width="14.5546875" customWidth="1"/>
    <col min="8" max="8" width="14" customWidth="1"/>
    <col min="9" max="9" width="14.33203125" customWidth="1"/>
    <col min="10" max="10" width="14.44140625" customWidth="1"/>
    <col min="11" max="12" width="13.109375" customWidth="1"/>
    <col min="13" max="13" width="13.6640625" customWidth="1"/>
    <col min="14" max="14" width="14.109375" customWidth="1"/>
    <col min="15" max="15" width="15" customWidth="1"/>
    <col min="16" max="16" width="15" bestFit="1" customWidth="1"/>
    <col min="17" max="17" width="14.5546875" customWidth="1"/>
    <col min="18" max="18" width="13.5546875" customWidth="1"/>
    <col min="19" max="19" width="13.44140625" hidden="1" customWidth="1"/>
    <col min="20" max="20" width="11.33203125" hidden="1" customWidth="1"/>
  </cols>
  <sheetData>
    <row r="1" spans="1:20" ht="15.6">
      <c r="A1" s="229" t="s">
        <v>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0"/>
      <c r="S1" s="58"/>
      <c r="T1" s="58"/>
    </row>
    <row r="2" spans="1:20" ht="15.6">
      <c r="A2" s="229" t="s">
        <v>198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0"/>
      <c r="S2" s="58"/>
      <c r="T2" s="58"/>
    </row>
    <row r="3" spans="1:20" ht="15.6">
      <c r="A3" s="230" t="s">
        <v>163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0"/>
      <c r="S3" s="58"/>
      <c r="T3" s="58"/>
    </row>
    <row r="4" spans="1:20" ht="15.6" hidden="1">
      <c r="A4" s="59"/>
      <c r="B4" s="60"/>
      <c r="C4" s="60"/>
      <c r="D4" s="60"/>
      <c r="E4" s="60"/>
      <c r="F4" s="61" t="str">
        <f>TEXT(F7,"YYYYMM")</f>
        <v>201601</v>
      </c>
      <c r="G4" s="61">
        <f>F4+1</f>
        <v>201602</v>
      </c>
      <c r="H4" s="61">
        <f t="shared" ref="H4:Q4" si="0">G4+1</f>
        <v>201603</v>
      </c>
      <c r="I4" s="61">
        <f t="shared" si="0"/>
        <v>201604</v>
      </c>
      <c r="J4" s="61">
        <f t="shared" si="0"/>
        <v>201605</v>
      </c>
      <c r="K4" s="61">
        <f t="shared" si="0"/>
        <v>201606</v>
      </c>
      <c r="L4" s="61">
        <f t="shared" si="0"/>
        <v>201607</v>
      </c>
      <c r="M4" s="61">
        <f t="shared" si="0"/>
        <v>201608</v>
      </c>
      <c r="N4" s="61">
        <f t="shared" si="0"/>
        <v>201609</v>
      </c>
      <c r="O4" s="61">
        <f t="shared" si="0"/>
        <v>201610</v>
      </c>
      <c r="P4" s="61">
        <f t="shared" si="0"/>
        <v>201611</v>
      </c>
      <c r="Q4" s="61">
        <f t="shared" si="0"/>
        <v>201612</v>
      </c>
      <c r="R4" s="20"/>
      <c r="S4" s="58"/>
      <c r="T4" s="58"/>
    </row>
    <row r="5" spans="1:20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20"/>
      <c r="S5" s="58"/>
      <c r="T5" s="58"/>
    </row>
    <row r="6" spans="1:20">
      <c r="A6" s="20"/>
      <c r="B6" s="20"/>
      <c r="C6" s="20"/>
      <c r="D6" s="110">
        <v>0.32258064516129031</v>
      </c>
      <c r="E6" s="110">
        <f>21/31</f>
        <v>0.67741935483870963</v>
      </c>
      <c r="F6" s="110" t="s">
        <v>166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58"/>
      <c r="T6" s="58"/>
    </row>
    <row r="7" spans="1:20">
      <c r="A7" s="64" t="s">
        <v>17</v>
      </c>
      <c r="B7" s="65"/>
      <c r="C7" s="66" t="s">
        <v>16</v>
      </c>
      <c r="D7" s="66" t="s">
        <v>164</v>
      </c>
      <c r="E7" s="66" t="s">
        <v>165</v>
      </c>
      <c r="F7" s="111">
        <v>42370</v>
      </c>
      <c r="G7" s="67">
        <f>EDATE(F7,1)</f>
        <v>42401</v>
      </c>
      <c r="H7" s="67">
        <f t="shared" ref="H7:Q7" si="1">EDATE(G7,1)</f>
        <v>42430</v>
      </c>
      <c r="I7" s="67">
        <f t="shared" si="1"/>
        <v>42461</v>
      </c>
      <c r="J7" s="67">
        <f t="shared" si="1"/>
        <v>42491</v>
      </c>
      <c r="K7" s="67">
        <f t="shared" si="1"/>
        <v>42522</v>
      </c>
      <c r="L7" s="67">
        <f t="shared" si="1"/>
        <v>42552</v>
      </c>
      <c r="M7" s="67">
        <f t="shared" si="1"/>
        <v>42583</v>
      </c>
      <c r="N7" s="67">
        <f t="shared" si="1"/>
        <v>42614</v>
      </c>
      <c r="O7" s="67">
        <f t="shared" si="1"/>
        <v>42644</v>
      </c>
      <c r="P7" s="67">
        <f t="shared" si="1"/>
        <v>42675</v>
      </c>
      <c r="Q7" s="67">
        <f t="shared" si="1"/>
        <v>42705</v>
      </c>
      <c r="R7" s="67" t="s">
        <v>15</v>
      </c>
      <c r="S7" s="58"/>
      <c r="T7" s="58"/>
    </row>
    <row r="8" spans="1:20">
      <c r="A8" s="21"/>
      <c r="B8" s="21" t="s">
        <v>14</v>
      </c>
      <c r="C8" s="21" t="s">
        <v>13</v>
      </c>
      <c r="D8" s="21"/>
      <c r="E8" s="21"/>
      <c r="F8" s="21" t="s">
        <v>12</v>
      </c>
      <c r="G8" s="21" t="s">
        <v>11</v>
      </c>
      <c r="H8" s="21" t="s">
        <v>10</v>
      </c>
      <c r="I8" s="21" t="s">
        <v>9</v>
      </c>
      <c r="J8" s="21" t="s">
        <v>8</v>
      </c>
      <c r="K8" s="21" t="s">
        <v>7</v>
      </c>
      <c r="L8" s="21" t="s">
        <v>6</v>
      </c>
      <c r="M8" s="21" t="s">
        <v>5</v>
      </c>
      <c r="N8" s="21" t="s">
        <v>4</v>
      </c>
      <c r="O8" s="21" t="s">
        <v>3</v>
      </c>
      <c r="P8" s="21" t="s">
        <v>2</v>
      </c>
      <c r="Q8" s="21" t="s">
        <v>1</v>
      </c>
      <c r="R8" s="21" t="s">
        <v>0</v>
      </c>
      <c r="S8" s="58"/>
      <c r="T8" s="58"/>
    </row>
    <row r="9" spans="1:20" hidden="1">
      <c r="A9" s="68" t="s">
        <v>120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58"/>
      <c r="T9" s="58"/>
    </row>
    <row r="10" spans="1:20" hidden="1">
      <c r="A10" s="58"/>
      <c r="B10" s="69" t="s">
        <v>121</v>
      </c>
      <c r="C10" s="58" t="s">
        <v>122</v>
      </c>
      <c r="D10" s="58"/>
      <c r="E10" s="58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58"/>
      <c r="T10" s="58"/>
    </row>
    <row r="11" spans="1:20" hidden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58"/>
      <c r="T11" s="58"/>
    </row>
    <row r="12" spans="1:20">
      <c r="A12" s="21"/>
      <c r="B12" s="72" t="s">
        <v>123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0"/>
      <c r="S12" s="58"/>
      <c r="T12" s="58"/>
    </row>
    <row r="13" spans="1:20">
      <c r="A13" s="21">
        <v>1</v>
      </c>
      <c r="B13" s="20" t="s">
        <v>124</v>
      </c>
      <c r="C13" s="21" t="s">
        <v>125</v>
      </c>
      <c r="D13" s="112">
        <f>$F13*D$6</f>
        <v>67166.774193548379</v>
      </c>
      <c r="E13" s="112">
        <f>$F13*E$6</f>
        <v>141050.22580645161</v>
      </c>
      <c r="F13" s="160">
        <f>'Jan Base Rate Revenue'!$C$20</f>
        <v>208217</v>
      </c>
      <c r="G13" s="160">
        <f>'Feb Base Rate Revenue'!$C$20</f>
        <v>210418</v>
      </c>
      <c r="H13" s="160">
        <f>'Mar Base Rate Revenue'!C20</f>
        <v>209750</v>
      </c>
      <c r="I13" s="160">
        <f>'Apr Base Rate Revenue'!C20</f>
        <v>209405</v>
      </c>
      <c r="J13" s="160">
        <f>'May Base Rate Revenue'!C20</f>
        <v>209004</v>
      </c>
      <c r="K13" s="160">
        <f>'June Base Rate Revenue'!C20</f>
        <v>208965</v>
      </c>
      <c r="L13" s="160">
        <f>'July Base Rate Revenue'!C20</f>
        <v>209204</v>
      </c>
      <c r="M13" s="160">
        <f>'August Base Rate Revenue'!$C20</f>
        <v>209512</v>
      </c>
      <c r="N13" s="160">
        <f>'September Base Rate Revenue'!$C20</f>
        <v>210314</v>
      </c>
      <c r="O13" s="160">
        <f>'October Base Rate Revenue'!$C20</f>
        <v>210674</v>
      </c>
      <c r="P13" s="160">
        <f>'November Base Rate Revenue'!$C19</f>
        <v>211346</v>
      </c>
      <c r="Q13" s="160">
        <f>'December Base Rate Revenue'!$C19</f>
        <v>211562</v>
      </c>
      <c r="R13" s="106">
        <f>SUM(F13:Q13)</f>
        <v>2518371</v>
      </c>
      <c r="S13" s="73">
        <f>AVERAGE(F13:Q13)</f>
        <v>209864.25</v>
      </c>
      <c r="T13" s="231" t="s">
        <v>126</v>
      </c>
    </row>
    <row r="14" spans="1:20" ht="26.4">
      <c r="A14" s="74">
        <f t="shared" ref="A14:A44" si="2">A13+1</f>
        <v>2</v>
      </c>
      <c r="B14" s="156" t="s">
        <v>127</v>
      </c>
      <c r="C14" s="156" t="s">
        <v>200</v>
      </c>
      <c r="D14" s="157">
        <v>78.809318650824423</v>
      </c>
      <c r="E14" s="157">
        <f>'Attachment 4, Page 3'!D23</f>
        <v>88.322763278236906</v>
      </c>
      <c r="F14" s="157">
        <f>$D$14*$D$6+$E$14*$E$6</f>
        <v>85.253910172619968</v>
      </c>
      <c r="G14" s="157">
        <f>'Attachment 4, Page 3'!E23</f>
        <v>72.16516565702095</v>
      </c>
      <c r="H14" s="157">
        <f>'Attachment 4, Page 3'!F23</f>
        <v>70.972141606104245</v>
      </c>
      <c r="I14" s="157">
        <f>'Attachment 4, Page 3'!G23</f>
        <v>53.464415602104843</v>
      </c>
      <c r="J14" s="157">
        <f>'Attachment 4, Page 3'!H23</f>
        <v>51.698952694282845</v>
      </c>
      <c r="K14" s="157">
        <f>'Attachment 4, Page 3'!I23</f>
        <v>45.971109410999645</v>
      </c>
      <c r="L14" s="157">
        <f>'Attachment 4, Page 3'!J23</f>
        <v>47.581058675761213</v>
      </c>
      <c r="M14" s="157">
        <f>'Attachment 4, Page 3'!K23</f>
        <v>56.256559389250889</v>
      </c>
      <c r="N14" s="157">
        <f>'Attachment 4, Page 3'!L23</f>
        <v>45.471467138196999</v>
      </c>
      <c r="O14" s="157">
        <f>'Attachment 4, Page 3'!M23</f>
        <v>54.001684320194592</v>
      </c>
      <c r="P14" s="157">
        <f>'Attachment 4, Page 3'!N23</f>
        <v>65.980997284292343</v>
      </c>
      <c r="Q14" s="157">
        <f>'Attachment 4, Page 3'!O23</f>
        <v>86.053684943554572</v>
      </c>
      <c r="R14" s="75">
        <f>SUM(F14:Q14)</f>
        <v>734.87114689438317</v>
      </c>
      <c r="S14" s="76">
        <f>SUM(F14:Q14)</f>
        <v>734.87114689438317</v>
      </c>
      <c r="T14" s="231"/>
    </row>
    <row r="15" spans="1:20">
      <c r="A15" s="21">
        <f t="shared" si="2"/>
        <v>3</v>
      </c>
      <c r="B15" s="20" t="s">
        <v>61</v>
      </c>
      <c r="C15" s="21" t="str">
        <f>"("&amp;A13&amp;") x ("&amp;A14&amp;")"</f>
        <v>(1) x (2)</v>
      </c>
      <c r="D15" s="77">
        <f t="shared" ref="D15" si="3">D13*D14</f>
        <v>5293367.7101673251</v>
      </c>
      <c r="E15" s="77">
        <f>E13*E14</f>
        <v>12457945.704245087</v>
      </c>
      <c r="F15" s="77">
        <f>F13*F14</f>
        <v>17751313.414412413</v>
      </c>
      <c r="G15" s="77">
        <f t="shared" ref="G15:Q15" si="4">G13*G14</f>
        <v>15184849.827219034</v>
      </c>
      <c r="H15" s="77">
        <f t="shared" si="4"/>
        <v>14886406.701880366</v>
      </c>
      <c r="I15" s="77">
        <f t="shared" si="4"/>
        <v>11195715.949158765</v>
      </c>
      <c r="J15" s="77">
        <f t="shared" si="4"/>
        <v>10805287.908915892</v>
      </c>
      <c r="K15" s="77">
        <f t="shared" si="4"/>
        <v>9606352.8780695405</v>
      </c>
      <c r="L15" s="77">
        <f t="shared" si="4"/>
        <v>9954147.799203949</v>
      </c>
      <c r="M15" s="77">
        <f t="shared" si="4"/>
        <v>11786424.270760732</v>
      </c>
      <c r="N15" s="77">
        <f t="shared" si="4"/>
        <v>9563286.1397027634</v>
      </c>
      <c r="O15" s="77">
        <f t="shared" si="4"/>
        <v>11376750.842472676</v>
      </c>
      <c r="P15" s="77">
        <f t="shared" si="4"/>
        <v>13944819.85204605</v>
      </c>
      <c r="Q15" s="77">
        <f t="shared" si="4"/>
        <v>18205689.694028292</v>
      </c>
      <c r="R15" s="78">
        <f>SUM(F15:Q15)</f>
        <v>154261045.27787048</v>
      </c>
      <c r="S15" s="77">
        <f>S13*S14</f>
        <v>154223182.08962956</v>
      </c>
      <c r="T15" s="79">
        <f>S15-R15</f>
        <v>-37863.188240915537</v>
      </c>
    </row>
    <row r="16" spans="1:20">
      <c r="A16" s="21"/>
      <c r="B16" s="20"/>
      <c r="C16" s="21"/>
      <c r="D16" s="21"/>
      <c r="E16" s="21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20"/>
      <c r="S16" s="58"/>
      <c r="T16" s="58"/>
    </row>
    <row r="17" spans="1:20">
      <c r="A17" s="21">
        <v>4</v>
      </c>
      <c r="B17" s="20" t="s">
        <v>128</v>
      </c>
      <c r="C17" s="21" t="s">
        <v>125</v>
      </c>
      <c r="D17" s="77">
        <f t="shared" ref="D17:E19" si="5">$F17*D$6</f>
        <v>8069976.6002741931</v>
      </c>
      <c r="E17" s="77">
        <f t="shared" si="5"/>
        <v>16946950.860575806</v>
      </c>
      <c r="F17" s="161">
        <f>'Jan Base Rate Revenue'!$I$41</f>
        <v>25016927.46085</v>
      </c>
      <c r="G17" s="161">
        <f>'Feb Base Rate Revenue'!$I$41</f>
        <v>18682933.729059998</v>
      </c>
      <c r="H17" s="161">
        <f>'Mar Base Rate Revenue'!I41</f>
        <v>17505110.81546</v>
      </c>
      <c r="I17" s="161">
        <f>'Apr Base Rate Revenue'!I41</f>
        <v>13895472.85121</v>
      </c>
      <c r="J17" s="161">
        <f>'May Base Rate Revenue'!I41</f>
        <v>12707668.140389999</v>
      </c>
      <c r="K17" s="161">
        <f>'June Base Rate Revenue'!I41</f>
        <v>13822016.88274</v>
      </c>
      <c r="L17" s="161">
        <f>'July Base Rate Revenue'!I41</f>
        <v>15745170.28418</v>
      </c>
      <c r="M17" s="161">
        <f>'August Base Rate Revenue'!$I41</f>
        <v>16208772.710109999</v>
      </c>
      <c r="N17" s="161">
        <f>'September Base Rate Revenue'!$I41</f>
        <v>13825249.57612</v>
      </c>
      <c r="O17" s="161">
        <f>'October Base Rate Revenue'!$I41</f>
        <v>13859174.32642</v>
      </c>
      <c r="P17" s="161">
        <f>'November Base Rate Revenue'!$I39</f>
        <v>17109790.395770002</v>
      </c>
      <c r="Q17" s="161">
        <f>'December Base Rate Revenue'!$I39</f>
        <v>25244722.10193</v>
      </c>
      <c r="R17" s="107">
        <f>SUM(F17:Q17)</f>
        <v>203623009.27423999</v>
      </c>
      <c r="S17" s="79"/>
      <c r="T17" s="58"/>
    </row>
    <row r="18" spans="1:20">
      <c r="A18" s="21">
        <v>5</v>
      </c>
      <c r="B18" s="20" t="s">
        <v>129</v>
      </c>
      <c r="C18" s="21" t="s">
        <v>125</v>
      </c>
      <c r="D18" s="77">
        <f t="shared" si="5"/>
        <v>582373.38709677418</v>
      </c>
      <c r="E18" s="77">
        <f t="shared" si="5"/>
        <v>1222984.1129032257</v>
      </c>
      <c r="F18" s="161">
        <f>'Jan Base Rate Revenue'!$C$41</f>
        <v>1805357.5</v>
      </c>
      <c r="G18" s="161">
        <f>'Feb Base Rate Revenue'!$C$41</f>
        <v>1824049</v>
      </c>
      <c r="H18" s="161">
        <f>'Mar Base Rate Revenue'!C41</f>
        <v>1818744.5</v>
      </c>
      <c r="I18" s="161">
        <f>'Apr Base Rate Revenue'!C41</f>
        <v>1824227.5</v>
      </c>
      <c r="J18" s="161">
        <f>'May Base Rate Revenue'!C41</f>
        <v>1831180.5</v>
      </c>
      <c r="K18" s="161">
        <f>'June Base Rate Revenue'!C41</f>
        <v>1838974</v>
      </c>
      <c r="L18" s="161">
        <f>'July Base Rate Revenue'!C41</f>
        <v>1833280</v>
      </c>
      <c r="M18" s="161">
        <f>'August Base Rate Revenue'!$C41</f>
        <v>1848333.5</v>
      </c>
      <c r="N18" s="161">
        <f>'September Base Rate Revenue'!$C41</f>
        <v>1838516</v>
      </c>
      <c r="O18" s="161">
        <f>'October Base Rate Revenue'!$C41</f>
        <v>1835028.5</v>
      </c>
      <c r="P18" s="161">
        <f>'November Base Rate Revenue'!$C39</f>
        <v>1834654.5</v>
      </c>
      <c r="Q18" s="161">
        <f>'December Base Rate Revenue'!$C39</f>
        <v>1836303.5</v>
      </c>
      <c r="R18" s="107">
        <f>SUM(F18:Q18)</f>
        <v>21968649</v>
      </c>
      <c r="S18" s="79"/>
      <c r="T18" s="58"/>
    </row>
    <row r="19" spans="1:20">
      <c r="A19" s="21">
        <v>6</v>
      </c>
      <c r="B19" s="80" t="s">
        <v>250</v>
      </c>
      <c r="C19" s="21" t="s">
        <v>125</v>
      </c>
      <c r="D19" s="81">
        <f t="shared" si="5"/>
        <v>88782350.322580636</v>
      </c>
      <c r="E19" s="81">
        <f t="shared" si="5"/>
        <v>186442935.67741933</v>
      </c>
      <c r="F19" s="162">
        <f>'Jan Base Rate Revenue'!$I$20</f>
        <v>275225286</v>
      </c>
      <c r="G19" s="162">
        <f>'Feb Base Rate Revenue'!$I$20</f>
        <v>209519142</v>
      </c>
      <c r="H19" s="162">
        <f>'Mar Base Rate Revenue'!I20</f>
        <v>198506123</v>
      </c>
      <c r="I19" s="162">
        <f>'Apr Base Rate Revenue'!I20</f>
        <v>156664757</v>
      </c>
      <c r="J19" s="162">
        <f>'May Base Rate Revenue'!I20</f>
        <v>142430315</v>
      </c>
      <c r="K19" s="162">
        <f>'June Base Rate Revenue'!I20</f>
        <v>156502975</v>
      </c>
      <c r="L19" s="162">
        <f>'July Base Rate Revenue'!I20</f>
        <v>178634451</v>
      </c>
      <c r="M19" s="162">
        <f>'August Base Rate Revenue'!$I20</f>
        <v>181567778</v>
      </c>
      <c r="N19" s="162">
        <f>'September Base Rate Revenue'!$I20</f>
        <v>154183097</v>
      </c>
      <c r="O19" s="162">
        <f>'October Base Rate Revenue'!$I20</f>
        <v>157178161</v>
      </c>
      <c r="P19" s="162">
        <f>'November Base Rate Revenue'!$I19</f>
        <v>193299820</v>
      </c>
      <c r="Q19" s="162">
        <f>'December Base Rate Revenue'!$I19</f>
        <v>284514826</v>
      </c>
      <c r="R19" s="108">
        <f>SUM(F19:Q19)</f>
        <v>2288226731</v>
      </c>
      <c r="S19" s="82"/>
      <c r="T19" s="83"/>
    </row>
    <row r="20" spans="1:20" ht="27">
      <c r="A20" s="21">
        <v>7</v>
      </c>
      <c r="B20" s="92" t="s">
        <v>130</v>
      </c>
      <c r="C20" s="158" t="s">
        <v>177</v>
      </c>
      <c r="D20" s="159">
        <v>2.1080000000000002E-2</v>
      </c>
      <c r="E20" s="159">
        <f>'Attachment 4, Page 1'!$E$27</f>
        <v>1.6410000000000001E-2</v>
      </c>
      <c r="F20" s="159">
        <f>$D$20*$D$6+$E$20*$E$6</f>
        <v>1.7916451612903228E-2</v>
      </c>
      <c r="G20" s="159">
        <f>'Attachment 4, Page 1'!$E$27</f>
        <v>1.6410000000000001E-2</v>
      </c>
      <c r="H20" s="159">
        <f>'Attachment 4, Page 1'!$E$27</f>
        <v>1.6410000000000001E-2</v>
      </c>
      <c r="I20" s="159">
        <f>'Attachment 4, Page 1'!$E$27</f>
        <v>1.6410000000000001E-2</v>
      </c>
      <c r="J20" s="159">
        <f>'Attachment 4, Page 1'!$E$27</f>
        <v>1.6410000000000001E-2</v>
      </c>
      <c r="K20" s="159">
        <f>'Attachment 4, Page 1'!$E$27</f>
        <v>1.6410000000000001E-2</v>
      </c>
      <c r="L20" s="159">
        <f>'Attachment 4, Page 1'!$E$27</f>
        <v>1.6410000000000001E-2</v>
      </c>
      <c r="M20" s="159">
        <f>'Attachment 4, Page 1'!$E$27</f>
        <v>1.6410000000000001E-2</v>
      </c>
      <c r="N20" s="159">
        <f>'Attachment 4, Page 1'!$E$27</f>
        <v>1.6410000000000001E-2</v>
      </c>
      <c r="O20" s="159">
        <f>'Attachment 4, Page 1'!$E$27</f>
        <v>1.6410000000000001E-2</v>
      </c>
      <c r="P20" s="159">
        <f>'Attachment 4, Page 1'!$E$27</f>
        <v>1.6410000000000001E-2</v>
      </c>
      <c r="Q20" s="159">
        <f>'Attachment 4, Page 1'!$E$27</f>
        <v>1.6410000000000001E-2</v>
      </c>
      <c r="R20" s="84"/>
      <c r="S20" s="58"/>
      <c r="T20" s="58"/>
    </row>
    <row r="21" spans="1:20">
      <c r="A21" s="21">
        <v>8</v>
      </c>
      <c r="B21" s="20" t="s">
        <v>131</v>
      </c>
      <c r="C21" s="21" t="str">
        <f>"("&amp;A19&amp;") x ("&amp;A20&amp;")"</f>
        <v>(6) x (7)</v>
      </c>
      <c r="D21" s="77">
        <f t="shared" ref="D21:Q21" si="6">D19*D20</f>
        <v>1871531.9447999999</v>
      </c>
      <c r="E21" s="77">
        <f t="shared" si="6"/>
        <v>3059528.5744664515</v>
      </c>
      <c r="F21" s="77">
        <f t="shared" si="6"/>
        <v>4931060.5192664526</v>
      </c>
      <c r="G21" s="77">
        <f t="shared" si="6"/>
        <v>3438209.1202200004</v>
      </c>
      <c r="H21" s="77">
        <f t="shared" si="6"/>
        <v>3257485.4784300001</v>
      </c>
      <c r="I21" s="77">
        <f t="shared" si="6"/>
        <v>2570868.66237</v>
      </c>
      <c r="J21" s="77">
        <f t="shared" si="6"/>
        <v>2337281.4691500003</v>
      </c>
      <c r="K21" s="77">
        <f t="shared" si="6"/>
        <v>2568213.8197500003</v>
      </c>
      <c r="L21" s="77">
        <f t="shared" si="6"/>
        <v>2931391.3409100003</v>
      </c>
      <c r="M21" s="77">
        <f t="shared" si="6"/>
        <v>2979527.23698</v>
      </c>
      <c r="N21" s="77">
        <f t="shared" si="6"/>
        <v>2530144.6217700001</v>
      </c>
      <c r="O21" s="77">
        <f>O19*O20</f>
        <v>2579293.6220100001</v>
      </c>
      <c r="P21" s="77">
        <f t="shared" si="6"/>
        <v>3172050.0462000002</v>
      </c>
      <c r="Q21" s="77">
        <f t="shared" si="6"/>
        <v>4668888.2946600001</v>
      </c>
      <c r="R21" s="78">
        <f>SUM(F21:Q21)</f>
        <v>37964414.231716454</v>
      </c>
      <c r="S21" s="79">
        <f>SUM(F21:Q21)</f>
        <v>37964414.231716454</v>
      </c>
      <c r="T21" s="58"/>
    </row>
    <row r="22" spans="1:20">
      <c r="A22" s="21">
        <v>9</v>
      </c>
      <c r="B22" s="20" t="s">
        <v>132</v>
      </c>
      <c r="C22" s="21" t="str">
        <f>"("&amp;A17&amp;") - ("&amp;A18&amp;") -("&amp;A21&amp;")"</f>
        <v>(4) - (5) -(8)</v>
      </c>
      <c r="D22" s="77">
        <f>D17-D18-D21</f>
        <v>5616071.2683774196</v>
      </c>
      <c r="E22" s="77">
        <f>E17-E18-E21</f>
        <v>12664438.173206128</v>
      </c>
      <c r="F22" s="77">
        <f>F17-F18-F21</f>
        <v>18280509.441583548</v>
      </c>
      <c r="G22" s="77">
        <f t="shared" ref="G22:Q22" si="7">G17-G18-G21</f>
        <v>13420675.608839998</v>
      </c>
      <c r="H22" s="77">
        <f t="shared" si="7"/>
        <v>12428880.837030001</v>
      </c>
      <c r="I22" s="77">
        <f t="shared" si="7"/>
        <v>9500376.68884</v>
      </c>
      <c r="J22" s="77">
        <f t="shared" si="7"/>
        <v>8539206.1712399982</v>
      </c>
      <c r="K22" s="77">
        <f t="shared" si="7"/>
        <v>9414829.0629900005</v>
      </c>
      <c r="L22" s="77">
        <f t="shared" si="7"/>
        <v>10980498.94327</v>
      </c>
      <c r="M22" s="77">
        <f t="shared" si="7"/>
        <v>11380911.973129999</v>
      </c>
      <c r="N22" s="77">
        <f t="shared" si="7"/>
        <v>9456588.9543500002</v>
      </c>
      <c r="O22" s="77">
        <f t="shared" si="7"/>
        <v>9444852.2044099998</v>
      </c>
      <c r="P22" s="77">
        <f t="shared" si="7"/>
        <v>12103085.849570002</v>
      </c>
      <c r="Q22" s="77">
        <f t="shared" si="7"/>
        <v>18739530.307269998</v>
      </c>
      <c r="R22" s="78">
        <f>SUM(F22:Q22)</f>
        <v>143689946.04252353</v>
      </c>
      <c r="S22" s="85">
        <f>R22/S13</f>
        <v>684.68043529340287</v>
      </c>
      <c r="T22" s="58"/>
    </row>
    <row r="23" spans="1:20">
      <c r="A23" s="21"/>
      <c r="B23" s="86" t="s">
        <v>133</v>
      </c>
      <c r="C23" s="21"/>
      <c r="D23" s="75">
        <f t="shared" ref="D23:Q23" si="8">D22/D13</f>
        <v>83.613830436371686</v>
      </c>
      <c r="E23" s="75">
        <f t="shared" si="8"/>
        <v>89.786727393008249</v>
      </c>
      <c r="F23" s="75">
        <f t="shared" si="8"/>
        <v>87.795470310222257</v>
      </c>
      <c r="G23" s="75">
        <f t="shared" si="8"/>
        <v>63.781024479084479</v>
      </c>
      <c r="H23" s="75">
        <f t="shared" si="8"/>
        <v>59.255689330297976</v>
      </c>
      <c r="I23" s="75">
        <f t="shared" si="8"/>
        <v>45.368432887657889</v>
      </c>
      <c r="J23" s="75">
        <f t="shared" si="8"/>
        <v>40.856663849687081</v>
      </c>
      <c r="K23" s="75">
        <f t="shared" si="8"/>
        <v>45.054574033881273</v>
      </c>
      <c r="L23" s="75">
        <f t="shared" si="8"/>
        <v>52.487041085591095</v>
      </c>
      <c r="M23" s="75">
        <f t="shared" si="8"/>
        <v>54.321050694614144</v>
      </c>
      <c r="N23" s="75">
        <f t="shared" si="8"/>
        <v>44.964143872257672</v>
      </c>
      <c r="O23" s="75">
        <f t="shared" si="8"/>
        <v>44.831598604526427</v>
      </c>
      <c r="P23" s="75">
        <f t="shared" si="8"/>
        <v>57.266689928221979</v>
      </c>
      <c r="Q23" s="75">
        <f t="shared" si="8"/>
        <v>88.577014337499165</v>
      </c>
      <c r="R23" s="75"/>
      <c r="S23" s="87"/>
      <c r="T23" s="58"/>
    </row>
    <row r="24" spans="1:20">
      <c r="A24" s="21">
        <v>10</v>
      </c>
      <c r="B24" s="20" t="s">
        <v>134</v>
      </c>
      <c r="C24" s="21" t="str">
        <f>"("&amp;A$15&amp;") - ("&amp;A22&amp;")"</f>
        <v>(3) - (9)</v>
      </c>
      <c r="D24" s="113">
        <f t="shared" ref="D24:Q24" si="9">IF(D10="",D15-D22,-D10)</f>
        <v>-322703.55821009446</v>
      </c>
      <c r="E24" s="113">
        <f t="shared" si="9"/>
        <v>-206492.46896104142</v>
      </c>
      <c r="F24" s="88">
        <f t="shared" si="9"/>
        <v>-529196.02717113495</v>
      </c>
      <c r="G24" s="88">
        <f t="shared" si="9"/>
        <v>1764174.2183790356</v>
      </c>
      <c r="H24" s="88">
        <f t="shared" si="9"/>
        <v>2457525.8648503646</v>
      </c>
      <c r="I24" s="88">
        <f t="shared" si="9"/>
        <v>1695339.2603187654</v>
      </c>
      <c r="J24" s="88">
        <f t="shared" si="9"/>
        <v>2266081.7376758941</v>
      </c>
      <c r="K24" s="88">
        <f t="shared" si="9"/>
        <v>191523.81507954001</v>
      </c>
      <c r="L24" s="88">
        <f t="shared" si="9"/>
        <v>-1026351.1440660506</v>
      </c>
      <c r="M24" s="88">
        <f t="shared" si="9"/>
        <v>405512.29763073288</v>
      </c>
      <c r="N24" s="88">
        <f t="shared" si="9"/>
        <v>106697.18535276316</v>
      </c>
      <c r="O24" s="88">
        <f t="shared" si="9"/>
        <v>1931898.6380626764</v>
      </c>
      <c r="P24" s="88">
        <f t="shared" si="9"/>
        <v>1841734.0024760477</v>
      </c>
      <c r="Q24" s="88">
        <f t="shared" si="9"/>
        <v>-533840.61324170604</v>
      </c>
      <c r="R24" s="78">
        <f>SUM(F24:Q24)</f>
        <v>10571099.235346928</v>
      </c>
      <c r="S24" s="87"/>
      <c r="T24" s="58"/>
    </row>
    <row r="25" spans="1:20">
      <c r="A25" s="21">
        <v>11</v>
      </c>
      <c r="B25" s="20" t="s">
        <v>135</v>
      </c>
      <c r="C25" s="89" t="s">
        <v>136</v>
      </c>
      <c r="D25" s="113">
        <f t="shared" ref="D25" si="10">IF(D10="",D24*-0.045395,0)</f>
        <v>14649.128024947237</v>
      </c>
      <c r="E25" s="113">
        <f>IF(E10="",E24*-0.04588,0)</f>
        <v>9473.87447593258</v>
      </c>
      <c r="F25" s="88">
        <f>D25+E25</f>
        <v>24123.002500879818</v>
      </c>
      <c r="G25" s="88">
        <f t="shared" ref="G25:Q25" si="11">IF(G10="",G24*-0.04588,0)</f>
        <v>-80940.313139230144</v>
      </c>
      <c r="H25" s="88">
        <f t="shared" si="11"/>
        <v>-112751.28667933472</v>
      </c>
      <c r="I25" s="88">
        <f t="shared" si="11"/>
        <v>-77782.165263424948</v>
      </c>
      <c r="J25" s="88">
        <f t="shared" si="11"/>
        <v>-103967.83012457001</v>
      </c>
      <c r="K25" s="88">
        <f t="shared" si="11"/>
        <v>-8787.1126358492947</v>
      </c>
      <c r="L25" s="88">
        <f t="shared" si="11"/>
        <v>47088.990489750402</v>
      </c>
      <c r="M25" s="88">
        <f t="shared" si="11"/>
        <v>-18604.904215298022</v>
      </c>
      <c r="N25" s="88">
        <f t="shared" si="11"/>
        <v>-4895.2668639847734</v>
      </c>
      <c r="O25" s="88">
        <f t="shared" si="11"/>
        <v>-88635.509514315592</v>
      </c>
      <c r="P25" s="88">
        <f t="shared" si="11"/>
        <v>-84498.756033601065</v>
      </c>
      <c r="Q25" s="88">
        <f t="shared" si="11"/>
        <v>24492.607335529472</v>
      </c>
      <c r="R25" s="78">
        <f>SUM(F25:Q25)</f>
        <v>-485158.54414344882</v>
      </c>
      <c r="S25" s="87"/>
      <c r="T25" s="58"/>
    </row>
    <row r="26" spans="1:20">
      <c r="A26" s="21"/>
      <c r="B26" s="20"/>
      <c r="C26" s="21" t="s">
        <v>137</v>
      </c>
      <c r="D26" s="21"/>
      <c r="E26" s="21"/>
      <c r="F26" s="90">
        <v>3.2500000000000001E-2</v>
      </c>
      <c r="G26" s="90">
        <f t="shared" ref="G26:Q26" si="12">F26</f>
        <v>3.2500000000000001E-2</v>
      </c>
      <c r="H26" s="90">
        <f t="shared" si="12"/>
        <v>3.2500000000000001E-2</v>
      </c>
      <c r="I26" s="90">
        <v>3.4599999999999999E-2</v>
      </c>
      <c r="J26" s="90">
        <f>I26</f>
        <v>3.4599999999999999E-2</v>
      </c>
      <c r="K26" s="90">
        <f>J26</f>
        <v>3.4599999999999999E-2</v>
      </c>
      <c r="L26" s="90">
        <v>3.5000000000000003E-2</v>
      </c>
      <c r="M26" s="90">
        <f t="shared" si="12"/>
        <v>3.5000000000000003E-2</v>
      </c>
      <c r="N26" s="90">
        <f t="shared" si="12"/>
        <v>3.5000000000000003E-2</v>
      </c>
      <c r="O26" s="90">
        <f t="shared" si="12"/>
        <v>3.5000000000000003E-2</v>
      </c>
      <c r="P26" s="90">
        <f t="shared" si="12"/>
        <v>3.5000000000000003E-2</v>
      </c>
      <c r="Q26" s="90">
        <f t="shared" si="12"/>
        <v>3.5000000000000003E-2</v>
      </c>
      <c r="R26" s="78"/>
      <c r="S26" s="87"/>
      <c r="T26" s="58"/>
    </row>
    <row r="27" spans="1:20">
      <c r="A27" s="21">
        <v>12</v>
      </c>
      <c r="B27" s="20" t="s">
        <v>138</v>
      </c>
      <c r="C27" s="21" t="s">
        <v>139</v>
      </c>
      <c r="D27" s="21"/>
      <c r="E27" s="21"/>
      <c r="F27" s="91">
        <f>(F24+F25)/2*F26/12</f>
        <v>-683.95305424097057</v>
      </c>
      <c r="G27" s="91">
        <f>(F29+(G24+G25)/2)*G26/12</f>
        <v>909.62076534172627</v>
      </c>
      <c r="H27" s="91">
        <f t="shared" ref="H27:Q27" si="13">(G29+(H24+H25)/2)*H26/12</f>
        <v>6366.6791428666984</v>
      </c>
      <c r="I27" s="91">
        <f t="shared" si="13"/>
        <v>12508.78331816906</v>
      </c>
      <c r="J27" s="91">
        <f t="shared" si="13"/>
        <v>17993.876005494389</v>
      </c>
      <c r="K27" s="91">
        <f t="shared" si="13"/>
        <v>21426.251310719712</v>
      </c>
      <c r="L27" s="91">
        <f t="shared" si="13"/>
        <v>20574.847254765817</v>
      </c>
      <c r="M27" s="91">
        <f t="shared" si="13"/>
        <v>19771.006534024284</v>
      </c>
      <c r="N27" s="91">
        <f t="shared" si="13"/>
        <v>20541.373049608836</v>
      </c>
      <c r="O27" s="91">
        <f t="shared" si="13"/>
        <v>23437.838581266024</v>
      </c>
      <c r="P27" s="91">
        <f t="shared" si="13"/>
        <v>28756.925740656312</v>
      </c>
      <c r="Q27" s="91">
        <f t="shared" si="13"/>
        <v>30660.635666515282</v>
      </c>
      <c r="R27" s="78">
        <f>SUM(F27:Q27)</f>
        <v>202263.88431518717</v>
      </c>
      <c r="S27" s="87"/>
      <c r="T27" s="92"/>
    </row>
    <row r="28" spans="1:20" ht="15" thickBot="1">
      <c r="A28" s="21"/>
      <c r="B28" s="93" t="s">
        <v>140</v>
      </c>
      <c r="C28" s="21"/>
      <c r="D28" s="21"/>
      <c r="E28" s="21"/>
      <c r="F28" s="94">
        <f>F24+F25+F27</f>
        <v>-505756.9777244961</v>
      </c>
      <c r="G28" s="94">
        <f t="shared" ref="G28:Q28" si="14">G24+G25+G27</f>
        <v>1684143.526005147</v>
      </c>
      <c r="H28" s="94">
        <f t="shared" si="14"/>
        <v>2351141.2573138964</v>
      </c>
      <c r="I28" s="94">
        <f t="shared" si="14"/>
        <v>1630065.8783735095</v>
      </c>
      <c r="J28" s="94">
        <f t="shared" si="14"/>
        <v>2180107.7835568185</v>
      </c>
      <c r="K28" s="94">
        <f t="shared" si="14"/>
        <v>204162.95375441041</v>
      </c>
      <c r="L28" s="94">
        <f t="shared" si="14"/>
        <v>-958687.30632153444</v>
      </c>
      <c r="M28" s="94">
        <f t="shared" si="14"/>
        <v>406678.39994945913</v>
      </c>
      <c r="N28" s="94">
        <f t="shared" si="14"/>
        <v>122343.29153838723</v>
      </c>
      <c r="O28" s="94">
        <f t="shared" si="14"/>
        <v>1866700.967129627</v>
      </c>
      <c r="P28" s="94">
        <f t="shared" si="14"/>
        <v>1785992.1721831029</v>
      </c>
      <c r="Q28" s="94">
        <f t="shared" si="14"/>
        <v>-478687.37023966131</v>
      </c>
      <c r="R28" s="95">
        <f>SUM(F28:Q28)</f>
        <v>10288204.575518666</v>
      </c>
      <c r="S28" s="96"/>
      <c r="T28" s="58"/>
    </row>
    <row r="29" spans="1:20" ht="27.6" thickBot="1">
      <c r="A29" s="21">
        <v>13</v>
      </c>
      <c r="B29" s="103" t="s">
        <v>146</v>
      </c>
      <c r="C29" s="21" t="str">
        <f>"Σ(("&amp;A$24&amp;") ~ ("&amp;A27&amp;"))"</f>
        <v>Σ((10) ~ (12))</v>
      </c>
      <c r="D29" s="21"/>
      <c r="E29" s="21"/>
      <c r="F29" s="77">
        <f>F24+F25+F27</f>
        <v>-505756.9777244961</v>
      </c>
      <c r="G29" s="77">
        <f>F29+G24+G25+G27</f>
        <v>1178386.548280651</v>
      </c>
      <c r="H29" s="77">
        <f t="shared" ref="H29:Q29" si="15">G29+H24+H25+H27</f>
        <v>3529527.8055945472</v>
      </c>
      <c r="I29" s="77">
        <f t="shared" si="15"/>
        <v>5159593.6839680569</v>
      </c>
      <c r="J29" s="77">
        <f t="shared" si="15"/>
        <v>7339701.467524875</v>
      </c>
      <c r="K29" s="77">
        <f t="shared" si="15"/>
        <v>7543864.421279286</v>
      </c>
      <c r="L29" s="77">
        <f t="shared" si="15"/>
        <v>6585177.1149577517</v>
      </c>
      <c r="M29" s="77">
        <f t="shared" si="15"/>
        <v>6991855.5149072111</v>
      </c>
      <c r="N29" s="77">
        <f t="shared" si="15"/>
        <v>7114198.8064455977</v>
      </c>
      <c r="O29" s="77">
        <f t="shared" si="15"/>
        <v>8980899.773575224</v>
      </c>
      <c r="P29" s="77">
        <f t="shared" si="15"/>
        <v>10766891.945758326</v>
      </c>
      <c r="Q29" s="97">
        <f t="shared" si="15"/>
        <v>10288204.575518666</v>
      </c>
      <c r="R29" s="78"/>
      <c r="S29" s="98"/>
      <c r="T29" s="58"/>
    </row>
    <row r="30" spans="1:20">
      <c r="A30" s="21"/>
      <c r="B30" s="93"/>
      <c r="C30" s="21"/>
      <c r="D30" s="21"/>
      <c r="E30" s="21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S30" s="58"/>
      <c r="T30" s="58"/>
    </row>
    <row r="31" spans="1:20" hidden="1">
      <c r="A31" s="68" t="s">
        <v>141</v>
      </c>
      <c r="B31" s="20"/>
      <c r="C31" s="21"/>
      <c r="D31" s="21"/>
      <c r="E31" s="2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99"/>
      <c r="S31" s="58"/>
      <c r="T31" s="58"/>
    </row>
    <row r="32" spans="1:20" ht="9" hidden="1" customHeight="1">
      <c r="A32" s="58"/>
      <c r="B32" s="69" t="s">
        <v>142</v>
      </c>
      <c r="C32" s="58" t="s">
        <v>143</v>
      </c>
      <c r="D32" s="58"/>
      <c r="E32" s="58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58"/>
      <c r="S32" s="58"/>
      <c r="T32" s="58"/>
    </row>
    <row r="33" spans="1:20" hidden="1">
      <c r="A33" s="21"/>
      <c r="B33" s="20"/>
      <c r="C33" s="21"/>
      <c r="D33" s="21"/>
      <c r="E33" s="21"/>
      <c r="F33" s="77"/>
      <c r="G33" s="77"/>
      <c r="H33" s="77"/>
      <c r="I33" s="77"/>
      <c r="J33" s="58"/>
      <c r="K33" s="77"/>
      <c r="L33" s="77"/>
      <c r="M33" s="77"/>
      <c r="N33" s="77"/>
      <c r="O33" s="77"/>
      <c r="P33" s="77"/>
      <c r="Q33" s="77"/>
      <c r="R33" s="78"/>
      <c r="S33" s="58"/>
      <c r="T33" s="58"/>
    </row>
    <row r="34" spans="1:20">
      <c r="A34" s="21"/>
      <c r="B34" s="72" t="s">
        <v>58</v>
      </c>
      <c r="C34" s="21"/>
      <c r="D34" s="21"/>
      <c r="E34" s="21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8"/>
      <c r="S34" s="58"/>
      <c r="T34" s="58"/>
    </row>
    <row r="35" spans="1:20">
      <c r="A35" s="21">
        <v>14</v>
      </c>
      <c r="B35" s="20" t="s">
        <v>124</v>
      </c>
      <c r="C35" s="21" t="s">
        <v>125</v>
      </c>
      <c r="D35" s="112">
        <f>$F35*D$6</f>
        <v>11397.096774193547</v>
      </c>
      <c r="E35" s="112">
        <f>$F35*E$6</f>
        <v>23933.903225806451</v>
      </c>
      <c r="F35" s="160">
        <f>'Jan Base Rate Revenue'!$C$22</f>
        <v>35331</v>
      </c>
      <c r="G35" s="160">
        <f>'Feb Base Rate Revenue'!$C$22</f>
        <v>35572</v>
      </c>
      <c r="H35" s="160">
        <f>'Mar Base Rate Revenue'!C22</f>
        <v>35571</v>
      </c>
      <c r="I35" s="160">
        <f>'Apr Base Rate Revenue'!C22</f>
        <v>35497</v>
      </c>
      <c r="J35" s="160">
        <f>'May Base Rate Revenue'!C22</f>
        <v>35658</v>
      </c>
      <c r="K35" s="160">
        <f>'June Base Rate Revenue'!C22</f>
        <v>35516</v>
      </c>
      <c r="L35" s="160">
        <f>'July Base Rate Revenue'!C22</f>
        <v>35519</v>
      </c>
      <c r="M35" s="160">
        <f>'August Base Rate Revenue'!$C22</f>
        <v>35694</v>
      </c>
      <c r="N35" s="160">
        <f>'September Base Rate Revenue'!$C22</f>
        <v>35669</v>
      </c>
      <c r="O35" s="160">
        <f>'October Base Rate Revenue'!$C22</f>
        <v>35828</v>
      </c>
      <c r="P35" s="160">
        <f>'November Base Rate Revenue'!$C21</f>
        <v>35762</v>
      </c>
      <c r="Q35" s="160">
        <f>'December Base Rate Revenue'!$C21</f>
        <v>35782</v>
      </c>
      <c r="R35" s="106">
        <f>SUM(F35:Q35)</f>
        <v>427399</v>
      </c>
      <c r="S35" s="73">
        <f>AVERAGE(F35:Q35)</f>
        <v>35616.583333333336</v>
      </c>
      <c r="T35" s="231" t="s">
        <v>126</v>
      </c>
    </row>
    <row r="36" spans="1:20" ht="26.4">
      <c r="A36" s="74">
        <f t="shared" si="2"/>
        <v>15</v>
      </c>
      <c r="B36" s="156" t="s">
        <v>127</v>
      </c>
      <c r="C36" s="156" t="s">
        <v>199</v>
      </c>
      <c r="D36" s="157">
        <v>356.03329356425502</v>
      </c>
      <c r="E36" s="157">
        <f>'Attachment 4, Page 3'!D27</f>
        <v>362.51153702538215</v>
      </c>
      <c r="F36" s="157">
        <f>$D$36*$D$6+$E$36*$E$6</f>
        <v>360.4217810701798</v>
      </c>
      <c r="G36" s="157">
        <f>'Attachment 4, Page 3'!E27</f>
        <v>368.64634553355734</v>
      </c>
      <c r="H36" s="157">
        <f>'Attachment 4, Page 3'!F27</f>
        <v>345.3608332677303</v>
      </c>
      <c r="I36" s="157">
        <f>'Attachment 4, Page 3'!G27</f>
        <v>343.55068665310012</v>
      </c>
      <c r="J36" s="157">
        <f>'Attachment 4, Page 3'!H27</f>
        <v>369.90915568717207</v>
      </c>
      <c r="K36" s="157">
        <f>'Attachment 4, Page 3'!I27</f>
        <v>385.26617826211447</v>
      </c>
      <c r="L36" s="157">
        <f>'Attachment 4, Page 3'!J27</f>
        <v>416.90498753163007</v>
      </c>
      <c r="M36" s="157">
        <f>'Attachment 4, Page 3'!K27</f>
        <v>389.59606971640318</v>
      </c>
      <c r="N36" s="157">
        <f>'Attachment 4, Page 3'!L27</f>
        <v>372.63402682785289</v>
      </c>
      <c r="O36" s="157">
        <f>'Attachment 4, Page 3'!M27</f>
        <v>380.4894875098293</v>
      </c>
      <c r="P36" s="157">
        <f>'Attachment 4, Page 3'!N27</f>
        <v>350.01632614600436</v>
      </c>
      <c r="Q36" s="157">
        <f>'Attachment 4, Page 3'!O27</f>
        <v>369.7043658392239</v>
      </c>
      <c r="R36" s="75">
        <f>SUM(F36:Q36)</f>
        <v>4452.5002440447979</v>
      </c>
      <c r="S36" s="76">
        <f>SUM(F36:Q36)</f>
        <v>4452.5002440447979</v>
      </c>
      <c r="T36" s="231"/>
    </row>
    <row r="37" spans="1:20">
      <c r="A37" s="21">
        <f t="shared" si="2"/>
        <v>16</v>
      </c>
      <c r="B37" s="20" t="s">
        <v>61</v>
      </c>
      <c r="C37" s="21" t="str">
        <f>"("&amp;A35&amp;") x ("&amp;A36&amp;")"</f>
        <v>(14) x (15)</v>
      </c>
      <c r="D37" s="77">
        <f t="shared" ref="D37:Q37" si="16">D35*D36</f>
        <v>4057745.9015866751</v>
      </c>
      <c r="E37" s="77">
        <f t="shared" si="16"/>
        <v>8676316.0454038493</v>
      </c>
      <c r="F37" s="77">
        <f t="shared" si="16"/>
        <v>12734061.946990523</v>
      </c>
      <c r="G37" s="77">
        <f t="shared" si="16"/>
        <v>13113487.803319702</v>
      </c>
      <c r="H37" s="77">
        <f t="shared" si="16"/>
        <v>12284830.200166434</v>
      </c>
      <c r="I37" s="77">
        <f t="shared" si="16"/>
        <v>12195018.724125095</v>
      </c>
      <c r="J37" s="77">
        <f t="shared" si="16"/>
        <v>13190220.673493182</v>
      </c>
      <c r="K37" s="77">
        <f t="shared" si="16"/>
        <v>13683113.587157257</v>
      </c>
      <c r="L37" s="77">
        <f t="shared" si="16"/>
        <v>14808048.252135968</v>
      </c>
      <c r="M37" s="77">
        <f t="shared" si="16"/>
        <v>13906242.112457296</v>
      </c>
      <c r="N37" s="77">
        <f t="shared" si="16"/>
        <v>13291483.102922685</v>
      </c>
      <c r="O37" s="77">
        <f t="shared" si="16"/>
        <v>13632177.358502164</v>
      </c>
      <c r="P37" s="77">
        <f t="shared" si="16"/>
        <v>12517283.855633408</v>
      </c>
      <c r="Q37" s="77">
        <f t="shared" si="16"/>
        <v>13228761.618459109</v>
      </c>
      <c r="R37" s="78">
        <f>SUM(F37:Q37)</f>
        <v>158584729.23536283</v>
      </c>
      <c r="S37" s="77">
        <f>S35*S36</f>
        <v>158582845.98370856</v>
      </c>
      <c r="T37" s="79">
        <f>S37-R37</f>
        <v>-1883.2516542673111</v>
      </c>
    </row>
    <row r="38" spans="1:20">
      <c r="A38" s="21"/>
      <c r="B38" s="20"/>
      <c r="C38" s="21"/>
      <c r="D38" s="21"/>
      <c r="E38" s="21"/>
      <c r="F38" s="39"/>
      <c r="G38" s="39"/>
      <c r="H38" s="39"/>
      <c r="I38" s="39"/>
      <c r="J38" s="39"/>
      <c r="K38" s="77"/>
      <c r="L38" s="39"/>
      <c r="M38" s="39"/>
      <c r="N38" s="39"/>
      <c r="O38" s="39"/>
      <c r="P38" s="39"/>
      <c r="Q38" s="39"/>
      <c r="R38" s="20"/>
      <c r="S38" s="58"/>
      <c r="T38" s="58"/>
    </row>
    <row r="39" spans="1:20">
      <c r="A39" s="21">
        <v>17</v>
      </c>
      <c r="B39" s="20" t="s">
        <v>128</v>
      </c>
      <c r="C39" s="21" t="s">
        <v>125</v>
      </c>
      <c r="D39" s="77">
        <f t="shared" ref="D39:E41" si="17">$F39*D$6</f>
        <v>5689115.5556193544</v>
      </c>
      <c r="E39" s="77">
        <f t="shared" si="17"/>
        <v>11947142.666800644</v>
      </c>
      <c r="F39" s="161">
        <f>'Jan Base Rate Revenue'!$I$43</f>
        <v>17636258.22242</v>
      </c>
      <c r="G39" s="161">
        <f>'Feb Base Rate Revenue'!$I$43</f>
        <v>16471104.690100003</v>
      </c>
      <c r="H39" s="161">
        <f>'Mar Base Rate Revenue'!I43</f>
        <v>16873160.45101</v>
      </c>
      <c r="I39" s="161">
        <f>'Apr Base Rate Revenue'!I43</f>
        <v>16097542.17726</v>
      </c>
      <c r="J39" s="161">
        <f>'May Base Rate Revenue'!I43</f>
        <v>17385509.408640001</v>
      </c>
      <c r="K39" s="161">
        <f>'June Base Rate Revenue'!I43</f>
        <v>18365177.307980005</v>
      </c>
      <c r="L39" s="161">
        <f>'July Base Rate Revenue'!I43</f>
        <v>19234390.372470006</v>
      </c>
      <c r="M39" s="161">
        <f>'August Base Rate Revenue'!$I43</f>
        <v>18762262.963300001</v>
      </c>
      <c r="N39" s="161">
        <f>'September Base Rate Revenue'!$I43</f>
        <v>17379615.102119997</v>
      </c>
      <c r="O39" s="161">
        <f>'October Base Rate Revenue'!$I43</f>
        <v>17841079.74963</v>
      </c>
      <c r="P39" s="161">
        <f>'November Base Rate Revenue'!$I41</f>
        <v>16178486.967369998</v>
      </c>
      <c r="Q39" s="161">
        <f>'December Base Rate Revenue'!$I41</f>
        <v>18917893.96215</v>
      </c>
      <c r="R39" s="107">
        <f>SUM(F39:Q39)</f>
        <v>211142481.37445</v>
      </c>
      <c r="S39" s="79"/>
      <c r="T39" s="58"/>
    </row>
    <row r="40" spans="1:20">
      <c r="A40" s="21">
        <f t="shared" si="2"/>
        <v>18</v>
      </c>
      <c r="B40" s="20" t="s">
        <v>129</v>
      </c>
      <c r="C40" s="21" t="s">
        <v>125</v>
      </c>
      <c r="D40" s="77">
        <f t="shared" si="17"/>
        <v>512506.27741935482</v>
      </c>
      <c r="E40" s="77">
        <f t="shared" si="17"/>
        <v>1076263.182580645</v>
      </c>
      <c r="F40" s="161">
        <f>'Jan Base Rate Revenue'!$C$43</f>
        <v>1588769.46</v>
      </c>
      <c r="G40" s="161">
        <f>'Feb Base Rate Revenue'!$C$43</f>
        <v>1582403.56</v>
      </c>
      <c r="H40" s="161">
        <f>'Mar Base Rate Revenue'!C43</f>
        <v>1565686.23</v>
      </c>
      <c r="I40" s="161">
        <f>'Apr Base Rate Revenue'!C43</f>
        <v>1575040.83</v>
      </c>
      <c r="J40" s="161">
        <f>'May Base Rate Revenue'!C43</f>
        <v>1566939</v>
      </c>
      <c r="K40" s="161">
        <f>'June Base Rate Revenue'!C43</f>
        <v>1572601.69</v>
      </c>
      <c r="L40" s="161">
        <f>'July Base Rate Revenue'!C43</f>
        <v>1567372.29</v>
      </c>
      <c r="M40" s="161">
        <f>'August Base Rate Revenue'!$C43</f>
        <v>1565138.3199999998</v>
      </c>
      <c r="N40" s="161">
        <f>'September Base Rate Revenue'!$C43</f>
        <v>1570580.62</v>
      </c>
      <c r="O40" s="161">
        <f>'October Base Rate Revenue'!$C43</f>
        <v>1567535.3399999999</v>
      </c>
      <c r="P40" s="161">
        <f>'November Base Rate Revenue'!$C41</f>
        <v>1580196.74</v>
      </c>
      <c r="Q40" s="161">
        <f>'December Base Rate Revenue'!$C41</f>
        <v>1573243.8199999998</v>
      </c>
      <c r="R40" s="107">
        <f>SUM(F40:Q40)</f>
        <v>18875507.899999999</v>
      </c>
      <c r="S40" s="79"/>
      <c r="T40" s="58"/>
    </row>
    <row r="41" spans="1:20">
      <c r="A41" s="21">
        <f t="shared" si="2"/>
        <v>19</v>
      </c>
      <c r="B41" s="80" t="s">
        <v>250</v>
      </c>
      <c r="C41" s="21" t="s">
        <v>125</v>
      </c>
      <c r="D41" s="81">
        <f t="shared" si="17"/>
        <v>57402939.032258064</v>
      </c>
      <c r="E41" s="81">
        <f t="shared" si="17"/>
        <v>120546171.96774192</v>
      </c>
      <c r="F41" s="162">
        <f>'Jan Base Rate Revenue'!$I$22</f>
        <v>177949111</v>
      </c>
      <c r="G41" s="162">
        <f>'Feb Base Rate Revenue'!$I$22</f>
        <v>164762769</v>
      </c>
      <c r="H41" s="162">
        <f>'Mar Base Rate Revenue'!I22</f>
        <v>170862451</v>
      </c>
      <c r="I41" s="162">
        <f>'Apr Base Rate Revenue'!I22</f>
        <v>162142313</v>
      </c>
      <c r="J41" s="162">
        <f>'May Base Rate Revenue'!I22</f>
        <v>179654733</v>
      </c>
      <c r="K41" s="162">
        <f>'June Base Rate Revenue'!I22</f>
        <v>189325960</v>
      </c>
      <c r="L41" s="162">
        <f>'July Base Rate Revenue'!I22</f>
        <v>201220320</v>
      </c>
      <c r="M41" s="162">
        <f>'August Base Rate Revenue'!$I22</f>
        <v>194881850</v>
      </c>
      <c r="N41" s="162">
        <f>'September Base Rate Revenue'!$I22</f>
        <v>178530679</v>
      </c>
      <c r="O41" s="162">
        <f>'October Base Rate Revenue'!$I22</f>
        <v>182657424</v>
      </c>
      <c r="P41" s="162">
        <f>'November Base Rate Revenue'!$I21</f>
        <v>160599007</v>
      </c>
      <c r="Q41" s="162">
        <f>'December Base Rate Revenue'!$I21</f>
        <v>196411492</v>
      </c>
      <c r="R41" s="108">
        <f>SUM(F41:Q41)</f>
        <v>2158998109</v>
      </c>
      <c r="S41" s="82"/>
      <c r="T41" s="92"/>
    </row>
    <row r="42" spans="1:20" ht="27">
      <c r="A42" s="21">
        <f t="shared" si="2"/>
        <v>20</v>
      </c>
      <c r="B42" s="92" t="s">
        <v>130</v>
      </c>
      <c r="C42" s="158" t="s">
        <v>177</v>
      </c>
      <c r="D42" s="159">
        <v>2.1080000000000002E-2</v>
      </c>
      <c r="E42" s="159">
        <f>'Attachment 4, Page 1'!$E$27</f>
        <v>1.6410000000000001E-2</v>
      </c>
      <c r="F42" s="159">
        <f>$D$42*$D$6+$E$42*$E$6</f>
        <v>1.7916451612903228E-2</v>
      </c>
      <c r="G42" s="159">
        <f>'Attachment 4, Page 1'!$E$27</f>
        <v>1.6410000000000001E-2</v>
      </c>
      <c r="H42" s="159">
        <f>'Attachment 4, Page 1'!$E$27</f>
        <v>1.6410000000000001E-2</v>
      </c>
      <c r="I42" s="159">
        <f>'Attachment 4, Page 1'!$E$27</f>
        <v>1.6410000000000001E-2</v>
      </c>
      <c r="J42" s="159">
        <f>'Attachment 4, Page 1'!$E$27</f>
        <v>1.6410000000000001E-2</v>
      </c>
      <c r="K42" s="159">
        <f>'Attachment 4, Page 1'!$E$27</f>
        <v>1.6410000000000001E-2</v>
      </c>
      <c r="L42" s="159">
        <f>'Attachment 4, Page 1'!$E$27</f>
        <v>1.6410000000000001E-2</v>
      </c>
      <c r="M42" s="159">
        <f>'Attachment 4, Page 1'!$E$27</f>
        <v>1.6410000000000001E-2</v>
      </c>
      <c r="N42" s="159">
        <f>'Attachment 4, Page 1'!$E$27</f>
        <v>1.6410000000000001E-2</v>
      </c>
      <c r="O42" s="159">
        <f>'Attachment 4, Page 1'!$E$27</f>
        <v>1.6410000000000001E-2</v>
      </c>
      <c r="P42" s="159">
        <f>'Attachment 4, Page 1'!$E$27</f>
        <v>1.6410000000000001E-2</v>
      </c>
      <c r="Q42" s="159">
        <f>'Attachment 4, Page 1'!$E$27</f>
        <v>1.6410000000000001E-2</v>
      </c>
      <c r="R42" s="84"/>
      <c r="S42" s="58"/>
      <c r="T42" s="58"/>
    </row>
    <row r="43" spans="1:20">
      <c r="A43" s="21">
        <f t="shared" si="2"/>
        <v>21</v>
      </c>
      <c r="B43" s="20" t="s">
        <v>131</v>
      </c>
      <c r="C43" s="21" t="str">
        <f>"("&amp;A41&amp;") x ("&amp;A42&amp;")"</f>
        <v>(19) x (20)</v>
      </c>
      <c r="D43" s="77">
        <f t="shared" ref="D43:Q43" si="18">D41*D42</f>
        <v>1210053.9548000002</v>
      </c>
      <c r="E43" s="77">
        <f t="shared" si="18"/>
        <v>1978162.6819906451</v>
      </c>
      <c r="F43" s="77">
        <f t="shared" si="18"/>
        <v>3188216.6367906458</v>
      </c>
      <c r="G43" s="77">
        <f t="shared" si="18"/>
        <v>2703757.0392900002</v>
      </c>
      <c r="H43" s="77">
        <f t="shared" si="18"/>
        <v>2803852.8209100002</v>
      </c>
      <c r="I43" s="77">
        <f t="shared" si="18"/>
        <v>2660755.3563300003</v>
      </c>
      <c r="J43" s="77">
        <f t="shared" si="18"/>
        <v>2948134.1685300004</v>
      </c>
      <c r="K43" s="77">
        <f t="shared" si="18"/>
        <v>3106839.0036000004</v>
      </c>
      <c r="L43" s="77">
        <f t="shared" si="18"/>
        <v>3302025.4512</v>
      </c>
      <c r="M43" s="77">
        <f t="shared" si="18"/>
        <v>3198011.1585000004</v>
      </c>
      <c r="N43" s="77">
        <f t="shared" si="18"/>
        <v>2929688.44239</v>
      </c>
      <c r="O43" s="77">
        <f t="shared" si="18"/>
        <v>2997408.3278400004</v>
      </c>
      <c r="P43" s="77">
        <f t="shared" si="18"/>
        <v>2635429.70487</v>
      </c>
      <c r="Q43" s="77">
        <f t="shared" si="18"/>
        <v>3223112.58372</v>
      </c>
      <c r="R43" s="78">
        <f>SUM(F43:Q43)</f>
        <v>35697230.69397065</v>
      </c>
      <c r="S43" s="79">
        <f>SUM(F43:Q43)</f>
        <v>35697230.69397065</v>
      </c>
      <c r="T43" s="58"/>
    </row>
    <row r="44" spans="1:20">
      <c r="A44" s="21">
        <f t="shared" si="2"/>
        <v>22</v>
      </c>
      <c r="B44" s="20" t="s">
        <v>132</v>
      </c>
      <c r="C44" s="21" t="str">
        <f>"("&amp;A39&amp;") - ("&amp;A40&amp;") -("&amp;A43&amp;")"</f>
        <v>(17) - (18) -(21)</v>
      </c>
      <c r="D44" s="77">
        <f>D39-D40-D43</f>
        <v>3966555.3233999992</v>
      </c>
      <c r="E44" s="77">
        <f>E39-E40-E43</f>
        <v>8892716.8022293542</v>
      </c>
      <c r="F44" s="77">
        <f>F39-F40-F43</f>
        <v>12859272.125629352</v>
      </c>
      <c r="G44" s="77">
        <f t="shared" ref="G44:Q44" si="19">G39-G40-G43</f>
        <v>12184944.090810003</v>
      </c>
      <c r="H44" s="77">
        <f t="shared" si="19"/>
        <v>12503621.4001</v>
      </c>
      <c r="I44" s="77">
        <f t="shared" si="19"/>
        <v>11861745.99093</v>
      </c>
      <c r="J44" s="77">
        <f t="shared" si="19"/>
        <v>12870436.240110001</v>
      </c>
      <c r="K44" s="77">
        <f t="shared" si="19"/>
        <v>13685736.614380002</v>
      </c>
      <c r="L44" s="77">
        <f t="shared" si="19"/>
        <v>14364992.631270006</v>
      </c>
      <c r="M44" s="77">
        <f t="shared" si="19"/>
        <v>13999113.4848</v>
      </c>
      <c r="N44" s="77">
        <f t="shared" si="19"/>
        <v>12879346.039729996</v>
      </c>
      <c r="O44" s="77">
        <f t="shared" si="19"/>
        <v>13276136.08179</v>
      </c>
      <c r="P44" s="77">
        <f t="shared" si="19"/>
        <v>11962860.522499997</v>
      </c>
      <c r="Q44" s="77">
        <f t="shared" si="19"/>
        <v>14121537.558429999</v>
      </c>
      <c r="R44" s="78">
        <f>SUM(F44:Q44)</f>
        <v>156569742.78047934</v>
      </c>
      <c r="S44" s="85">
        <f>R44/S35</f>
        <v>4395.9787303333696</v>
      </c>
      <c r="T44" s="58"/>
    </row>
    <row r="45" spans="1:20">
      <c r="A45" s="21"/>
      <c r="B45" s="21" t="s">
        <v>144</v>
      </c>
      <c r="C45" s="21"/>
      <c r="D45" s="75">
        <f t="shared" ref="D45:Q45" si="20">D44/D35</f>
        <v>348.0320823792137</v>
      </c>
      <c r="E45" s="75">
        <f t="shared" si="20"/>
        <v>371.55313608191108</v>
      </c>
      <c r="F45" s="75">
        <f t="shared" si="20"/>
        <v>363.96569940362156</v>
      </c>
      <c r="G45" s="75">
        <f t="shared" si="20"/>
        <v>342.54312635809072</v>
      </c>
      <c r="H45" s="75">
        <f t="shared" si="20"/>
        <v>351.51166399876303</v>
      </c>
      <c r="I45" s="75">
        <f t="shared" si="20"/>
        <v>334.16192892159904</v>
      </c>
      <c r="J45" s="75">
        <f t="shared" si="20"/>
        <v>360.94105783022042</v>
      </c>
      <c r="K45" s="75">
        <f t="shared" si="20"/>
        <v>385.34003306622373</v>
      </c>
      <c r="L45" s="75">
        <f t="shared" si="20"/>
        <v>404.43122360623909</v>
      </c>
      <c r="M45" s="75">
        <f t="shared" si="20"/>
        <v>392.19794600773241</v>
      </c>
      <c r="N45" s="75">
        <f t="shared" si="20"/>
        <v>361.07953796658148</v>
      </c>
      <c r="O45" s="75">
        <f t="shared" si="20"/>
        <v>370.55197280869709</v>
      </c>
      <c r="P45" s="75">
        <f t="shared" si="20"/>
        <v>334.51318501482012</v>
      </c>
      <c r="Q45" s="75">
        <f t="shared" si="20"/>
        <v>394.65478616147783</v>
      </c>
      <c r="R45" s="75"/>
      <c r="S45" s="58"/>
      <c r="T45" s="58"/>
    </row>
    <row r="46" spans="1:20">
      <c r="A46" s="21">
        <v>23</v>
      </c>
      <c r="B46" s="20" t="s">
        <v>134</v>
      </c>
      <c r="C46" s="21" t="str">
        <f>"("&amp;A$37&amp;") - ("&amp;A44&amp;")"</f>
        <v>(16) - (22)</v>
      </c>
      <c r="D46" s="113">
        <f t="shared" ref="D46:Q46" si="21">IF(D32="",D37-D44,-D32)</f>
        <v>91190.578186675906</v>
      </c>
      <c r="E46" s="113">
        <f t="shared" si="21"/>
        <v>-216400.75682550482</v>
      </c>
      <c r="F46" s="88">
        <f t="shared" si="21"/>
        <v>-125210.17863882892</v>
      </c>
      <c r="G46" s="88">
        <f t="shared" si="21"/>
        <v>928543.71250969917</v>
      </c>
      <c r="H46" s="88">
        <f t="shared" si="21"/>
        <v>-218791.19993356615</v>
      </c>
      <c r="I46" s="88">
        <f t="shared" si="21"/>
        <v>333272.73319509439</v>
      </c>
      <c r="J46" s="88">
        <f t="shared" si="21"/>
        <v>319784.43338318169</v>
      </c>
      <c r="K46" s="88">
        <f t="shared" si="21"/>
        <v>-2623.0272227451205</v>
      </c>
      <c r="L46" s="88">
        <f t="shared" si="21"/>
        <v>443055.62086596154</v>
      </c>
      <c r="M46" s="88">
        <f t="shared" si="21"/>
        <v>-92871.372342703864</v>
      </c>
      <c r="N46" s="88">
        <f t="shared" si="21"/>
        <v>412137.06319268979</v>
      </c>
      <c r="O46" s="88">
        <f t="shared" si="21"/>
        <v>356041.27671216428</v>
      </c>
      <c r="P46" s="88">
        <f t="shared" si="21"/>
        <v>554423.33313341066</v>
      </c>
      <c r="Q46" s="88">
        <f t="shared" si="21"/>
        <v>-892775.93997089006</v>
      </c>
      <c r="R46" s="78">
        <f>SUM(F46:Q46)</f>
        <v>2014986.4548834674</v>
      </c>
      <c r="S46" s="58"/>
      <c r="T46" s="58"/>
    </row>
    <row r="47" spans="1:20">
      <c r="A47" s="21">
        <v>24</v>
      </c>
      <c r="B47" s="20" t="s">
        <v>135</v>
      </c>
      <c r="C47" s="89" t="s">
        <v>136</v>
      </c>
      <c r="D47" s="113">
        <f t="shared" ref="D47" si="22">IF(D32="",D46*-0.045395,0)</f>
        <v>-4139.5962967841524</v>
      </c>
      <c r="E47" s="113">
        <f>IF(E32="",E46*-0.04588,0)</f>
        <v>9928.4667231541607</v>
      </c>
      <c r="F47" s="88">
        <f>D47+E47</f>
        <v>5788.8704263700083</v>
      </c>
      <c r="G47" s="88">
        <f t="shared" ref="G47:Q47" si="23">IF(G32="",G46*-0.04588,0)</f>
        <v>-42601.585529944998</v>
      </c>
      <c r="H47" s="88">
        <f t="shared" si="23"/>
        <v>10038.140252952015</v>
      </c>
      <c r="I47" s="88">
        <f t="shared" si="23"/>
        <v>-15290.55299899093</v>
      </c>
      <c r="J47" s="88">
        <f t="shared" si="23"/>
        <v>-14671.709803620375</v>
      </c>
      <c r="K47" s="88">
        <f t="shared" si="23"/>
        <v>120.34448897954613</v>
      </c>
      <c r="L47" s="88">
        <f t="shared" si="23"/>
        <v>-20327.391885330315</v>
      </c>
      <c r="M47" s="88">
        <f t="shared" si="23"/>
        <v>4260.938563083253</v>
      </c>
      <c r="N47" s="88">
        <f t="shared" si="23"/>
        <v>-18908.848459280605</v>
      </c>
      <c r="O47" s="88">
        <f t="shared" si="23"/>
        <v>-16335.173775554096</v>
      </c>
      <c r="P47" s="88">
        <f t="shared" si="23"/>
        <v>-25436.942524160881</v>
      </c>
      <c r="Q47" s="88">
        <f t="shared" si="23"/>
        <v>40960.560125864431</v>
      </c>
      <c r="R47" s="78">
        <f>SUM(F47:Q47)</f>
        <v>-92403.351119632949</v>
      </c>
      <c r="S47" s="58"/>
      <c r="T47" s="58"/>
    </row>
    <row r="48" spans="1:20">
      <c r="A48" s="21"/>
      <c r="B48" s="20"/>
      <c r="C48" s="21" t="s">
        <v>137</v>
      </c>
      <c r="D48" s="21"/>
      <c r="E48" s="21"/>
      <c r="F48" s="90">
        <f>F26</f>
        <v>3.2500000000000001E-2</v>
      </c>
      <c r="G48" s="90">
        <f t="shared" ref="G48:Q48" si="24">G26</f>
        <v>3.2500000000000001E-2</v>
      </c>
      <c r="H48" s="90">
        <f t="shared" si="24"/>
        <v>3.2500000000000001E-2</v>
      </c>
      <c r="I48" s="90">
        <f t="shared" si="24"/>
        <v>3.4599999999999999E-2</v>
      </c>
      <c r="J48" s="90">
        <f t="shared" si="24"/>
        <v>3.4599999999999999E-2</v>
      </c>
      <c r="K48" s="90">
        <f t="shared" si="24"/>
        <v>3.4599999999999999E-2</v>
      </c>
      <c r="L48" s="90">
        <f t="shared" si="24"/>
        <v>3.5000000000000003E-2</v>
      </c>
      <c r="M48" s="90">
        <f t="shared" si="24"/>
        <v>3.5000000000000003E-2</v>
      </c>
      <c r="N48" s="90">
        <f t="shared" si="24"/>
        <v>3.5000000000000003E-2</v>
      </c>
      <c r="O48" s="90">
        <f t="shared" si="24"/>
        <v>3.5000000000000003E-2</v>
      </c>
      <c r="P48" s="90">
        <f t="shared" si="24"/>
        <v>3.5000000000000003E-2</v>
      </c>
      <c r="Q48" s="90">
        <f t="shared" si="24"/>
        <v>3.5000000000000003E-2</v>
      </c>
      <c r="R48" s="78"/>
      <c r="S48" s="58"/>
      <c r="T48" s="58"/>
    </row>
    <row r="49" spans="1:20">
      <c r="A49" s="21">
        <v>25</v>
      </c>
      <c r="B49" s="20" t="s">
        <v>138</v>
      </c>
      <c r="C49" s="21" t="s">
        <v>139</v>
      </c>
      <c r="D49" s="21"/>
      <c r="E49" s="21"/>
      <c r="F49" s="91">
        <f>(F46+F47)/2*F48/12</f>
        <v>-161.71635487103813</v>
      </c>
      <c r="G49" s="91">
        <f>(F51+(G46+G47)/2)*G48/12</f>
        <v>875.8426054152319</v>
      </c>
      <c r="H49" s="91">
        <f t="shared" ref="H49:Q49" si="25">(G51+(H46+H47)/2)*H48/12</f>
        <v>1795.2415411058173</v>
      </c>
      <c r="I49" s="91">
        <f t="shared" si="25"/>
        <v>2073.8900256152374</v>
      </c>
      <c r="J49" s="91">
        <f t="shared" si="25"/>
        <v>2978.1648947990111</v>
      </c>
      <c r="K49" s="91">
        <f t="shared" si="25"/>
        <v>3423.0147457983699</v>
      </c>
      <c r="L49" s="91">
        <f t="shared" si="25"/>
        <v>4085.3998852238797</v>
      </c>
      <c r="M49" s="91">
        <f t="shared" si="25"/>
        <v>4584.5707528905905</v>
      </c>
      <c r="N49" s="91">
        <f t="shared" si="25"/>
        <v>5042.1766814774628</v>
      </c>
      <c r="O49" s="91">
        <f t="shared" si="25"/>
        <v>6125.7455767338843</v>
      </c>
      <c r="P49" s="91">
        <f t="shared" si="25"/>
        <v>7410.455554420404</v>
      </c>
      <c r="Q49" s="91">
        <f t="shared" si="25"/>
        <v>6961.2771071519574</v>
      </c>
      <c r="R49" s="78">
        <f>SUM(F49:Q49)</f>
        <v>45194.06301576081</v>
      </c>
      <c r="S49" s="58"/>
      <c r="T49" s="58"/>
    </row>
    <row r="50" spans="1:20" ht="15" thickBot="1">
      <c r="A50" s="21"/>
      <c r="B50" s="93" t="s">
        <v>145</v>
      </c>
      <c r="C50" s="21"/>
      <c r="D50" s="21"/>
      <c r="E50" s="21"/>
      <c r="F50" s="94">
        <f>F46+F47+F49</f>
        <v>-119583.02456732995</v>
      </c>
      <c r="G50" s="94">
        <f t="shared" ref="G50:R50" si="26">G46+G47+G49</f>
        <v>886817.96958516946</v>
      </c>
      <c r="H50" s="94">
        <f t="shared" si="26"/>
        <v>-206957.81813950831</v>
      </c>
      <c r="I50" s="94">
        <f t="shared" si="26"/>
        <v>320056.07022171869</v>
      </c>
      <c r="J50" s="94">
        <f t="shared" si="26"/>
        <v>308090.88847436034</v>
      </c>
      <c r="K50" s="94">
        <f t="shared" si="26"/>
        <v>920.33201203279532</v>
      </c>
      <c r="L50" s="94">
        <f t="shared" si="26"/>
        <v>426813.62886585511</v>
      </c>
      <c r="M50" s="94">
        <f t="shared" si="26"/>
        <v>-84025.863026730018</v>
      </c>
      <c r="N50" s="94">
        <f t="shared" si="26"/>
        <v>398270.39141488663</v>
      </c>
      <c r="O50" s="94">
        <f t="shared" si="26"/>
        <v>345831.84851334407</v>
      </c>
      <c r="P50" s="94">
        <f t="shared" si="26"/>
        <v>536396.84616367018</v>
      </c>
      <c r="Q50" s="94">
        <f t="shared" si="26"/>
        <v>-844854.10273787368</v>
      </c>
      <c r="R50" s="94">
        <f t="shared" si="26"/>
        <v>1967777.1667795954</v>
      </c>
      <c r="S50" s="58"/>
      <c r="T50" s="58"/>
    </row>
    <row r="51" spans="1:20" ht="27.6" thickBot="1">
      <c r="A51" s="21">
        <v>26</v>
      </c>
      <c r="B51" s="103" t="s">
        <v>146</v>
      </c>
      <c r="C51" s="21" t="str">
        <f>"Σ(("&amp;A$46&amp;") ~ ("&amp;A49&amp;"))"</f>
        <v>Σ((23) ~ (25))</v>
      </c>
      <c r="D51" s="21"/>
      <c r="E51" s="21"/>
      <c r="F51" s="77">
        <f>F46+F47+F49</f>
        <v>-119583.02456732995</v>
      </c>
      <c r="G51" s="77">
        <f>F51+G46+G47+G49</f>
        <v>767234.94501783955</v>
      </c>
      <c r="H51" s="77">
        <f t="shared" ref="H51:P51" si="27">G51+H46+H47+H49</f>
        <v>560277.12687833118</v>
      </c>
      <c r="I51" s="77">
        <f t="shared" si="27"/>
        <v>880333.19710004982</v>
      </c>
      <c r="J51" s="77">
        <f t="shared" si="27"/>
        <v>1188424.0855744102</v>
      </c>
      <c r="K51" s="77">
        <f t="shared" si="27"/>
        <v>1189344.417586443</v>
      </c>
      <c r="L51" s="77">
        <f t="shared" si="27"/>
        <v>1616158.0464522983</v>
      </c>
      <c r="M51" s="77">
        <f t="shared" si="27"/>
        <v>1532132.1834255683</v>
      </c>
      <c r="N51" s="77">
        <f t="shared" si="27"/>
        <v>1930402.5748404551</v>
      </c>
      <c r="O51" s="77">
        <f t="shared" si="27"/>
        <v>2276234.4233537992</v>
      </c>
      <c r="P51" s="77">
        <f t="shared" si="27"/>
        <v>2812631.2695174697</v>
      </c>
      <c r="Q51" s="97">
        <f>P51+Q46+Q47+Q49</f>
        <v>1967777.1667795959</v>
      </c>
      <c r="R51" s="78"/>
      <c r="S51" s="58"/>
      <c r="T51" s="58"/>
    </row>
    <row r="52" spans="1:20" ht="15" thickBot="1">
      <c r="A52" s="21"/>
      <c r="B52" s="20"/>
      <c r="C52" s="21"/>
      <c r="D52" s="21"/>
      <c r="E52" s="21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00"/>
      <c r="S52" s="58"/>
      <c r="T52" s="58"/>
    </row>
    <row r="53" spans="1:20" ht="28.95" customHeight="1" thickBot="1">
      <c r="A53" s="72">
        <v>25</v>
      </c>
      <c r="B53" s="104" t="s">
        <v>147</v>
      </c>
      <c r="C53" s="72" t="str">
        <f>"("&amp;A$29&amp;") + ("&amp;A51&amp;")"</f>
        <v>(13) + (26)</v>
      </c>
      <c r="D53" s="72"/>
      <c r="E53" s="72"/>
      <c r="F53" s="78">
        <f t="shared" ref="F53:Q53" si="28">F29+F51</f>
        <v>-625340.00229182607</v>
      </c>
      <c r="G53" s="78">
        <f t="shared" si="28"/>
        <v>1945621.4932984905</v>
      </c>
      <c r="H53" s="78">
        <f t="shared" si="28"/>
        <v>4089804.9324728781</v>
      </c>
      <c r="I53" s="78">
        <f t="shared" si="28"/>
        <v>6039926.8810681067</v>
      </c>
      <c r="J53" s="78">
        <f t="shared" si="28"/>
        <v>8528125.5530992858</v>
      </c>
      <c r="K53" s="78">
        <f t="shared" si="28"/>
        <v>8733208.838865729</v>
      </c>
      <c r="L53" s="78">
        <f t="shared" si="28"/>
        <v>8201335.1614100505</v>
      </c>
      <c r="M53" s="78">
        <f t="shared" si="28"/>
        <v>8523987.6983327791</v>
      </c>
      <c r="N53" s="78">
        <f t="shared" si="28"/>
        <v>9044601.381286053</v>
      </c>
      <c r="O53" s="78">
        <f t="shared" si="28"/>
        <v>11257134.196929023</v>
      </c>
      <c r="P53" s="78">
        <f t="shared" si="28"/>
        <v>13579523.215275796</v>
      </c>
      <c r="Q53" s="101">
        <f t="shared" si="28"/>
        <v>12255981.742298262</v>
      </c>
      <c r="R53" s="93"/>
      <c r="S53" s="102"/>
      <c r="T53" s="102"/>
    </row>
    <row r="54" spans="1:20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58"/>
      <c r="T54" s="58"/>
    </row>
    <row r="55" spans="1:20">
      <c r="B55" s="109" t="s">
        <v>156</v>
      </c>
      <c r="C55" s="105"/>
      <c r="D55" s="105"/>
      <c r="E55" s="105"/>
      <c r="F55" s="105" t="s">
        <v>157</v>
      </c>
      <c r="G55" s="105" t="s">
        <v>157</v>
      </c>
      <c r="H55" s="105" t="s">
        <v>157</v>
      </c>
      <c r="I55" s="105" t="s">
        <v>157</v>
      </c>
      <c r="J55" s="105" t="s">
        <v>157</v>
      </c>
      <c r="K55" s="105" t="s">
        <v>157</v>
      </c>
      <c r="L55" s="105" t="s">
        <v>157</v>
      </c>
      <c r="M55" s="105" t="s">
        <v>157</v>
      </c>
      <c r="N55" s="105" t="s">
        <v>157</v>
      </c>
      <c r="O55" s="105" t="s">
        <v>157</v>
      </c>
      <c r="P55" s="105" t="s">
        <v>157</v>
      </c>
      <c r="Q55" s="105" t="s">
        <v>157</v>
      </c>
    </row>
    <row r="56" spans="1:20">
      <c r="B56" s="92"/>
    </row>
    <row r="57" spans="1:20">
      <c r="A57" s="92" t="s">
        <v>162</v>
      </c>
      <c r="B57" s="92" t="s">
        <v>247</v>
      </c>
      <c r="F57" s="163">
        <f t="shared" ref="F57:N57" si="29">-F24-F25</f>
        <v>505073.02467025514</v>
      </c>
      <c r="G57" s="163">
        <f t="shared" si="29"/>
        <v>-1683233.9052398053</v>
      </c>
      <c r="H57" s="163">
        <f t="shared" si="29"/>
        <v>-2344774.5781710297</v>
      </c>
      <c r="I57" s="163">
        <f t="shared" si="29"/>
        <v>-1617557.0950553406</v>
      </c>
      <c r="J57" s="163">
        <f t="shared" si="29"/>
        <v>-2162113.907551324</v>
      </c>
      <c r="K57" s="163">
        <f t="shared" si="29"/>
        <v>-182736.70244369071</v>
      </c>
      <c r="L57" s="163">
        <f t="shared" si="29"/>
        <v>979262.15357630025</v>
      </c>
      <c r="M57" s="163">
        <f t="shared" si="29"/>
        <v>-386907.39341543487</v>
      </c>
      <c r="N57" s="163">
        <f t="shared" si="29"/>
        <v>-101801.91848877839</v>
      </c>
      <c r="O57" s="163">
        <f t="shared" ref="O57:P57" si="30">-O24-O25</f>
        <v>-1843263.1285483609</v>
      </c>
      <c r="P57" s="163">
        <f t="shared" si="30"/>
        <v>-1757235.2464424467</v>
      </c>
      <c r="Q57" s="163">
        <f>-Q24-Q25</f>
        <v>509348.00590617658</v>
      </c>
      <c r="R57" s="163"/>
    </row>
    <row r="58" spans="1:20">
      <c r="A58" s="92"/>
      <c r="B58" s="92" t="s">
        <v>158</v>
      </c>
      <c r="F58" s="163">
        <f t="shared" ref="F58:N58" si="31">IF(F27&lt;0,-F27,0)</f>
        <v>683.95305424097057</v>
      </c>
      <c r="G58" s="163">
        <f t="shared" si="31"/>
        <v>0</v>
      </c>
      <c r="H58" s="163">
        <f t="shared" si="31"/>
        <v>0</v>
      </c>
      <c r="I58" s="163">
        <f t="shared" si="31"/>
        <v>0</v>
      </c>
      <c r="J58" s="163">
        <f t="shared" si="31"/>
        <v>0</v>
      </c>
      <c r="K58" s="163">
        <f t="shared" si="31"/>
        <v>0</v>
      </c>
      <c r="L58" s="163">
        <f t="shared" si="31"/>
        <v>0</v>
      </c>
      <c r="M58" s="163">
        <f t="shared" si="31"/>
        <v>0</v>
      </c>
      <c r="N58" s="163">
        <f t="shared" si="31"/>
        <v>0</v>
      </c>
      <c r="O58" s="163">
        <f t="shared" ref="O58:P58" si="32">IF(O27&lt;0,-O27,0)</f>
        <v>0</v>
      </c>
      <c r="P58" s="163">
        <f t="shared" si="32"/>
        <v>0</v>
      </c>
      <c r="Q58" s="163">
        <f>IF(Q27&lt;0,-Q27,0)</f>
        <v>0</v>
      </c>
      <c r="R58" s="163"/>
    </row>
    <row r="59" spans="1:20">
      <c r="A59" s="92"/>
      <c r="B59" s="92" t="s">
        <v>159</v>
      </c>
      <c r="F59" s="163">
        <f t="shared" ref="F59:N59" si="33">IF(F27&gt;0,-F27,0)</f>
        <v>0</v>
      </c>
      <c r="G59" s="163">
        <f t="shared" si="33"/>
        <v>-909.62076534172627</v>
      </c>
      <c r="H59" s="163">
        <f t="shared" si="33"/>
        <v>-6366.6791428666984</v>
      </c>
      <c r="I59" s="163">
        <f t="shared" si="33"/>
        <v>-12508.78331816906</v>
      </c>
      <c r="J59" s="163">
        <f t="shared" si="33"/>
        <v>-17993.876005494389</v>
      </c>
      <c r="K59" s="163">
        <f t="shared" si="33"/>
        <v>-21426.251310719712</v>
      </c>
      <c r="L59" s="163">
        <f t="shared" si="33"/>
        <v>-20574.847254765817</v>
      </c>
      <c r="M59" s="163">
        <f t="shared" si="33"/>
        <v>-19771.006534024284</v>
      </c>
      <c r="N59" s="163">
        <f t="shared" si="33"/>
        <v>-20541.373049608836</v>
      </c>
      <c r="O59" s="163">
        <f t="shared" ref="O59:P59" si="34">IF(O27&gt;0,-O27,0)</f>
        <v>-23437.838581266024</v>
      </c>
      <c r="P59" s="163">
        <f t="shared" si="34"/>
        <v>-28756.925740656312</v>
      </c>
      <c r="Q59" s="163">
        <f>IF(Q27&gt;0,-Q27,0)</f>
        <v>-30660.635666515282</v>
      </c>
      <c r="R59" s="163"/>
    </row>
    <row r="60" spans="1:20">
      <c r="A60" s="92" t="s">
        <v>162</v>
      </c>
      <c r="B60" s="92" t="s">
        <v>160</v>
      </c>
      <c r="F60" s="163">
        <f t="shared" ref="F60:N60" si="35">F28</f>
        <v>-505756.9777244961</v>
      </c>
      <c r="G60" s="163">
        <f t="shared" si="35"/>
        <v>1684143.526005147</v>
      </c>
      <c r="H60" s="163">
        <f t="shared" si="35"/>
        <v>2351141.2573138964</v>
      </c>
      <c r="I60" s="163">
        <f t="shared" si="35"/>
        <v>1630065.8783735095</v>
      </c>
      <c r="J60" s="163">
        <f t="shared" si="35"/>
        <v>2180107.7835568185</v>
      </c>
      <c r="K60" s="163">
        <f t="shared" si="35"/>
        <v>204162.95375441041</v>
      </c>
      <c r="L60" s="163">
        <f t="shared" si="35"/>
        <v>-958687.30632153444</v>
      </c>
      <c r="M60" s="163">
        <f t="shared" si="35"/>
        <v>406678.39994945913</v>
      </c>
      <c r="N60" s="163">
        <f t="shared" si="35"/>
        <v>122343.29153838723</v>
      </c>
      <c r="O60" s="163">
        <f t="shared" ref="O60:P60" si="36">O28</f>
        <v>1866700.967129627</v>
      </c>
      <c r="P60" s="163">
        <f t="shared" si="36"/>
        <v>1785992.1721831029</v>
      </c>
      <c r="Q60" s="163">
        <f>Q28</f>
        <v>-478687.37023966131</v>
      </c>
      <c r="R60" s="163"/>
    </row>
    <row r="61" spans="1:20">
      <c r="A61" s="92"/>
      <c r="B61" s="92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1:20">
      <c r="A62" s="92" t="s">
        <v>162</v>
      </c>
      <c r="B62" s="92" t="s">
        <v>248</v>
      </c>
      <c r="F62" s="163">
        <f t="shared" ref="F62:N62" si="37">-F46-F47</f>
        <v>119421.30821245891</v>
      </c>
      <c r="G62" s="163">
        <f t="shared" si="37"/>
        <v>-885942.12697975419</v>
      </c>
      <c r="H62" s="163">
        <f t="shared" si="37"/>
        <v>208753.05968061413</v>
      </c>
      <c r="I62" s="163">
        <f t="shared" si="37"/>
        <v>-317982.18019610347</v>
      </c>
      <c r="J62" s="163">
        <f t="shared" si="37"/>
        <v>-305112.72357956134</v>
      </c>
      <c r="K62" s="163">
        <f t="shared" si="37"/>
        <v>2502.6827337655745</v>
      </c>
      <c r="L62" s="163">
        <f t="shared" si="37"/>
        <v>-422728.22898063122</v>
      </c>
      <c r="M62" s="163">
        <f t="shared" si="37"/>
        <v>88610.433779620609</v>
      </c>
      <c r="N62" s="163">
        <f t="shared" si="37"/>
        <v>-393228.21473340917</v>
      </c>
      <c r="O62" s="163">
        <f t="shared" ref="O62:Q62" si="38">-O46-O47</f>
        <v>-339706.10293661017</v>
      </c>
      <c r="P62" s="163">
        <f t="shared" si="38"/>
        <v>-528986.39060924982</v>
      </c>
      <c r="Q62" s="163">
        <f t="shared" si="38"/>
        <v>851815.3798450256</v>
      </c>
      <c r="R62" s="163"/>
    </row>
    <row r="63" spans="1:20">
      <c r="A63" s="92"/>
      <c r="B63" s="92" t="s">
        <v>158</v>
      </c>
      <c r="F63" s="163">
        <f t="shared" ref="F63:N63" si="39">IF(F49&lt;0,-F49,0)</f>
        <v>161.71635487103813</v>
      </c>
      <c r="G63" s="163">
        <f t="shared" si="39"/>
        <v>0</v>
      </c>
      <c r="H63" s="163">
        <f t="shared" si="39"/>
        <v>0</v>
      </c>
      <c r="I63" s="163">
        <f t="shared" si="39"/>
        <v>0</v>
      </c>
      <c r="J63" s="163">
        <f t="shared" si="39"/>
        <v>0</v>
      </c>
      <c r="K63" s="163">
        <f t="shared" si="39"/>
        <v>0</v>
      </c>
      <c r="L63" s="163">
        <f t="shared" si="39"/>
        <v>0</v>
      </c>
      <c r="M63" s="163">
        <f t="shared" si="39"/>
        <v>0</v>
      </c>
      <c r="N63" s="163">
        <f t="shared" si="39"/>
        <v>0</v>
      </c>
      <c r="O63" s="163">
        <f t="shared" ref="O63:Q63" si="40">IF(O49&lt;0,-O49,0)</f>
        <v>0</v>
      </c>
      <c r="P63" s="163">
        <f t="shared" si="40"/>
        <v>0</v>
      </c>
      <c r="Q63" s="163">
        <f t="shared" si="40"/>
        <v>0</v>
      </c>
      <c r="R63" s="163"/>
    </row>
    <row r="64" spans="1:20">
      <c r="A64" s="92"/>
      <c r="B64" s="92" t="s">
        <v>159</v>
      </c>
      <c r="F64" s="163">
        <f t="shared" ref="F64:N64" si="41">IF(F49&gt;0,-F49,0)</f>
        <v>0</v>
      </c>
      <c r="G64" s="163">
        <f t="shared" si="41"/>
        <v>-875.8426054152319</v>
      </c>
      <c r="H64" s="163">
        <f t="shared" si="41"/>
        <v>-1795.2415411058173</v>
      </c>
      <c r="I64" s="163">
        <f t="shared" si="41"/>
        <v>-2073.8900256152374</v>
      </c>
      <c r="J64" s="163">
        <f t="shared" si="41"/>
        <v>-2978.1648947990111</v>
      </c>
      <c r="K64" s="163">
        <f t="shared" si="41"/>
        <v>-3423.0147457983699</v>
      </c>
      <c r="L64" s="163">
        <f t="shared" si="41"/>
        <v>-4085.3998852238797</v>
      </c>
      <c r="M64" s="163">
        <f t="shared" si="41"/>
        <v>-4584.5707528905905</v>
      </c>
      <c r="N64" s="163">
        <f t="shared" si="41"/>
        <v>-5042.1766814774628</v>
      </c>
      <c r="O64" s="163">
        <f t="shared" ref="O64:Q64" si="42">IF(O49&gt;0,-O49,0)</f>
        <v>-6125.7455767338843</v>
      </c>
      <c r="P64" s="163">
        <f t="shared" si="42"/>
        <v>-7410.455554420404</v>
      </c>
      <c r="Q64" s="163">
        <f t="shared" si="42"/>
        <v>-6961.2771071519574</v>
      </c>
      <c r="R64" s="163"/>
    </row>
    <row r="65" spans="1:18">
      <c r="A65" s="92" t="s">
        <v>162</v>
      </c>
      <c r="B65" s="92" t="s">
        <v>161</v>
      </c>
      <c r="F65" s="163">
        <f t="shared" ref="F65:N65" si="43">F50</f>
        <v>-119583.02456732995</v>
      </c>
      <c r="G65" s="163">
        <f t="shared" si="43"/>
        <v>886817.96958516946</v>
      </c>
      <c r="H65" s="163">
        <f t="shared" si="43"/>
        <v>-206957.81813950831</v>
      </c>
      <c r="I65" s="163">
        <f t="shared" si="43"/>
        <v>320056.07022171869</v>
      </c>
      <c r="J65" s="163">
        <f t="shared" si="43"/>
        <v>308090.88847436034</v>
      </c>
      <c r="K65" s="163">
        <f t="shared" si="43"/>
        <v>920.33201203279532</v>
      </c>
      <c r="L65" s="163">
        <f t="shared" si="43"/>
        <v>426813.62886585511</v>
      </c>
      <c r="M65" s="163">
        <f t="shared" si="43"/>
        <v>-84025.863026730018</v>
      </c>
      <c r="N65" s="163">
        <f t="shared" si="43"/>
        <v>398270.39141488663</v>
      </c>
      <c r="O65" s="163">
        <f t="shared" ref="O65:Q65" si="44">O50</f>
        <v>345831.84851334407</v>
      </c>
      <c r="P65" s="163">
        <f t="shared" si="44"/>
        <v>536396.84616367018</v>
      </c>
      <c r="Q65" s="163">
        <f t="shared" si="44"/>
        <v>-844854.10273787368</v>
      </c>
      <c r="R65" s="163"/>
    </row>
    <row r="66" spans="1:18">
      <c r="F66" s="163"/>
    </row>
    <row r="67" spans="1:18">
      <c r="A67" s="186"/>
      <c r="B67" s="92"/>
      <c r="C67" s="186"/>
      <c r="D67" s="186"/>
      <c r="E67" s="186"/>
      <c r="F67" s="209"/>
      <c r="G67" s="186"/>
    </row>
    <row r="68" spans="1:18">
      <c r="A68" s="186"/>
      <c r="B68" s="186"/>
      <c r="C68" s="186"/>
      <c r="D68" s="186"/>
      <c r="E68" s="186"/>
      <c r="F68" s="210"/>
      <c r="G68" s="186"/>
    </row>
    <row r="69" spans="1:18">
      <c r="A69" s="186"/>
      <c r="B69" s="92"/>
      <c r="C69" s="186"/>
      <c r="D69" s="186"/>
      <c r="E69" s="186"/>
      <c r="F69" s="209"/>
      <c r="G69" s="186"/>
    </row>
    <row r="70" spans="1:18">
      <c r="A70" s="186"/>
      <c r="B70" s="186"/>
      <c r="C70" s="186"/>
      <c r="D70" s="186"/>
      <c r="E70" s="186"/>
      <c r="F70" s="210"/>
      <c r="G70" s="186"/>
    </row>
    <row r="71" spans="1:18">
      <c r="A71" s="186"/>
      <c r="B71" s="186"/>
      <c r="C71" s="186"/>
      <c r="D71" s="186"/>
      <c r="E71" s="186"/>
      <c r="F71" s="186"/>
      <c r="G71" s="186"/>
    </row>
  </sheetData>
  <mergeCells count="5">
    <mergeCell ref="A1:Q1"/>
    <mergeCell ref="A2:Q2"/>
    <mergeCell ref="A3:Q3"/>
    <mergeCell ref="T13:T14"/>
    <mergeCell ref="T35:T36"/>
  </mergeCells>
  <printOptions horizontalCentered="1"/>
  <pageMargins left="0.17" right="0.16" top="0.42" bottom="0.46" header="0.3" footer="0.3"/>
  <pageSetup scale="78" orientation="portrait" r:id="rId1"/>
  <headerFooter>
    <oddFooter>&amp;L&amp;F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M79"/>
  <sheetViews>
    <sheetView view="pageLayout" topLeftCell="A53" zoomScaleNormal="100" workbookViewId="0">
      <selection activeCell="C65" sqref="C65"/>
    </sheetView>
  </sheetViews>
  <sheetFormatPr defaultColWidth="9.109375" defaultRowHeight="14.4"/>
  <cols>
    <col min="1" max="1" width="17.6640625" style="165" customWidth="1"/>
    <col min="2" max="2" width="9.109375" style="165"/>
    <col min="3" max="3" width="18.33203125" style="165" customWidth="1"/>
    <col min="4" max="4" width="22" style="165" customWidth="1"/>
    <col min="5" max="5" width="17.33203125" style="165" customWidth="1"/>
    <col min="6" max="6" width="16.33203125" style="165" customWidth="1"/>
    <col min="7" max="8" width="15.6640625" style="165" customWidth="1"/>
    <col min="9" max="9" width="21.33203125" style="165" customWidth="1"/>
    <col min="10" max="10" width="18.33203125" style="165" bestFit="1" customWidth="1"/>
    <col min="11" max="11" width="9.109375" style="165"/>
    <col min="12" max="12" width="13.44140625" style="165" bestFit="1" customWidth="1"/>
    <col min="13" max="13" width="27.5546875" style="165" bestFit="1" customWidth="1"/>
    <col min="14" max="16384" width="9.1093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99" t="s">
        <v>148</v>
      </c>
      <c r="B3" s="167"/>
      <c r="C3" s="173">
        <v>211063</v>
      </c>
      <c r="D3" s="186"/>
      <c r="E3" s="202">
        <v>244039953</v>
      </c>
      <c r="F3" s="202">
        <v>-118972426</v>
      </c>
      <c r="G3" s="202">
        <v>158594608</v>
      </c>
      <c r="H3" s="166">
        <f>SUM(F3:G3)</f>
        <v>39622182</v>
      </c>
      <c r="I3" s="174">
        <f>E3+H3</f>
        <v>283662135</v>
      </c>
    </row>
    <row r="4" spans="1:9">
      <c r="A4" s="199" t="s">
        <v>207</v>
      </c>
      <c r="B4" s="167"/>
      <c r="C4" s="173">
        <v>499</v>
      </c>
      <c r="D4" s="186"/>
      <c r="E4" s="202">
        <v>733706</v>
      </c>
      <c r="F4" s="202">
        <v>-344249</v>
      </c>
      <c r="G4" s="202">
        <v>463234</v>
      </c>
      <c r="H4" s="166">
        <f t="shared" ref="H4:H16" si="0">SUM(F4:G4)</f>
        <v>118985</v>
      </c>
      <c r="I4" s="174">
        <f t="shared" ref="I4:I16" si="1">E4+H4</f>
        <v>852691</v>
      </c>
    </row>
    <row r="5" spans="1:9">
      <c r="A5" s="199" t="s">
        <v>149</v>
      </c>
      <c r="B5" s="167"/>
      <c r="C5" s="173">
        <v>22336</v>
      </c>
      <c r="D5" s="186"/>
      <c r="E5" s="202">
        <v>51457241</v>
      </c>
      <c r="F5" s="202">
        <v>-29674257</v>
      </c>
      <c r="G5" s="202">
        <v>33268651</v>
      </c>
      <c r="H5" s="166">
        <f t="shared" si="0"/>
        <v>3594394</v>
      </c>
      <c r="I5" s="174">
        <f t="shared" si="1"/>
        <v>55051635</v>
      </c>
    </row>
    <row r="6" spans="1:9">
      <c r="A6" s="199" t="s">
        <v>150</v>
      </c>
      <c r="B6" s="167"/>
      <c r="C6" s="173">
        <v>9119</v>
      </c>
      <c r="D6" s="186"/>
      <c r="E6" s="202">
        <v>5848044</v>
      </c>
      <c r="F6" s="202">
        <v>-2960541</v>
      </c>
      <c r="G6" s="202">
        <v>3790100</v>
      </c>
      <c r="H6" s="166">
        <f t="shared" si="0"/>
        <v>829559</v>
      </c>
      <c r="I6" s="174">
        <f t="shared" si="1"/>
        <v>6677603</v>
      </c>
    </row>
    <row r="7" spans="1:9">
      <c r="A7" s="199" t="s">
        <v>151</v>
      </c>
      <c r="B7" s="167"/>
      <c r="C7" s="173">
        <v>1850</v>
      </c>
      <c r="D7" s="186"/>
      <c r="E7" s="202">
        <v>122165046</v>
      </c>
      <c r="F7" s="202">
        <v>-73393869</v>
      </c>
      <c r="G7" s="202">
        <v>78918294</v>
      </c>
      <c r="H7" s="166">
        <f t="shared" si="0"/>
        <v>5524425</v>
      </c>
      <c r="I7" s="174">
        <f t="shared" si="1"/>
        <v>127689471</v>
      </c>
    </row>
    <row r="8" spans="1:9">
      <c r="A8" s="199" t="s">
        <v>152</v>
      </c>
      <c r="B8" s="167"/>
      <c r="C8" s="173">
        <v>45</v>
      </c>
      <c r="D8" s="186"/>
      <c r="E8" s="202">
        <v>2944480</v>
      </c>
      <c r="F8" s="202">
        <v>-1686820</v>
      </c>
      <c r="G8" s="202">
        <v>1895050</v>
      </c>
      <c r="H8" s="166">
        <f t="shared" si="0"/>
        <v>208230</v>
      </c>
      <c r="I8" s="174">
        <f t="shared" si="1"/>
        <v>3152710</v>
      </c>
    </row>
    <row r="9" spans="1:9">
      <c r="A9" s="199" t="s">
        <v>153</v>
      </c>
      <c r="B9" s="167"/>
      <c r="C9" s="173">
        <v>22</v>
      </c>
      <c r="D9" s="186"/>
      <c r="E9" s="202">
        <f>95010892-E10</f>
        <v>59469272</v>
      </c>
      <c r="F9" s="202">
        <v>-6387957</v>
      </c>
      <c r="G9" s="202">
        <v>4573701</v>
      </c>
      <c r="H9" s="166">
        <f t="shared" si="0"/>
        <v>-1814256</v>
      </c>
      <c r="I9" s="174">
        <f t="shared" si="1"/>
        <v>57655016</v>
      </c>
    </row>
    <row r="10" spans="1:9">
      <c r="A10" s="199" t="s">
        <v>208</v>
      </c>
      <c r="B10" s="167"/>
      <c r="C10" s="173"/>
      <c r="D10" s="186"/>
      <c r="E10" s="202">
        <v>35541620</v>
      </c>
      <c r="F10" s="202">
        <v>0</v>
      </c>
      <c r="G10" s="202">
        <v>0</v>
      </c>
      <c r="H10" s="166">
        <f t="shared" si="0"/>
        <v>0</v>
      </c>
      <c r="I10" s="174">
        <f t="shared" si="1"/>
        <v>35541620</v>
      </c>
    </row>
    <row r="11" spans="1:9">
      <c r="A11" s="199" t="s">
        <v>209</v>
      </c>
      <c r="B11" s="167"/>
      <c r="C11" s="173">
        <v>31</v>
      </c>
      <c r="D11" s="186"/>
      <c r="E11" s="202">
        <v>-10900</v>
      </c>
      <c r="F11" s="202">
        <v>0</v>
      </c>
      <c r="G11" s="202">
        <v>0</v>
      </c>
      <c r="H11" s="166">
        <f t="shared" si="0"/>
        <v>0</v>
      </c>
      <c r="I11" s="174">
        <f t="shared" si="1"/>
        <v>-10900</v>
      </c>
    </row>
    <row r="12" spans="1:9">
      <c r="A12" s="199" t="s">
        <v>154</v>
      </c>
      <c r="B12" s="167"/>
      <c r="C12" s="173">
        <v>1201</v>
      </c>
      <c r="D12" s="186"/>
      <c r="E12" s="202">
        <v>3550263</v>
      </c>
      <c r="F12" s="202">
        <v>-2099919</v>
      </c>
      <c r="G12" s="202">
        <v>2105611</v>
      </c>
      <c r="H12" s="166">
        <f t="shared" si="0"/>
        <v>5692</v>
      </c>
      <c r="I12" s="174">
        <f t="shared" si="1"/>
        <v>3555955</v>
      </c>
    </row>
    <row r="13" spans="1:9">
      <c r="A13" s="199" t="s">
        <v>155</v>
      </c>
      <c r="B13" s="167"/>
      <c r="C13" s="173">
        <v>1200</v>
      </c>
      <c r="D13" s="186"/>
      <c r="E13" s="202">
        <v>264269</v>
      </c>
      <c r="F13" s="202">
        <v>-137700</v>
      </c>
      <c r="G13" s="202">
        <v>168449</v>
      </c>
      <c r="H13" s="166">
        <f t="shared" si="0"/>
        <v>30749</v>
      </c>
      <c r="I13" s="174">
        <f t="shared" si="1"/>
        <v>295018</v>
      </c>
    </row>
    <row r="14" spans="1:9">
      <c r="A14" s="199" t="s">
        <v>210</v>
      </c>
      <c r="B14" s="167"/>
      <c r="C14" s="173">
        <v>411</v>
      </c>
      <c r="D14" s="186"/>
      <c r="E14" s="202">
        <v>1190227</v>
      </c>
      <c r="F14" s="202"/>
      <c r="G14" s="202"/>
      <c r="H14" s="166"/>
      <c r="I14" s="174">
        <f t="shared" si="1"/>
        <v>1190227</v>
      </c>
    </row>
    <row r="15" spans="1:9">
      <c r="A15" s="199" t="s">
        <v>211</v>
      </c>
      <c r="B15" s="167"/>
      <c r="C15" s="173"/>
      <c r="D15" s="186"/>
      <c r="E15" s="202">
        <v>474171</v>
      </c>
      <c r="F15" s="202"/>
      <c r="G15" s="202"/>
      <c r="H15" s="166">
        <f t="shared" si="0"/>
        <v>0</v>
      </c>
      <c r="I15" s="174">
        <f t="shared" si="1"/>
        <v>474171</v>
      </c>
    </row>
    <row r="16" spans="1:9">
      <c r="A16" s="199" t="s">
        <v>212</v>
      </c>
      <c r="B16" s="167"/>
      <c r="C16" s="173"/>
      <c r="D16" s="216"/>
      <c r="E16" s="202">
        <v>251168</v>
      </c>
      <c r="F16" s="202"/>
      <c r="G16" s="202"/>
      <c r="H16" s="166">
        <f t="shared" si="0"/>
        <v>0</v>
      </c>
      <c r="I16" s="174">
        <f t="shared" si="1"/>
        <v>251168</v>
      </c>
    </row>
    <row r="17" spans="1:9">
      <c r="A17" s="167"/>
      <c r="B17" s="167"/>
      <c r="C17" s="175">
        <f>SUM(C3:C16)</f>
        <v>247777</v>
      </c>
      <c r="E17" s="175">
        <f t="shared" ref="E17:I17" si="2">SUM(E3:E16)</f>
        <v>527918560</v>
      </c>
      <c r="F17" s="175">
        <f t="shared" si="2"/>
        <v>-235657738</v>
      </c>
      <c r="G17" s="175">
        <f t="shared" si="2"/>
        <v>283777698</v>
      </c>
      <c r="H17" s="175">
        <f t="shared" si="2"/>
        <v>48119960</v>
      </c>
      <c r="I17" s="175">
        <f t="shared" si="2"/>
        <v>576038520</v>
      </c>
    </row>
    <row r="18" spans="1:9" ht="15" thickBot="1">
      <c r="A18" s="167"/>
      <c r="B18" s="167"/>
      <c r="C18" s="167"/>
      <c r="E18" s="167"/>
      <c r="F18" s="167"/>
      <c r="G18" s="167"/>
      <c r="I18" s="167"/>
    </row>
    <row r="19" spans="1:9">
      <c r="A19" s="167" t="s">
        <v>19</v>
      </c>
      <c r="B19" s="167"/>
      <c r="C19" s="176">
        <f>C3+C4</f>
        <v>211562</v>
      </c>
      <c r="E19" s="177">
        <f>E3+E4</f>
        <v>244773659</v>
      </c>
      <c r="F19" s="177">
        <f t="shared" ref="F19:I19" si="3">F3+F4</f>
        <v>-119316675</v>
      </c>
      <c r="G19" s="177">
        <f t="shared" si="3"/>
        <v>159057842</v>
      </c>
      <c r="H19" s="177">
        <f t="shared" si="3"/>
        <v>39741167</v>
      </c>
      <c r="I19" s="176">
        <f t="shared" si="3"/>
        <v>284514826</v>
      </c>
    </row>
    <row r="20" spans="1:9">
      <c r="A20" s="167"/>
      <c r="B20" s="167"/>
      <c r="C20" s="178"/>
      <c r="E20" s="167"/>
      <c r="F20" s="167"/>
      <c r="G20" s="167"/>
      <c r="H20" s="167"/>
      <c r="I20" s="178"/>
    </row>
    <row r="21" spans="1:9" ht="15" thickBot="1">
      <c r="A21" s="167" t="s">
        <v>213</v>
      </c>
      <c r="B21" s="167"/>
      <c r="C21" s="195">
        <f>SUM(C5:C8,C11:C13)</f>
        <v>35782</v>
      </c>
      <c r="E21" s="196">
        <f>SUM(E5:E8,E11:E13)</f>
        <v>186218443</v>
      </c>
      <c r="F21" s="196">
        <f t="shared" ref="F21:H21" si="4">SUM(F5:F8,F11:F13)</f>
        <v>-109953106</v>
      </c>
      <c r="G21" s="196">
        <f t="shared" si="4"/>
        <v>120146155</v>
      </c>
      <c r="H21" s="196">
        <f t="shared" si="4"/>
        <v>10193049</v>
      </c>
      <c r="I21" s="195">
        <f>SUM(I5:I8,I11:I13)</f>
        <v>196411492</v>
      </c>
    </row>
    <row r="22" spans="1:9">
      <c r="A22" s="167"/>
      <c r="B22" s="167"/>
      <c r="C22" s="167"/>
      <c r="D22" s="167"/>
      <c r="E22" s="167"/>
    </row>
    <row r="23" spans="1:9" ht="40.200000000000003">
      <c r="A23" s="168"/>
      <c r="B23" s="179"/>
      <c r="C23" s="189" t="s">
        <v>214</v>
      </c>
      <c r="D23" s="189" t="s">
        <v>215</v>
      </c>
      <c r="E23" s="171" t="s">
        <v>216</v>
      </c>
      <c r="F23" s="171" t="s">
        <v>217</v>
      </c>
      <c r="G23" s="171" t="s">
        <v>218</v>
      </c>
      <c r="H23" s="171" t="s">
        <v>219</v>
      </c>
      <c r="I23" s="171" t="s">
        <v>220</v>
      </c>
    </row>
    <row r="24" spans="1:9">
      <c r="A24" s="199" t="s">
        <v>148</v>
      </c>
      <c r="B24" s="167"/>
      <c r="C24" s="200">
        <v>1831977</v>
      </c>
      <c r="D24" s="200">
        <v>21687836.09</v>
      </c>
      <c r="E24" s="203">
        <v>-11087698</v>
      </c>
      <c r="F24" s="203">
        <v>14781254</v>
      </c>
      <c r="G24" s="191">
        <f>SUM(D24:F24)</f>
        <v>25381392.09</v>
      </c>
      <c r="H24" s="191">
        <f>-J64</f>
        <v>-212374.89551999999</v>
      </c>
      <c r="I24" s="191">
        <f>SUM(G24:H24)</f>
        <v>25169017.194479998</v>
      </c>
    </row>
    <row r="25" spans="1:9">
      <c r="A25" s="199" t="s">
        <v>207</v>
      </c>
      <c r="B25" s="167"/>
      <c r="C25" s="200">
        <v>4326.5</v>
      </c>
      <c r="D25" s="200">
        <v>65287.07</v>
      </c>
      <c r="E25" s="203">
        <v>-20722</v>
      </c>
      <c r="F25" s="203">
        <v>28026</v>
      </c>
      <c r="G25" s="191">
        <f t="shared" ref="G25:G33" si="5">SUM(D25:F25)</f>
        <v>72591.070000000007</v>
      </c>
      <c r="H25" s="191">
        <f t="shared" ref="H25:H33" si="6">-J65</f>
        <v>3113.8374500000004</v>
      </c>
      <c r="I25" s="191">
        <f t="shared" ref="I25:I34" si="7">SUM(G25:H25)</f>
        <v>75704.907450000013</v>
      </c>
    </row>
    <row r="26" spans="1:9">
      <c r="A26" s="199" t="s">
        <v>149</v>
      </c>
      <c r="B26" s="167"/>
      <c r="C26" s="200">
        <v>409179.85</v>
      </c>
      <c r="D26" s="200">
        <v>5908232.1200000001</v>
      </c>
      <c r="E26" s="203">
        <v>-3443258</v>
      </c>
      <c r="F26" s="203">
        <v>3797481</v>
      </c>
      <c r="G26" s="191">
        <f t="shared" si="5"/>
        <v>6262455.1200000001</v>
      </c>
      <c r="H26" s="191">
        <f t="shared" si="6"/>
        <v>-11645.83656</v>
      </c>
      <c r="I26" s="191">
        <f t="shared" si="7"/>
        <v>6250809.2834400004</v>
      </c>
    </row>
    <row r="27" spans="1:9">
      <c r="A27" s="199" t="s">
        <v>150</v>
      </c>
      <c r="B27" s="167"/>
      <c r="C27" s="200">
        <v>165756.92000000001</v>
      </c>
      <c r="D27" s="200">
        <v>806754.97</v>
      </c>
      <c r="E27" s="203">
        <v>-428617</v>
      </c>
      <c r="F27" s="203">
        <v>512529</v>
      </c>
      <c r="G27" s="191">
        <f t="shared" si="5"/>
        <v>890666.97</v>
      </c>
      <c r="H27" s="191">
        <f t="shared" si="6"/>
        <v>-2264.69607</v>
      </c>
      <c r="I27" s="191">
        <f t="shared" si="7"/>
        <v>888402.27393000002</v>
      </c>
    </row>
    <row r="28" spans="1:9">
      <c r="A28" s="199" t="s">
        <v>151</v>
      </c>
      <c r="B28" s="167"/>
      <c r="C28" s="200">
        <v>928416.67</v>
      </c>
      <c r="D28" s="200">
        <v>10801638.810000001</v>
      </c>
      <c r="E28" s="203">
        <v>-5827934</v>
      </c>
      <c r="F28" s="203">
        <v>6185816</v>
      </c>
      <c r="G28" s="191">
        <f t="shared" si="5"/>
        <v>11159520.810000001</v>
      </c>
      <c r="H28" s="191">
        <f t="shared" si="6"/>
        <v>-10827.873</v>
      </c>
      <c r="I28" s="191">
        <f t="shared" si="7"/>
        <v>11148692.937000001</v>
      </c>
    </row>
    <row r="29" spans="1:9">
      <c r="A29" s="199" t="s">
        <v>152</v>
      </c>
      <c r="B29" s="167"/>
      <c r="C29" s="200">
        <v>23000</v>
      </c>
      <c r="D29" s="200">
        <v>257735.06</v>
      </c>
      <c r="E29" s="203">
        <v>-136311</v>
      </c>
      <c r="F29" s="203">
        <v>149324</v>
      </c>
      <c r="G29" s="191">
        <f t="shared" si="5"/>
        <v>270748.06</v>
      </c>
      <c r="H29" s="191">
        <f t="shared" si="6"/>
        <v>-301.93349999999992</v>
      </c>
      <c r="I29" s="191">
        <f t="shared" si="7"/>
        <v>270446.12650000001</v>
      </c>
    </row>
    <row r="30" spans="1:9">
      <c r="A30" s="199" t="s">
        <v>153</v>
      </c>
      <c r="B30" s="167"/>
      <c r="C30" s="200">
        <v>462000</v>
      </c>
      <c r="D30" s="200">
        <f>5572793.44-85034.6</f>
        <v>5487758.8400000008</v>
      </c>
      <c r="E30" s="203">
        <v>-414836</v>
      </c>
      <c r="F30" s="203">
        <v>300179</v>
      </c>
      <c r="G30" s="191">
        <f t="shared" si="5"/>
        <v>5373101.8400000008</v>
      </c>
      <c r="H30" s="191">
        <f t="shared" si="6"/>
        <v>3664.7971199999997</v>
      </c>
      <c r="I30" s="191">
        <f t="shared" si="7"/>
        <v>5376766.637120001</v>
      </c>
    </row>
    <row r="31" spans="1:9">
      <c r="A31" s="199" t="s">
        <v>209</v>
      </c>
      <c r="B31" s="167"/>
      <c r="C31" s="200">
        <v>558</v>
      </c>
      <c r="D31" s="200">
        <v>-185.19</v>
      </c>
      <c r="E31" s="203">
        <v>0</v>
      </c>
      <c r="F31" s="203">
        <v>0</v>
      </c>
      <c r="G31" s="191">
        <f t="shared" si="5"/>
        <v>-185.19</v>
      </c>
      <c r="H31" s="191">
        <f t="shared" si="6"/>
        <v>0</v>
      </c>
      <c r="I31" s="191">
        <f t="shared" si="7"/>
        <v>-185.19</v>
      </c>
    </row>
    <row r="32" spans="1:9">
      <c r="A32" s="199" t="s">
        <v>154</v>
      </c>
      <c r="B32" s="167"/>
      <c r="C32" s="200">
        <v>24378.38</v>
      </c>
      <c r="D32" s="200">
        <v>318730.84999999998</v>
      </c>
      <c r="E32" s="203">
        <v>-187901</v>
      </c>
      <c r="F32" s="203">
        <v>183013</v>
      </c>
      <c r="G32" s="191">
        <f t="shared" si="5"/>
        <v>313842.84999999998</v>
      </c>
      <c r="H32" s="191">
        <f t="shared" si="6"/>
        <v>-17.531359999999996</v>
      </c>
      <c r="I32" s="191">
        <f t="shared" si="7"/>
        <v>313825.31863999995</v>
      </c>
    </row>
    <row r="33" spans="1:9">
      <c r="A33" s="199" t="s">
        <v>155</v>
      </c>
      <c r="B33" s="167"/>
      <c r="C33" s="200">
        <v>21954</v>
      </c>
      <c r="D33" s="200">
        <v>44529.78</v>
      </c>
      <c r="E33" s="203">
        <v>-23302</v>
      </c>
      <c r="F33" s="203">
        <v>24762</v>
      </c>
      <c r="G33" s="191">
        <f t="shared" si="5"/>
        <v>45989.78</v>
      </c>
      <c r="H33" s="191">
        <f t="shared" si="6"/>
        <v>-86.567359999999994</v>
      </c>
      <c r="I33" s="191">
        <f t="shared" si="7"/>
        <v>45903.212639999998</v>
      </c>
    </row>
    <row r="34" spans="1:9">
      <c r="A34" s="199" t="s">
        <v>221</v>
      </c>
      <c r="B34" s="167"/>
      <c r="C34" s="191"/>
      <c r="D34" s="200">
        <v>563906.81999999995</v>
      </c>
      <c r="E34" s="200"/>
      <c r="F34" s="200"/>
      <c r="G34" s="191">
        <f>SUM(D34:F34)</f>
        <v>563906.81999999995</v>
      </c>
      <c r="H34" s="191"/>
      <c r="I34" s="191">
        <f t="shared" si="7"/>
        <v>563906.81999999995</v>
      </c>
    </row>
    <row r="35" spans="1:9">
      <c r="A35" s="199" t="s">
        <v>222</v>
      </c>
      <c r="B35" s="167"/>
      <c r="C35" s="186"/>
      <c r="D35" s="200">
        <v>1916670.61</v>
      </c>
      <c r="E35" s="200"/>
      <c r="F35" s="200"/>
      <c r="G35" s="191"/>
      <c r="H35" s="191"/>
      <c r="I35" s="191"/>
    </row>
    <row r="36" spans="1:9">
      <c r="A36" s="199" t="s">
        <v>223</v>
      </c>
      <c r="B36" s="167"/>
      <c r="C36" s="186"/>
      <c r="D36" s="200">
        <v>1749376.03</v>
      </c>
      <c r="E36" s="200"/>
      <c r="F36" s="200"/>
      <c r="G36" s="191"/>
      <c r="H36" s="191"/>
      <c r="I36" s="191"/>
    </row>
    <row r="37" spans="1:9">
      <c r="A37" s="167"/>
      <c r="B37" s="167"/>
      <c r="C37" s="181">
        <f>SUM(C24:C36)</f>
        <v>3871547.32</v>
      </c>
      <c r="D37" s="181">
        <f t="shared" ref="D37:I37" si="8">SUM(D24:D36)</f>
        <v>49608271.860000014</v>
      </c>
      <c r="E37" s="181">
        <f t="shared" si="8"/>
        <v>-21570579</v>
      </c>
      <c r="F37" s="181">
        <f t="shared" si="8"/>
        <v>25962384</v>
      </c>
      <c r="G37" s="181">
        <f t="shared" si="8"/>
        <v>50334030.220000014</v>
      </c>
      <c r="H37" s="181">
        <f t="shared" si="8"/>
        <v>-230740.69879999998</v>
      </c>
      <c r="I37" s="181">
        <f t="shared" si="8"/>
        <v>50103289.521200009</v>
      </c>
    </row>
    <row r="38" spans="1:9" ht="15" thickBot="1">
      <c r="A38" s="167"/>
      <c r="B38" s="167"/>
      <c r="D38" s="182"/>
      <c r="E38" s="167"/>
      <c r="F38" s="167"/>
    </row>
    <row r="39" spans="1:9">
      <c r="A39" s="167" t="s">
        <v>19</v>
      </c>
      <c r="B39" s="167"/>
      <c r="C39" s="184">
        <f>C24+C25</f>
        <v>1836303.5</v>
      </c>
      <c r="D39" s="183">
        <f t="shared" ref="D39:I39" si="9">D24+D25</f>
        <v>21753123.16</v>
      </c>
      <c r="E39" s="183">
        <f t="shared" si="9"/>
        <v>-11108420</v>
      </c>
      <c r="F39" s="183">
        <f t="shared" si="9"/>
        <v>14809280</v>
      </c>
      <c r="G39" s="183">
        <f t="shared" si="9"/>
        <v>25453983.16</v>
      </c>
      <c r="H39" s="183">
        <f t="shared" si="9"/>
        <v>-209261.05807</v>
      </c>
      <c r="I39" s="184">
        <f t="shared" si="9"/>
        <v>25244722.10193</v>
      </c>
    </row>
    <row r="40" spans="1:9">
      <c r="A40" s="167"/>
      <c r="B40" s="167"/>
      <c r="C40" s="190"/>
      <c r="D40" s="183"/>
      <c r="E40" s="167"/>
      <c r="F40" s="167"/>
      <c r="I40" s="185"/>
    </row>
    <row r="41" spans="1:9" ht="15" thickBot="1">
      <c r="A41" s="167" t="s">
        <v>213</v>
      </c>
      <c r="B41" s="167"/>
      <c r="C41" s="193">
        <f>SUM(C26:C29,C31:C33)</f>
        <v>1573243.8199999998</v>
      </c>
      <c r="D41" s="194">
        <f t="shared" ref="D41:I41" si="10">SUM(D26:D29,D31:D33)</f>
        <v>18137436.399999999</v>
      </c>
      <c r="E41" s="194">
        <f t="shared" si="10"/>
        <v>-10047323</v>
      </c>
      <c r="F41" s="194">
        <f t="shared" si="10"/>
        <v>10852925</v>
      </c>
      <c r="G41" s="194">
        <f t="shared" si="10"/>
        <v>18943038.399999999</v>
      </c>
      <c r="H41" s="194">
        <f t="shared" si="10"/>
        <v>-25144.437850000002</v>
      </c>
      <c r="I41" s="193">
        <f t="shared" si="10"/>
        <v>18917893.96215</v>
      </c>
    </row>
    <row r="42" spans="1:9">
      <c r="A42" s="167"/>
      <c r="B42" s="167"/>
      <c r="C42" s="218"/>
      <c r="D42" s="194"/>
      <c r="E42" s="194"/>
      <c r="F42" s="194"/>
      <c r="G42" s="194"/>
      <c r="H42" s="194"/>
      <c r="I42" s="218"/>
    </row>
    <row r="43" spans="1:9">
      <c r="A43" s="167"/>
      <c r="B43" s="167"/>
      <c r="C43" s="218"/>
      <c r="D43" s="194"/>
      <c r="E43" s="194"/>
      <c r="F43" s="194"/>
      <c r="G43" s="194"/>
      <c r="H43" s="194"/>
      <c r="I43" s="218"/>
    </row>
    <row r="44" spans="1:9">
      <c r="A44" s="167"/>
      <c r="B44" s="167"/>
      <c r="C44" s="218"/>
      <c r="D44" s="194"/>
      <c r="E44" s="194"/>
      <c r="F44" s="194"/>
      <c r="G44" s="194"/>
      <c r="H44" s="194"/>
      <c r="I44" s="218"/>
    </row>
    <row r="45" spans="1:9">
      <c r="A45" s="167"/>
      <c r="B45" s="167"/>
      <c r="C45" s="167"/>
    </row>
    <row r="46" spans="1:9">
      <c r="A46" s="172"/>
      <c r="D46" s="167"/>
      <c r="E46" s="105"/>
      <c r="I46" s="105"/>
    </row>
    <row r="47" spans="1:9">
      <c r="C47" s="188">
        <v>42675</v>
      </c>
      <c r="D47" s="188">
        <v>42278</v>
      </c>
      <c r="E47" s="164">
        <v>42583</v>
      </c>
      <c r="F47" s="164">
        <v>42644</v>
      </c>
      <c r="G47" s="164">
        <v>42380</v>
      </c>
      <c r="H47" s="164">
        <v>42552</v>
      </c>
      <c r="I47" s="164">
        <v>42675</v>
      </c>
    </row>
    <row r="48" spans="1:9" ht="27">
      <c r="A48" s="197" t="s">
        <v>224</v>
      </c>
      <c r="B48" s="169"/>
      <c r="C48" s="180" t="s">
        <v>251</v>
      </c>
      <c r="D48" s="180" t="s">
        <v>226</v>
      </c>
      <c r="E48" s="180" t="s">
        <v>227</v>
      </c>
      <c r="F48" s="180" t="s">
        <v>228</v>
      </c>
      <c r="G48" s="180" t="s">
        <v>229</v>
      </c>
      <c r="H48" s="180" t="s">
        <v>230</v>
      </c>
      <c r="I48" s="180" t="s">
        <v>225</v>
      </c>
    </row>
    <row r="49" spans="1:13">
      <c r="A49" s="199" t="s">
        <v>148</v>
      </c>
      <c r="B49" s="167"/>
      <c r="C49" s="187">
        <v>2.63E-3</v>
      </c>
      <c r="D49" s="187"/>
      <c r="E49" s="187">
        <v>2.6199999999999999E-3</v>
      </c>
      <c r="F49" s="187">
        <v>9.7000000000000005E-4</v>
      </c>
      <c r="G49" s="187">
        <v>0</v>
      </c>
      <c r="H49" s="187">
        <v>-3.5E-4</v>
      </c>
      <c r="I49" s="187">
        <v>-5.1000000000000004E-4</v>
      </c>
    </row>
    <row r="50" spans="1:13">
      <c r="A50" s="199" t="s">
        <v>207</v>
      </c>
      <c r="B50" s="167"/>
      <c r="C50" s="187">
        <v>2.63E-3</v>
      </c>
      <c r="D50" s="187">
        <v>-3.1530000000000002E-2</v>
      </c>
      <c r="E50" s="187">
        <v>2.6199999999999999E-3</v>
      </c>
      <c r="F50" s="187">
        <v>9.7000000000000005E-4</v>
      </c>
      <c r="G50" s="187">
        <v>0</v>
      </c>
      <c r="H50" s="187">
        <v>-3.5E-4</v>
      </c>
      <c r="I50" s="187">
        <v>-5.1000000000000004E-4</v>
      </c>
    </row>
    <row r="51" spans="1:13">
      <c r="A51" s="199" t="s">
        <v>149</v>
      </c>
      <c r="B51" s="167"/>
      <c r="C51" s="187">
        <v>-1.4300000000000001E-3</v>
      </c>
      <c r="D51" s="187"/>
      <c r="E51" s="187">
        <v>3.62E-3</v>
      </c>
      <c r="F51" s="187">
        <v>1.41E-3</v>
      </c>
      <c r="G51" s="187">
        <v>0</v>
      </c>
      <c r="H51" s="187">
        <v>-3.6000000000000002E-4</v>
      </c>
      <c r="I51" s="187"/>
    </row>
    <row r="52" spans="1:13">
      <c r="A52" s="199" t="s">
        <v>150</v>
      </c>
      <c r="B52" s="167"/>
      <c r="C52" s="187">
        <v>-1.4300000000000001E-3</v>
      </c>
      <c r="D52" s="187"/>
      <c r="E52" s="187">
        <v>3.62E-3</v>
      </c>
      <c r="F52" s="187">
        <v>1.41E-3</v>
      </c>
      <c r="G52" s="187">
        <v>0</v>
      </c>
      <c r="H52" s="187">
        <v>-3.6000000000000002E-4</v>
      </c>
      <c r="I52" s="187">
        <v>-5.1000000000000004E-4</v>
      </c>
    </row>
    <row r="53" spans="1:13">
      <c r="A53" s="199" t="s">
        <v>151</v>
      </c>
      <c r="B53" s="167"/>
      <c r="C53" s="187">
        <v>-1.4300000000000001E-3</v>
      </c>
      <c r="D53" s="187"/>
      <c r="E53" s="187">
        <v>2.7299999999999998E-3</v>
      </c>
      <c r="F53" s="187">
        <v>1.0200000000000001E-3</v>
      </c>
      <c r="G53" s="187">
        <v>0</v>
      </c>
      <c r="H53" s="187">
        <v>-3.6000000000000002E-4</v>
      </c>
      <c r="I53" s="187"/>
    </row>
    <row r="54" spans="1:13">
      <c r="A54" s="199" t="s">
        <v>152</v>
      </c>
      <c r="B54" s="167"/>
      <c r="C54" s="187">
        <v>-1.4300000000000001E-3</v>
      </c>
      <c r="D54" s="187"/>
      <c r="E54" s="187">
        <v>2.7299999999999998E-3</v>
      </c>
      <c r="F54" s="187">
        <v>1.0200000000000001E-3</v>
      </c>
      <c r="G54" s="187">
        <v>0</v>
      </c>
      <c r="H54" s="187">
        <v>-3.6000000000000002E-4</v>
      </c>
      <c r="I54" s="187">
        <v>-5.1000000000000004E-4</v>
      </c>
    </row>
    <row r="55" spans="1:13">
      <c r="A55" s="199" t="s">
        <v>153</v>
      </c>
      <c r="B55" s="167"/>
      <c r="C55" s="187"/>
      <c r="D55" s="187"/>
      <c r="E55" s="187">
        <v>1.72E-3</v>
      </c>
      <c r="F55" s="187">
        <v>6.4000000000000005E-4</v>
      </c>
      <c r="G55" s="187">
        <v>0</v>
      </c>
      <c r="H55" s="187">
        <v>-3.4000000000000002E-4</v>
      </c>
      <c r="I55" s="187"/>
    </row>
    <row r="56" spans="1:13">
      <c r="A56" s="199" t="s">
        <v>208</v>
      </c>
      <c r="B56" s="167"/>
      <c r="C56" s="187"/>
      <c r="D56" s="187"/>
      <c r="E56" s="187">
        <v>1.72E-3</v>
      </c>
      <c r="F56" s="187">
        <v>0</v>
      </c>
      <c r="G56" s="187">
        <v>0</v>
      </c>
      <c r="H56" s="187">
        <v>-3.4000000000000002E-4</v>
      </c>
      <c r="I56" s="187"/>
    </row>
    <row r="57" spans="1:13">
      <c r="A57" s="199" t="s">
        <v>209</v>
      </c>
      <c r="B57" s="167"/>
      <c r="C57" s="187">
        <v>-1.4300000000000001E-3</v>
      </c>
      <c r="D57" s="187"/>
      <c r="E57" s="187">
        <v>2.6099999999999999E-3</v>
      </c>
      <c r="F57" s="187">
        <v>8.8999999999999995E-4</v>
      </c>
      <c r="G57" s="187">
        <v>0</v>
      </c>
      <c r="H57" s="187">
        <v>-4.2000000000000002E-4</v>
      </c>
      <c r="I57" s="187"/>
    </row>
    <row r="58" spans="1:13">
      <c r="A58" s="199" t="s">
        <v>154</v>
      </c>
      <c r="B58" s="167"/>
      <c r="C58" s="187">
        <v>-1.4300000000000001E-3</v>
      </c>
      <c r="D58" s="187"/>
      <c r="E58" s="187">
        <v>2.6099999999999999E-3</v>
      </c>
      <c r="F58" s="187">
        <v>8.8999999999999995E-4</v>
      </c>
      <c r="G58" s="187">
        <v>0</v>
      </c>
      <c r="H58" s="187">
        <v>-4.2000000000000002E-4</v>
      </c>
      <c r="I58" s="187"/>
    </row>
    <row r="59" spans="1:13">
      <c r="A59" s="199" t="s">
        <v>155</v>
      </c>
      <c r="B59" s="167"/>
      <c r="C59" s="187">
        <v>-1.4300000000000001E-3</v>
      </c>
      <c r="D59" s="187"/>
      <c r="E59" s="187">
        <v>2.6099999999999999E-3</v>
      </c>
      <c r="F59" s="187">
        <v>8.8999999999999995E-4</v>
      </c>
      <c r="G59" s="187">
        <v>0</v>
      </c>
      <c r="H59" s="187">
        <v>-4.2000000000000002E-4</v>
      </c>
      <c r="I59" s="187">
        <v>-5.1000000000000004E-4</v>
      </c>
    </row>
    <row r="60" spans="1:13" ht="14.4" customHeight="1">
      <c r="A60" s="199" t="s">
        <v>221</v>
      </c>
      <c r="B60" s="167"/>
      <c r="C60" s="187"/>
      <c r="D60" s="187"/>
      <c r="E60" s="214">
        <v>8.6199999999999992E-3</v>
      </c>
      <c r="F60" s="233" t="s">
        <v>241</v>
      </c>
      <c r="G60" s="187">
        <v>0</v>
      </c>
      <c r="H60" s="208">
        <v>-3.6999999999999999E-4</v>
      </c>
      <c r="I60" s="233"/>
    </row>
    <row r="61" spans="1:13">
      <c r="A61" s="199" t="s">
        <v>212</v>
      </c>
      <c r="B61" s="167"/>
      <c r="C61" s="187"/>
      <c r="D61" s="187"/>
      <c r="E61" s="214">
        <v>8.6199999999999992E-3</v>
      </c>
      <c r="F61" s="233"/>
      <c r="G61" s="187">
        <v>0</v>
      </c>
      <c r="H61" s="208">
        <v>-3.6999999999999999E-4</v>
      </c>
      <c r="I61" s="233"/>
    </row>
    <row r="62" spans="1:13">
      <c r="E62" s="167"/>
    </row>
    <row r="63" spans="1:13" ht="40.200000000000003">
      <c r="A63" s="197" t="s">
        <v>233</v>
      </c>
      <c r="B63" s="169"/>
      <c r="C63" s="189" t="s">
        <v>240</v>
      </c>
      <c r="D63" s="189" t="s">
        <v>251</v>
      </c>
      <c r="E63" s="189" t="s">
        <v>234</v>
      </c>
      <c r="F63" s="189" t="s">
        <v>235</v>
      </c>
      <c r="G63" s="189" t="s">
        <v>236</v>
      </c>
      <c r="H63" s="189" t="s">
        <v>237</v>
      </c>
      <c r="I63" s="189" t="s">
        <v>238</v>
      </c>
      <c r="J63" s="189" t="s">
        <v>239</v>
      </c>
      <c r="M63" s="219"/>
    </row>
    <row r="64" spans="1:13">
      <c r="A64" s="199" t="s">
        <v>148</v>
      </c>
      <c r="C64" s="183">
        <f>I49*H3</f>
        <v>-20207.312820000003</v>
      </c>
      <c r="D64" s="183">
        <f>$H3*C49</f>
        <v>104206.33865999999</v>
      </c>
      <c r="E64" s="183">
        <f t="shared" ref="E64:I69" si="11">$H3*D49</f>
        <v>0</v>
      </c>
      <c r="F64" s="183">
        <f>$H3*E49</f>
        <v>103810.11684</v>
      </c>
      <c r="G64" s="183">
        <f t="shared" si="11"/>
        <v>38433.516540000004</v>
      </c>
      <c r="H64" s="183">
        <f t="shared" si="11"/>
        <v>0</v>
      </c>
      <c r="I64" s="183">
        <f t="shared" si="11"/>
        <v>-13867.7637</v>
      </c>
      <c r="J64" s="183">
        <f>SUM(C64:I64)</f>
        <v>212374.89551999999</v>
      </c>
      <c r="M64" s="183"/>
    </row>
    <row r="65" spans="1:13">
      <c r="A65" s="199" t="s">
        <v>207</v>
      </c>
      <c r="C65" s="183">
        <f>(I50*H4)</f>
        <v>-60.682350000000007</v>
      </c>
      <c r="D65" s="183">
        <f>$H4*C50</f>
        <v>312.93054999999998</v>
      </c>
      <c r="E65" s="183">
        <f t="shared" si="11"/>
        <v>-3751.5970500000003</v>
      </c>
      <c r="F65" s="183">
        <f t="shared" si="11"/>
        <v>311.7407</v>
      </c>
      <c r="G65" s="183">
        <f t="shared" si="11"/>
        <v>115.41545000000001</v>
      </c>
      <c r="H65" s="183">
        <f t="shared" si="11"/>
        <v>0</v>
      </c>
      <c r="I65" s="183">
        <f t="shared" si="11"/>
        <v>-41.644750000000002</v>
      </c>
      <c r="J65" s="183">
        <f t="shared" ref="J65:J74" si="12">SUM(C65:I65)</f>
        <v>-3113.8374500000004</v>
      </c>
      <c r="M65" s="183"/>
    </row>
    <row r="66" spans="1:13">
      <c r="A66" s="199" t="s">
        <v>149</v>
      </c>
      <c r="C66" s="183">
        <f t="shared" ref="C66" si="13">I51*H5</f>
        <v>0</v>
      </c>
      <c r="D66" s="183">
        <f t="shared" ref="D66:D74" si="14">$H5*C51</f>
        <v>-5139.9834200000005</v>
      </c>
      <c r="E66" s="183">
        <f t="shared" si="11"/>
        <v>0</v>
      </c>
      <c r="F66" s="183">
        <f t="shared" si="11"/>
        <v>13011.70628</v>
      </c>
      <c r="G66" s="183">
        <f t="shared" si="11"/>
        <v>5068.0955400000003</v>
      </c>
      <c r="H66" s="183">
        <f t="shared" si="11"/>
        <v>0</v>
      </c>
      <c r="I66" s="183">
        <f t="shared" si="11"/>
        <v>-1293.9818400000001</v>
      </c>
      <c r="J66" s="183">
        <f t="shared" si="12"/>
        <v>11645.83656</v>
      </c>
      <c r="M66" s="183"/>
    </row>
    <row r="67" spans="1:13">
      <c r="A67" s="199" t="s">
        <v>150</v>
      </c>
      <c r="C67" s="183">
        <f t="shared" ref="C67" si="15">(I52*H6)</f>
        <v>-423.07509000000005</v>
      </c>
      <c r="D67" s="183">
        <f t="shared" si="14"/>
        <v>-1186.26937</v>
      </c>
      <c r="E67" s="183">
        <f t="shared" si="11"/>
        <v>0</v>
      </c>
      <c r="F67" s="183">
        <f t="shared" si="11"/>
        <v>3003.0035800000001</v>
      </c>
      <c r="G67" s="183">
        <f t="shared" si="11"/>
        <v>1169.6781900000001</v>
      </c>
      <c r="H67" s="183">
        <f t="shared" si="11"/>
        <v>0</v>
      </c>
      <c r="I67" s="183">
        <f t="shared" si="11"/>
        <v>-298.64124000000004</v>
      </c>
      <c r="J67" s="183">
        <f t="shared" si="12"/>
        <v>2264.69607</v>
      </c>
      <c r="M67" s="183"/>
    </row>
    <row r="68" spans="1:13">
      <c r="A68" s="199" t="s">
        <v>151</v>
      </c>
      <c r="C68" s="183">
        <f t="shared" ref="C68" si="16">I53*H7</f>
        <v>0</v>
      </c>
      <c r="D68" s="183">
        <f t="shared" si="14"/>
        <v>-7899.9277500000007</v>
      </c>
      <c r="E68" s="183">
        <f t="shared" si="11"/>
        <v>0</v>
      </c>
      <c r="F68" s="183">
        <f t="shared" si="11"/>
        <v>15081.680249999999</v>
      </c>
      <c r="G68" s="183">
        <f t="shared" si="11"/>
        <v>5634.9135000000006</v>
      </c>
      <c r="H68" s="183">
        <f t="shared" si="11"/>
        <v>0</v>
      </c>
      <c r="I68" s="183">
        <f t="shared" si="11"/>
        <v>-1988.7930000000001</v>
      </c>
      <c r="J68" s="183">
        <f t="shared" si="12"/>
        <v>10827.873</v>
      </c>
      <c r="M68" s="183"/>
    </row>
    <row r="69" spans="1:13">
      <c r="A69" s="199" t="s">
        <v>152</v>
      </c>
      <c r="C69" s="183">
        <f t="shared" ref="C69" si="17">(I54*H8)</f>
        <v>-106.19730000000001</v>
      </c>
      <c r="D69" s="183">
        <f t="shared" si="14"/>
        <v>-297.76890000000003</v>
      </c>
      <c r="E69" s="183">
        <f t="shared" si="11"/>
        <v>0</v>
      </c>
      <c r="F69" s="183">
        <f t="shared" si="11"/>
        <v>568.46789999999999</v>
      </c>
      <c r="G69" s="183">
        <f t="shared" si="11"/>
        <v>212.39460000000003</v>
      </c>
      <c r="H69" s="183">
        <f t="shared" si="11"/>
        <v>0</v>
      </c>
      <c r="I69" s="183">
        <f t="shared" si="11"/>
        <v>-74.962800000000001</v>
      </c>
      <c r="J69" s="183">
        <f t="shared" si="12"/>
        <v>301.93349999999992</v>
      </c>
      <c r="M69" s="183"/>
    </row>
    <row r="70" spans="1:13">
      <c r="A70" s="199" t="s">
        <v>153</v>
      </c>
      <c r="C70" s="183">
        <f t="shared" ref="C70" si="18">I55*H9</f>
        <v>0</v>
      </c>
      <c r="D70" s="183">
        <f t="shared" si="14"/>
        <v>0</v>
      </c>
      <c r="E70" s="183">
        <f>$H9*D55+$H10*D56</f>
        <v>0</v>
      </c>
      <c r="F70" s="183">
        <f>$H9*E55+$H10*E56</f>
        <v>-3120.5203200000001</v>
      </c>
      <c r="G70" s="183">
        <f>$H9*F55+$H10*F56</f>
        <v>-1161.1238400000002</v>
      </c>
      <c r="H70" s="183">
        <f>$H9*G55+$H10*G56</f>
        <v>0</v>
      </c>
      <c r="I70" s="183">
        <f>$H9*H55+$H10*H56</f>
        <v>616.84703999999999</v>
      </c>
      <c r="J70" s="183">
        <f t="shared" si="12"/>
        <v>-3664.7971199999997</v>
      </c>
      <c r="M70" s="183"/>
    </row>
    <row r="71" spans="1:13">
      <c r="A71" s="199" t="s">
        <v>209</v>
      </c>
      <c r="C71" s="183">
        <f t="shared" ref="C71" si="19">(I56*H10)</f>
        <v>0</v>
      </c>
      <c r="D71" s="183">
        <f t="shared" si="14"/>
        <v>0</v>
      </c>
      <c r="E71" s="183">
        <f t="shared" ref="E71:I73" si="20">$H11*D57</f>
        <v>0</v>
      </c>
      <c r="F71" s="183">
        <f t="shared" si="20"/>
        <v>0</v>
      </c>
      <c r="G71" s="183">
        <f t="shared" si="20"/>
        <v>0</v>
      </c>
      <c r="H71" s="183">
        <f t="shared" si="20"/>
        <v>0</v>
      </c>
      <c r="I71" s="183">
        <f t="shared" si="20"/>
        <v>0</v>
      </c>
      <c r="J71" s="183">
        <f t="shared" si="12"/>
        <v>0</v>
      </c>
      <c r="M71" s="183"/>
    </row>
    <row r="72" spans="1:13">
      <c r="A72" s="199" t="s">
        <v>154</v>
      </c>
      <c r="C72" s="183">
        <f t="shared" ref="C72" si="21">I57*H11</f>
        <v>0</v>
      </c>
      <c r="D72" s="183">
        <f t="shared" si="14"/>
        <v>0</v>
      </c>
      <c r="E72" s="183">
        <f t="shared" si="20"/>
        <v>0</v>
      </c>
      <c r="F72" s="183">
        <f t="shared" si="20"/>
        <v>14.856119999999999</v>
      </c>
      <c r="G72" s="183">
        <f t="shared" si="20"/>
        <v>5.0658799999999999</v>
      </c>
      <c r="H72" s="183">
        <f t="shared" si="20"/>
        <v>0</v>
      </c>
      <c r="I72" s="183">
        <f t="shared" si="20"/>
        <v>-2.3906400000000003</v>
      </c>
      <c r="J72" s="183">
        <f t="shared" si="12"/>
        <v>17.531359999999996</v>
      </c>
      <c r="M72" s="183"/>
    </row>
    <row r="73" spans="1:13">
      <c r="A73" s="199" t="s">
        <v>155</v>
      </c>
      <c r="C73" s="183">
        <f t="shared" ref="C73" si="22">(I58*H12)</f>
        <v>0</v>
      </c>
      <c r="D73" s="183">
        <f t="shared" si="14"/>
        <v>-8.1395600000000012</v>
      </c>
      <c r="E73" s="183">
        <f t="shared" si="20"/>
        <v>0</v>
      </c>
      <c r="F73" s="183">
        <f t="shared" si="20"/>
        <v>80.254890000000003</v>
      </c>
      <c r="G73" s="183">
        <f t="shared" si="20"/>
        <v>27.366609999999998</v>
      </c>
      <c r="H73" s="183">
        <f t="shared" si="20"/>
        <v>0</v>
      </c>
      <c r="I73" s="183">
        <f t="shared" si="20"/>
        <v>-12.914580000000001</v>
      </c>
      <c r="J73" s="183">
        <f t="shared" si="12"/>
        <v>86.567359999999994</v>
      </c>
      <c r="M73" s="183"/>
    </row>
    <row r="74" spans="1:13">
      <c r="A74" s="199" t="s">
        <v>221</v>
      </c>
      <c r="C74" s="183">
        <f t="shared" ref="C74" si="23">I59*H13</f>
        <v>-15.681990000000001</v>
      </c>
      <c r="D74" s="183">
        <f t="shared" si="14"/>
        <v>-43.971070000000005</v>
      </c>
      <c r="E74" s="183">
        <f>($H14+$H15+$H16)*D60</f>
        <v>0</v>
      </c>
      <c r="F74" s="183">
        <f>($H14+$H15+$H16)*E60</f>
        <v>0</v>
      </c>
      <c r="G74" s="183">
        <v>0</v>
      </c>
      <c r="H74" s="203">
        <v>0</v>
      </c>
      <c r="I74" s="203">
        <v>0</v>
      </c>
      <c r="J74" s="183">
        <f t="shared" si="12"/>
        <v>-59.653060000000004</v>
      </c>
      <c r="M74" s="183"/>
    </row>
    <row r="75" spans="1:13">
      <c r="A75" s="172"/>
      <c r="C75" s="198">
        <f>SUM(C64:C74)</f>
        <v>-20812.949550000001</v>
      </c>
      <c r="D75" s="198">
        <f>SUM(D64:D74)</f>
        <v>89943.209140000006</v>
      </c>
      <c r="E75" s="198">
        <f t="shared" ref="E75:J75" si="24">SUM(E64:E74)</f>
        <v>-3751.5970500000003</v>
      </c>
      <c r="F75" s="198">
        <f t="shared" si="24"/>
        <v>132761.30624000001</v>
      </c>
      <c r="G75" s="198">
        <f t="shared" si="24"/>
        <v>49505.322470000006</v>
      </c>
      <c r="H75" s="198">
        <f t="shared" si="24"/>
        <v>0</v>
      </c>
      <c r="I75" s="198">
        <f t="shared" si="24"/>
        <v>-16964.245510000004</v>
      </c>
      <c r="J75" s="198">
        <f t="shared" si="24"/>
        <v>230681.04573999997</v>
      </c>
    </row>
    <row r="77" spans="1:13">
      <c r="A77" s="167" t="s">
        <v>19</v>
      </c>
      <c r="B77" s="167"/>
      <c r="C77" s="183">
        <f>C64+C65</f>
        <v>-20267.995170000002</v>
      </c>
      <c r="D77" s="183">
        <f>D64+D65</f>
        <v>104519.26921</v>
      </c>
      <c r="E77" s="183">
        <f t="shared" ref="E77:J77" si="25">E64+E65</f>
        <v>-3751.5970500000003</v>
      </c>
      <c r="F77" s="183">
        <f t="shared" si="25"/>
        <v>104121.85754</v>
      </c>
      <c r="G77" s="183">
        <f t="shared" si="25"/>
        <v>38548.931990000005</v>
      </c>
      <c r="H77" s="183">
        <f t="shared" si="25"/>
        <v>0</v>
      </c>
      <c r="I77" s="183">
        <f t="shared" si="25"/>
        <v>-13909.408449999999</v>
      </c>
      <c r="J77" s="183">
        <f t="shared" si="25"/>
        <v>209261.05807</v>
      </c>
    </row>
    <row r="78" spans="1:13">
      <c r="A78" s="167"/>
      <c r="B78" s="167"/>
      <c r="C78" s="183"/>
      <c r="D78" s="183"/>
      <c r="E78" s="183"/>
      <c r="F78" s="183"/>
      <c r="G78" s="183"/>
      <c r="H78" s="183"/>
      <c r="I78" s="183"/>
      <c r="J78" s="183"/>
    </row>
    <row r="79" spans="1:13">
      <c r="A79" s="167" t="s">
        <v>213</v>
      </c>
      <c r="B79" s="167"/>
      <c r="C79" s="194">
        <f>SUM(C66:C69,C71:C73)</f>
        <v>-529.27239000000009</v>
      </c>
      <c r="D79" s="194">
        <f>SUM(D66:D69,D71:D73)</f>
        <v>-14532.089</v>
      </c>
      <c r="E79" s="194">
        <f t="shared" ref="E79:J79" si="26">SUM(E66:E69,E71:E73)</f>
        <v>0</v>
      </c>
      <c r="F79" s="194">
        <f t="shared" si="26"/>
        <v>31759.96902</v>
      </c>
      <c r="G79" s="194">
        <f t="shared" si="26"/>
        <v>12117.51432</v>
      </c>
      <c r="H79" s="194">
        <f t="shared" si="26"/>
        <v>0</v>
      </c>
      <c r="I79" s="194">
        <f t="shared" si="26"/>
        <v>-3671.6841000000004</v>
      </c>
      <c r="J79" s="194">
        <f t="shared" si="26"/>
        <v>25144.437850000002</v>
      </c>
    </row>
  </sheetData>
  <mergeCells count="3">
    <mergeCell ref="A1:I1"/>
    <mergeCell ref="F60:F61"/>
    <mergeCell ref="I60:I61"/>
  </mergeCells>
  <pageMargins left="0.7" right="0.7" top="0.75" bottom="0.75" header="0.3" footer="0.3"/>
  <pageSetup scale="71" fitToHeight="2" orientation="landscape" r:id="rId1"/>
  <headerFooter>
    <oddFooter>Page &amp;P&amp;R12.2016 WA Elec Decoupling Deferral.xlsx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A1:M79"/>
  <sheetViews>
    <sheetView view="pageLayout" topLeftCell="B20" zoomScaleNormal="100" workbookViewId="0">
      <selection activeCell="B20" sqref="A1:XFD1048576"/>
    </sheetView>
  </sheetViews>
  <sheetFormatPr defaultColWidth="9.109375" defaultRowHeight="14.4"/>
  <cols>
    <col min="1" max="1" width="17.6640625" style="165" customWidth="1"/>
    <col min="2" max="2" width="9.109375" style="165"/>
    <col min="3" max="3" width="18.33203125" style="165" customWidth="1"/>
    <col min="4" max="4" width="22" style="165" customWidth="1"/>
    <col min="5" max="5" width="17.33203125" style="165" customWidth="1"/>
    <col min="6" max="6" width="16.33203125" style="165" customWidth="1"/>
    <col min="7" max="8" width="15.6640625" style="165" customWidth="1"/>
    <col min="9" max="9" width="21.33203125" style="165" customWidth="1"/>
    <col min="10" max="10" width="18.33203125" style="165" bestFit="1" customWidth="1"/>
    <col min="11" max="11" width="9.109375" style="165"/>
    <col min="12" max="12" width="13.44140625" style="165" bestFit="1" customWidth="1"/>
    <col min="13" max="13" width="27.5546875" style="165" bestFit="1" customWidth="1"/>
    <col min="14" max="16384" width="9.109375" style="165"/>
  </cols>
  <sheetData>
    <row r="1" spans="1:9">
      <c r="A1" s="232" t="s">
        <v>201</v>
      </c>
      <c r="B1" s="232"/>
      <c r="C1" s="232"/>
      <c r="D1" s="232"/>
      <c r="E1" s="232"/>
      <c r="F1" s="232"/>
      <c r="G1" s="232"/>
      <c r="H1" s="232"/>
      <c r="I1" s="232"/>
    </row>
    <row r="2" spans="1:9" ht="27">
      <c r="A2" s="168"/>
      <c r="B2" s="169"/>
      <c r="C2" s="170" t="s">
        <v>202</v>
      </c>
      <c r="D2" s="169"/>
      <c r="E2" s="170" t="s">
        <v>203</v>
      </c>
      <c r="F2" s="171" t="s">
        <v>204</v>
      </c>
      <c r="G2" s="171" t="s">
        <v>205</v>
      </c>
      <c r="H2" s="171" t="s">
        <v>106</v>
      </c>
      <c r="I2" s="171" t="s">
        <v>206</v>
      </c>
    </row>
    <row r="3" spans="1:9">
      <c r="A3" s="199" t="s">
        <v>148</v>
      </c>
      <c r="B3" s="167"/>
      <c r="C3" s="173">
        <v>210836</v>
      </c>
      <c r="D3" s="186"/>
      <c r="E3" s="202">
        <v>171149845</v>
      </c>
      <c r="F3" s="202">
        <v>-97409208</v>
      </c>
      <c r="G3" s="202">
        <v>118972426</v>
      </c>
      <c r="H3" s="166">
        <f>SUM(F3:G3)</f>
        <v>21563218</v>
      </c>
      <c r="I3" s="174">
        <f>E3+H3</f>
        <v>192713063</v>
      </c>
    </row>
    <row r="4" spans="1:9">
      <c r="A4" s="199" t="s">
        <v>207</v>
      </c>
      <c r="B4" s="167"/>
      <c r="C4" s="173">
        <v>510</v>
      </c>
      <c r="D4" s="186"/>
      <c r="E4" s="202">
        <v>487949</v>
      </c>
      <c r="F4" s="202">
        <v>-245441</v>
      </c>
      <c r="G4" s="202">
        <v>344249</v>
      </c>
      <c r="H4" s="166">
        <f t="shared" ref="H4:H16" si="0">SUM(F4:G4)</f>
        <v>98808</v>
      </c>
      <c r="I4" s="174">
        <f t="shared" ref="I4:I16" si="1">E4+H4</f>
        <v>586757</v>
      </c>
    </row>
    <row r="5" spans="1:9">
      <c r="A5" s="199" t="s">
        <v>149</v>
      </c>
      <c r="B5" s="167"/>
      <c r="C5" s="173">
        <v>22363</v>
      </c>
      <c r="D5" s="186"/>
      <c r="E5" s="202">
        <v>42742275</v>
      </c>
      <c r="F5" s="202">
        <v>-27642739</v>
      </c>
      <c r="G5" s="202">
        <v>29674257</v>
      </c>
      <c r="H5" s="166">
        <f t="shared" si="0"/>
        <v>2031518</v>
      </c>
      <c r="I5" s="174">
        <f t="shared" si="1"/>
        <v>44773793</v>
      </c>
    </row>
    <row r="6" spans="1:9">
      <c r="A6" s="199" t="s">
        <v>150</v>
      </c>
      <c r="B6" s="167"/>
      <c r="C6" s="173">
        <v>9097</v>
      </c>
      <c r="D6" s="186"/>
      <c r="E6" s="202">
        <v>4241525</v>
      </c>
      <c r="F6" s="202">
        <v>-2577126</v>
      </c>
      <c r="G6" s="202">
        <v>2960541</v>
      </c>
      <c r="H6" s="166">
        <f t="shared" si="0"/>
        <v>383415</v>
      </c>
      <c r="I6" s="174">
        <f t="shared" si="1"/>
        <v>4624940</v>
      </c>
    </row>
    <row r="7" spans="1:9">
      <c r="A7" s="199" t="s">
        <v>151</v>
      </c>
      <c r="B7" s="167"/>
      <c r="C7" s="173">
        <v>1841</v>
      </c>
      <c r="D7" s="186"/>
      <c r="E7" s="202">
        <v>106015055</v>
      </c>
      <c r="F7" s="202">
        <v>-71576593</v>
      </c>
      <c r="G7" s="202">
        <v>73393869</v>
      </c>
      <c r="H7" s="166">
        <f t="shared" si="0"/>
        <v>1817276</v>
      </c>
      <c r="I7" s="174">
        <f t="shared" si="1"/>
        <v>107832331</v>
      </c>
    </row>
    <row r="8" spans="1:9">
      <c r="A8" s="199" t="s">
        <v>152</v>
      </c>
      <c r="B8" s="167"/>
      <c r="C8" s="173">
        <v>48</v>
      </c>
      <c r="D8" s="186"/>
      <c r="E8" s="202">
        <v>2408860</v>
      </c>
      <c r="F8" s="202">
        <v>-1534003</v>
      </c>
      <c r="G8" s="202">
        <v>1686820</v>
      </c>
      <c r="H8" s="166">
        <f t="shared" si="0"/>
        <v>152817</v>
      </c>
      <c r="I8" s="174">
        <f t="shared" si="1"/>
        <v>2561677</v>
      </c>
    </row>
    <row r="9" spans="1:9">
      <c r="A9" s="199" t="s">
        <v>153</v>
      </c>
      <c r="B9" s="167"/>
      <c r="C9" s="173">
        <v>19</v>
      </c>
      <c r="D9" s="186"/>
      <c r="E9" s="202">
        <f>88451909-E10</f>
        <v>55097729</v>
      </c>
      <c r="F9" s="202">
        <v>-6727326</v>
      </c>
      <c r="G9" s="202">
        <v>6387957</v>
      </c>
      <c r="H9" s="166">
        <f t="shared" si="0"/>
        <v>-339369</v>
      </c>
      <c r="I9" s="174">
        <f t="shared" si="1"/>
        <v>54758360</v>
      </c>
    </row>
    <row r="10" spans="1:9">
      <c r="A10" s="199" t="s">
        <v>208</v>
      </c>
      <c r="B10" s="167"/>
      <c r="C10" s="173"/>
      <c r="D10" s="186"/>
      <c r="E10" s="202">
        <v>33354180</v>
      </c>
      <c r="F10" s="202">
        <v>0</v>
      </c>
      <c r="G10" s="202">
        <v>0</v>
      </c>
      <c r="H10" s="166">
        <f t="shared" si="0"/>
        <v>0</v>
      </c>
      <c r="I10" s="174">
        <f t="shared" si="1"/>
        <v>33354180</v>
      </c>
    </row>
    <row r="11" spans="1:9">
      <c r="A11" s="199" t="s">
        <v>209</v>
      </c>
      <c r="B11" s="167"/>
      <c r="C11" s="173">
        <v>29</v>
      </c>
      <c r="D11" s="186"/>
      <c r="E11" s="202">
        <v>114460</v>
      </c>
      <c r="F11" s="202">
        <v>0</v>
      </c>
      <c r="G11" s="202">
        <v>0</v>
      </c>
      <c r="H11" s="166">
        <f t="shared" si="0"/>
        <v>0</v>
      </c>
      <c r="I11" s="174">
        <f t="shared" si="1"/>
        <v>114460</v>
      </c>
    </row>
    <row r="12" spans="1:9">
      <c r="A12" s="199" t="s">
        <v>154</v>
      </c>
      <c r="B12" s="167"/>
      <c r="C12" s="173">
        <v>1206</v>
      </c>
      <c r="D12" s="186"/>
      <c r="E12" s="202">
        <v>3442381</v>
      </c>
      <c r="F12" s="202">
        <v>-4939490</v>
      </c>
      <c r="G12" s="202">
        <v>2099919</v>
      </c>
      <c r="H12" s="166">
        <f t="shared" si="0"/>
        <v>-2839571</v>
      </c>
      <c r="I12" s="174">
        <f t="shared" si="1"/>
        <v>602810</v>
      </c>
    </row>
    <row r="13" spans="1:9">
      <c r="A13" s="199" t="s">
        <v>155</v>
      </c>
      <c r="B13" s="167"/>
      <c r="C13" s="173">
        <v>1178</v>
      </c>
      <c r="D13" s="186"/>
      <c r="E13" s="202">
        <v>196737</v>
      </c>
      <c r="F13" s="202">
        <v>-245441</v>
      </c>
      <c r="G13" s="202">
        <v>137700</v>
      </c>
      <c r="H13" s="166">
        <f t="shared" si="0"/>
        <v>-107741</v>
      </c>
      <c r="I13" s="174">
        <f t="shared" si="1"/>
        <v>88996</v>
      </c>
    </row>
    <row r="14" spans="1:9">
      <c r="A14" s="199" t="s">
        <v>210</v>
      </c>
      <c r="B14" s="167"/>
      <c r="C14" s="173">
        <v>419</v>
      </c>
      <c r="D14" s="186"/>
      <c r="E14" s="202">
        <v>1201942</v>
      </c>
      <c r="F14" s="202"/>
      <c r="G14" s="202"/>
      <c r="H14" s="166"/>
      <c r="I14" s="174">
        <f t="shared" si="1"/>
        <v>1201942</v>
      </c>
    </row>
    <row r="15" spans="1:9">
      <c r="A15" s="199" t="s">
        <v>211</v>
      </c>
      <c r="B15" s="167"/>
      <c r="C15" s="173"/>
      <c r="D15" s="186"/>
      <c r="E15" s="202">
        <v>451713.30935</v>
      </c>
      <c r="F15" s="202"/>
      <c r="G15" s="202"/>
      <c r="H15" s="166">
        <f t="shared" si="0"/>
        <v>0</v>
      </c>
      <c r="I15" s="174">
        <f t="shared" si="1"/>
        <v>451713.30935</v>
      </c>
    </row>
    <row r="16" spans="1:9">
      <c r="A16" s="199" t="s">
        <v>212</v>
      </c>
      <c r="B16" s="167"/>
      <c r="C16" s="173"/>
      <c r="D16" s="216"/>
      <c r="E16" s="202">
        <v>235965.30931000001</v>
      </c>
      <c r="F16" s="202"/>
      <c r="G16" s="202"/>
      <c r="H16" s="166">
        <f t="shared" si="0"/>
        <v>0</v>
      </c>
      <c r="I16" s="174">
        <f t="shared" si="1"/>
        <v>235965.30931000001</v>
      </c>
    </row>
    <row r="17" spans="1:9">
      <c r="A17" s="167"/>
      <c r="B17" s="167"/>
      <c r="C17" s="175">
        <f>SUM(C3:C16)</f>
        <v>247546</v>
      </c>
      <c r="E17" s="175">
        <f t="shared" ref="E17:I17" si="2">SUM(E3:E16)</f>
        <v>421140616.61866003</v>
      </c>
      <c r="F17" s="175">
        <f t="shared" si="2"/>
        <v>-212897367</v>
      </c>
      <c r="G17" s="175">
        <f t="shared" si="2"/>
        <v>235657738</v>
      </c>
      <c r="H17" s="175">
        <f t="shared" si="2"/>
        <v>22760371</v>
      </c>
      <c r="I17" s="175">
        <f t="shared" si="2"/>
        <v>443900987.61866003</v>
      </c>
    </row>
    <row r="18" spans="1:9" ht="15" thickBot="1">
      <c r="A18" s="167"/>
      <c r="B18" s="167"/>
      <c r="C18" s="167"/>
      <c r="E18" s="167"/>
      <c r="F18" s="167"/>
      <c r="G18" s="167"/>
      <c r="I18" s="167"/>
    </row>
    <row r="19" spans="1:9">
      <c r="A19" s="167" t="s">
        <v>19</v>
      </c>
      <c r="B19" s="167"/>
      <c r="C19" s="176">
        <f>C3+C4</f>
        <v>211346</v>
      </c>
      <c r="E19" s="177">
        <f>E3+E4</f>
        <v>171637794</v>
      </c>
      <c r="F19" s="177">
        <f t="shared" ref="F19:I19" si="3">F3+F4</f>
        <v>-97654649</v>
      </c>
      <c r="G19" s="177">
        <f t="shared" si="3"/>
        <v>119316675</v>
      </c>
      <c r="H19" s="177">
        <f t="shared" si="3"/>
        <v>21662026</v>
      </c>
      <c r="I19" s="176">
        <f t="shared" si="3"/>
        <v>193299820</v>
      </c>
    </row>
    <row r="20" spans="1:9">
      <c r="A20" s="167"/>
      <c r="B20" s="167"/>
      <c r="C20" s="178"/>
      <c r="E20" s="167"/>
      <c r="F20" s="167"/>
      <c r="G20" s="167"/>
      <c r="H20" s="167"/>
      <c r="I20" s="178"/>
    </row>
    <row r="21" spans="1:9" ht="15" thickBot="1">
      <c r="A21" s="167" t="s">
        <v>213</v>
      </c>
      <c r="B21" s="167"/>
      <c r="C21" s="195">
        <f>SUM(C5:C8,C11:C13)</f>
        <v>35762</v>
      </c>
      <c r="E21" s="196">
        <f>SUM(E5:E8,E11:E13)</f>
        <v>159161293</v>
      </c>
      <c r="F21" s="196">
        <f t="shared" ref="F21:H21" si="4">SUM(F5:F8,F11:F13)</f>
        <v>-108515392</v>
      </c>
      <c r="G21" s="196">
        <f t="shared" si="4"/>
        <v>109953106</v>
      </c>
      <c r="H21" s="196">
        <f t="shared" si="4"/>
        <v>1437714</v>
      </c>
      <c r="I21" s="195">
        <f>SUM(I5:I8,I11:I13)</f>
        <v>160599007</v>
      </c>
    </row>
    <row r="22" spans="1:9">
      <c r="A22" s="167"/>
      <c r="B22" s="167"/>
      <c r="C22" s="167"/>
      <c r="D22" s="167"/>
      <c r="E22" s="167"/>
    </row>
    <row r="23" spans="1:9" ht="40.200000000000003">
      <c r="A23" s="168"/>
      <c r="B23" s="179"/>
      <c r="C23" s="189" t="s">
        <v>214</v>
      </c>
      <c r="D23" s="189" t="s">
        <v>215</v>
      </c>
      <c r="E23" s="171" t="s">
        <v>216</v>
      </c>
      <c r="F23" s="171" t="s">
        <v>217</v>
      </c>
      <c r="G23" s="171" t="s">
        <v>218</v>
      </c>
      <c r="H23" s="171" t="s">
        <v>219</v>
      </c>
      <c r="I23" s="171" t="s">
        <v>220</v>
      </c>
    </row>
    <row r="24" spans="1:9">
      <c r="A24" s="199" t="s">
        <v>148</v>
      </c>
      <c r="B24" s="167"/>
      <c r="C24" s="200">
        <v>1830277</v>
      </c>
      <c r="D24" s="200">
        <v>15155939.210000001</v>
      </c>
      <c r="E24" s="203">
        <v>-8836388</v>
      </c>
      <c r="F24" s="203">
        <v>11087698</v>
      </c>
      <c r="G24" s="191">
        <f>SUM(D24:F24)</f>
        <v>17407249.210000001</v>
      </c>
      <c r="H24" s="191">
        <f>-J64</f>
        <v>-348386.85560000001</v>
      </c>
      <c r="I24" s="191">
        <f>SUM(G24:H24)</f>
        <v>17058862.354400001</v>
      </c>
    </row>
    <row r="25" spans="1:9">
      <c r="A25" s="199" t="s">
        <v>207</v>
      </c>
      <c r="B25" s="167"/>
      <c r="C25" s="200">
        <v>4377.5</v>
      </c>
      <c r="D25" s="200">
        <v>42680.84</v>
      </c>
      <c r="E25" s="203">
        <v>-14474</v>
      </c>
      <c r="F25" s="203">
        <v>20722</v>
      </c>
      <c r="G25" s="191">
        <f t="shared" ref="G25:G34" si="5">SUM(D25:F25)</f>
        <v>48928.84</v>
      </c>
      <c r="H25" s="191">
        <f t="shared" ref="H25:H33" si="6">-J65</f>
        <v>1999.2013700000002</v>
      </c>
      <c r="I25" s="191">
        <f t="shared" ref="I25:I34" si="7">SUM(G25:H25)</f>
        <v>50928.041369999999</v>
      </c>
    </row>
    <row r="26" spans="1:9">
      <c r="A26" s="199" t="s">
        <v>149</v>
      </c>
      <c r="B26" s="167"/>
      <c r="C26" s="200">
        <v>410732.76</v>
      </c>
      <c r="D26" s="200">
        <v>5039947.1399999997</v>
      </c>
      <c r="E26" s="203">
        <v>-3214030</v>
      </c>
      <c r="F26" s="203">
        <v>3443258</v>
      </c>
      <c r="G26" s="191">
        <f t="shared" si="5"/>
        <v>5269175.1399999997</v>
      </c>
      <c r="H26" s="191">
        <f t="shared" si="6"/>
        <v>32946.998450000006</v>
      </c>
      <c r="I26" s="191">
        <f t="shared" si="7"/>
        <v>5302122.1384499995</v>
      </c>
    </row>
    <row r="27" spans="1:9">
      <c r="A27" s="199" t="s">
        <v>150</v>
      </c>
      <c r="B27" s="167"/>
      <c r="C27" s="200">
        <v>165232.75</v>
      </c>
      <c r="D27" s="200">
        <v>632476.74</v>
      </c>
      <c r="E27" s="203">
        <v>-377434</v>
      </c>
      <c r="F27" s="203">
        <v>428617</v>
      </c>
      <c r="G27" s="191">
        <f t="shared" si="5"/>
        <v>683659.74</v>
      </c>
      <c r="H27" s="191">
        <f t="shared" si="6"/>
        <v>3257.0774699999993</v>
      </c>
      <c r="I27" s="191">
        <f t="shared" si="7"/>
        <v>686916.81747000001</v>
      </c>
    </row>
    <row r="28" spans="1:9">
      <c r="A28" s="199" t="s">
        <v>151</v>
      </c>
      <c r="B28" s="167"/>
      <c r="C28" s="200">
        <v>923883.35</v>
      </c>
      <c r="D28" s="200">
        <v>9630204.4299999997</v>
      </c>
      <c r="E28" s="203">
        <v>-5743007</v>
      </c>
      <c r="F28" s="203">
        <v>5827934</v>
      </c>
      <c r="G28" s="191">
        <f t="shared" si="5"/>
        <v>9715131.4299999997</v>
      </c>
      <c r="H28" s="191">
        <f t="shared" si="6"/>
        <v>98792.667029999997</v>
      </c>
      <c r="I28" s="191">
        <f t="shared" si="7"/>
        <v>9813924.0970299989</v>
      </c>
    </row>
    <row r="29" spans="1:9">
      <c r="A29" s="199" t="s">
        <v>152</v>
      </c>
      <c r="B29" s="167"/>
      <c r="C29" s="200">
        <v>24000</v>
      </c>
      <c r="D29" s="200">
        <v>215603.22</v>
      </c>
      <c r="E29" s="203">
        <v>-126298</v>
      </c>
      <c r="F29" s="203">
        <v>136311</v>
      </c>
      <c r="G29" s="191">
        <f t="shared" si="5"/>
        <v>225616.22</v>
      </c>
      <c r="H29" s="191">
        <f t="shared" si="6"/>
        <v>2340.2003599999994</v>
      </c>
      <c r="I29" s="191">
        <f t="shared" si="7"/>
        <v>227956.42035999999</v>
      </c>
    </row>
    <row r="30" spans="1:9">
      <c r="A30" s="199" t="s">
        <v>153</v>
      </c>
      <c r="B30" s="167"/>
      <c r="C30" s="200">
        <v>420000</v>
      </c>
      <c r="D30" s="200">
        <v>5153236.16</v>
      </c>
      <c r="E30" s="203">
        <v>-430987</v>
      </c>
      <c r="F30" s="203">
        <v>414836</v>
      </c>
      <c r="G30" s="191">
        <f t="shared" si="5"/>
        <v>5137085.16</v>
      </c>
      <c r="H30" s="191">
        <f t="shared" si="6"/>
        <v>685.52538000000004</v>
      </c>
      <c r="I30" s="191">
        <f t="shared" si="7"/>
        <v>5137770.6853799997</v>
      </c>
    </row>
    <row r="31" spans="1:9">
      <c r="A31" s="199" t="s">
        <v>209</v>
      </c>
      <c r="B31" s="167"/>
      <c r="C31" s="200">
        <v>576</v>
      </c>
      <c r="D31" s="200">
        <v>8442.7900000000009</v>
      </c>
      <c r="E31" s="203">
        <v>0</v>
      </c>
      <c r="F31" s="203">
        <v>0</v>
      </c>
      <c r="G31" s="191">
        <f t="shared" si="5"/>
        <v>8442.7900000000009</v>
      </c>
      <c r="H31" s="191">
        <f t="shared" si="6"/>
        <v>0</v>
      </c>
      <c r="I31" s="191">
        <f t="shared" si="7"/>
        <v>8442.7900000000009</v>
      </c>
    </row>
    <row r="32" spans="1:9">
      <c r="A32" s="199" t="s">
        <v>154</v>
      </c>
      <c r="B32" s="167"/>
      <c r="C32" s="200">
        <v>33514.83</v>
      </c>
      <c r="D32" s="200">
        <v>326923.05</v>
      </c>
      <c r="E32" s="203">
        <v>-419765</v>
      </c>
      <c r="F32" s="203">
        <v>187901</v>
      </c>
      <c r="G32" s="191">
        <f t="shared" si="5"/>
        <v>95059.049999999988</v>
      </c>
      <c r="H32" s="191">
        <f t="shared" si="6"/>
        <v>11748.762849999999</v>
      </c>
      <c r="I32" s="191">
        <f t="shared" si="7"/>
        <v>106807.81284999999</v>
      </c>
    </row>
    <row r="33" spans="1:10">
      <c r="A33" s="199" t="s">
        <v>155</v>
      </c>
      <c r="B33" s="167"/>
      <c r="C33" s="200">
        <v>22257.05</v>
      </c>
      <c r="D33" s="200">
        <v>39509.18</v>
      </c>
      <c r="E33" s="203">
        <v>-31027</v>
      </c>
      <c r="F33" s="203">
        <v>23302</v>
      </c>
      <c r="G33" s="191">
        <f t="shared" si="5"/>
        <v>31784.18</v>
      </c>
      <c r="H33" s="191">
        <f t="shared" si="6"/>
        <v>532.71121000000005</v>
      </c>
      <c r="I33" s="191">
        <f t="shared" si="7"/>
        <v>32316.891210000002</v>
      </c>
    </row>
    <row r="34" spans="1:10">
      <c r="A34" s="199" t="s">
        <v>221</v>
      </c>
      <c r="B34" s="167"/>
      <c r="C34" s="191"/>
      <c r="D34" s="200">
        <v>576322.19999999995</v>
      </c>
      <c r="E34" s="200"/>
      <c r="F34" s="200"/>
      <c r="G34" s="191">
        <f t="shared" si="5"/>
        <v>576322.19999999995</v>
      </c>
      <c r="H34" s="191"/>
      <c r="I34" s="191">
        <f t="shared" si="7"/>
        <v>576322.19999999995</v>
      </c>
    </row>
    <row r="35" spans="1:10">
      <c r="A35" s="199" t="s">
        <v>222</v>
      </c>
      <c r="B35" s="167"/>
      <c r="C35" s="186"/>
      <c r="D35" s="200">
        <v>1343615.34</v>
      </c>
      <c r="E35" s="200"/>
      <c r="F35" s="200"/>
      <c r="G35" s="191"/>
      <c r="H35" s="191"/>
      <c r="I35" s="191"/>
    </row>
    <row r="36" spans="1:10">
      <c r="A36" s="199" t="s">
        <v>223</v>
      </c>
      <c r="B36" s="167"/>
      <c r="C36" s="186"/>
      <c r="D36" s="200">
        <v>1446208.82</v>
      </c>
      <c r="E36" s="200"/>
      <c r="F36" s="200"/>
      <c r="G36" s="191"/>
      <c r="H36" s="191"/>
      <c r="I36" s="191"/>
    </row>
    <row r="37" spans="1:10">
      <c r="A37" s="167"/>
      <c r="B37" s="167"/>
      <c r="C37" s="181">
        <f>SUM(C24:C36)</f>
        <v>3834851.2399999998</v>
      </c>
      <c r="D37" s="181">
        <f t="shared" ref="D37:I37" si="8">SUM(D24:D36)</f>
        <v>39611109.119999997</v>
      </c>
      <c r="E37" s="181">
        <f t="shared" si="8"/>
        <v>-19193410</v>
      </c>
      <c r="F37" s="181">
        <f t="shared" si="8"/>
        <v>21570579</v>
      </c>
      <c r="G37" s="181">
        <f t="shared" si="8"/>
        <v>39198453.959999993</v>
      </c>
      <c r="H37" s="181">
        <f t="shared" si="8"/>
        <v>-196083.71147999994</v>
      </c>
      <c r="I37" s="181">
        <f t="shared" si="8"/>
        <v>39002370.248519994</v>
      </c>
    </row>
    <row r="38" spans="1:10" ht="15" thickBot="1">
      <c r="A38" s="167"/>
      <c r="B38" s="167"/>
      <c r="D38" s="182"/>
      <c r="E38" s="167"/>
      <c r="F38" s="167"/>
    </row>
    <row r="39" spans="1:10">
      <c r="A39" s="167" t="s">
        <v>19</v>
      </c>
      <c r="B39" s="167"/>
      <c r="C39" s="184">
        <f>C24+C25</f>
        <v>1834654.5</v>
      </c>
      <c r="D39" s="183">
        <f t="shared" ref="D39:I39" si="9">D24+D25</f>
        <v>15198620.050000001</v>
      </c>
      <c r="E39" s="183">
        <f t="shared" si="9"/>
        <v>-8850862</v>
      </c>
      <c r="F39" s="183">
        <f t="shared" si="9"/>
        <v>11108420</v>
      </c>
      <c r="G39" s="183">
        <f t="shared" si="9"/>
        <v>17456178.050000001</v>
      </c>
      <c r="H39" s="183">
        <f t="shared" si="9"/>
        <v>-346387.65422999999</v>
      </c>
      <c r="I39" s="184">
        <f t="shared" si="9"/>
        <v>17109790.395770002</v>
      </c>
    </row>
    <row r="40" spans="1:10">
      <c r="A40" s="167"/>
      <c r="B40" s="167"/>
      <c r="C40" s="190"/>
      <c r="D40" s="183"/>
      <c r="E40" s="167"/>
      <c r="F40" s="167"/>
      <c r="I40" s="185"/>
    </row>
    <row r="41" spans="1:10" ht="15" thickBot="1">
      <c r="A41" s="167" t="s">
        <v>213</v>
      </c>
      <c r="B41" s="167"/>
      <c r="C41" s="193">
        <f>SUM(C26:C29,C31:C33)</f>
        <v>1580196.74</v>
      </c>
      <c r="D41" s="194">
        <f t="shared" ref="D41:I41" si="10">SUM(D26:D29,D31:D33)</f>
        <v>15893106.549999999</v>
      </c>
      <c r="E41" s="194">
        <f t="shared" si="10"/>
        <v>-9911561</v>
      </c>
      <c r="F41" s="194">
        <f t="shared" si="10"/>
        <v>10047323</v>
      </c>
      <c r="G41" s="194">
        <f t="shared" si="10"/>
        <v>16028868.549999999</v>
      </c>
      <c r="H41" s="194">
        <f t="shared" si="10"/>
        <v>149618.41736999998</v>
      </c>
      <c r="I41" s="193">
        <f t="shared" si="10"/>
        <v>16178486.967369998</v>
      </c>
    </row>
    <row r="42" spans="1:10">
      <c r="A42" s="167"/>
      <c r="B42" s="167"/>
      <c r="C42" s="218"/>
      <c r="D42" s="194"/>
      <c r="E42" s="194"/>
      <c r="F42" s="194"/>
      <c r="G42" s="194"/>
      <c r="H42" s="194"/>
      <c r="I42" s="218"/>
    </row>
    <row r="43" spans="1:10">
      <c r="A43" s="167"/>
      <c r="B43" s="167"/>
      <c r="C43" s="218"/>
      <c r="D43" s="194"/>
      <c r="E43" s="194"/>
      <c r="F43" s="194"/>
      <c r="G43" s="194"/>
      <c r="H43" s="194"/>
      <c r="I43" s="218"/>
    </row>
    <row r="44" spans="1:10">
      <c r="A44" s="167"/>
      <c r="B44" s="167"/>
      <c r="C44" s="218"/>
      <c r="D44" s="194"/>
      <c r="E44" s="194"/>
      <c r="F44" s="194"/>
      <c r="G44" s="194"/>
      <c r="H44" s="194"/>
      <c r="I44" s="218"/>
    </row>
    <row r="45" spans="1:10">
      <c r="A45" s="167"/>
      <c r="B45" s="167"/>
      <c r="C45" s="167"/>
    </row>
    <row r="46" spans="1:10">
      <c r="A46" s="172"/>
      <c r="D46" s="167"/>
      <c r="E46" s="105"/>
      <c r="I46" s="105"/>
    </row>
    <row r="47" spans="1:10">
      <c r="C47" s="188">
        <v>42309</v>
      </c>
      <c r="D47" s="188">
        <v>42675</v>
      </c>
      <c r="E47" s="188">
        <v>42278</v>
      </c>
      <c r="F47" s="164">
        <v>42583</v>
      </c>
      <c r="G47" s="164">
        <v>42644</v>
      </c>
      <c r="H47" s="164">
        <v>42380</v>
      </c>
      <c r="I47" s="164">
        <v>42552</v>
      </c>
      <c r="J47" s="164">
        <v>42675</v>
      </c>
    </row>
    <row r="48" spans="1:10" ht="27">
      <c r="A48" s="197" t="s">
        <v>224</v>
      </c>
      <c r="B48" s="169"/>
      <c r="C48" s="180" t="s">
        <v>225</v>
      </c>
      <c r="D48" s="180" t="s">
        <v>251</v>
      </c>
      <c r="E48" s="180" t="s">
        <v>226</v>
      </c>
      <c r="F48" s="180" t="s">
        <v>227</v>
      </c>
      <c r="G48" s="180" t="s">
        <v>228</v>
      </c>
      <c r="H48" s="180" t="s">
        <v>229</v>
      </c>
      <c r="I48" s="180" t="s">
        <v>230</v>
      </c>
      <c r="J48" s="180" t="s">
        <v>225</v>
      </c>
    </row>
    <row r="49" spans="1:13">
      <c r="A49" s="199" t="s">
        <v>148</v>
      </c>
      <c r="B49" s="167"/>
      <c r="C49" s="187">
        <v>-2.7E-4</v>
      </c>
      <c r="D49" s="187">
        <v>2.63E-3</v>
      </c>
      <c r="E49" s="187"/>
      <c r="F49" s="187">
        <v>2.6199999999999999E-3</v>
      </c>
      <c r="G49" s="187">
        <v>9.7000000000000005E-4</v>
      </c>
      <c r="H49" s="187">
        <v>0</v>
      </c>
      <c r="I49" s="187">
        <v>-3.5E-4</v>
      </c>
      <c r="J49" s="187">
        <v>-5.1000000000000004E-4</v>
      </c>
    </row>
    <row r="50" spans="1:13">
      <c r="A50" s="199" t="s">
        <v>207</v>
      </c>
      <c r="B50" s="167"/>
      <c r="C50" s="187">
        <v>-2.7E-4</v>
      </c>
      <c r="D50" s="187">
        <v>2.63E-3</v>
      </c>
      <c r="E50" s="187">
        <v>-3.1530000000000002E-2</v>
      </c>
      <c r="F50" s="187">
        <v>2.6199999999999999E-3</v>
      </c>
      <c r="G50" s="187">
        <v>9.7000000000000005E-4</v>
      </c>
      <c r="H50" s="187">
        <v>0</v>
      </c>
      <c r="I50" s="187">
        <v>-3.5E-4</v>
      </c>
      <c r="J50" s="187">
        <v>-5.1000000000000004E-4</v>
      </c>
    </row>
    <row r="51" spans="1:13">
      <c r="A51" s="199" t="s">
        <v>149</v>
      </c>
      <c r="B51" s="167"/>
      <c r="C51" s="187">
        <v>0</v>
      </c>
      <c r="D51" s="187">
        <v>-1.4300000000000001E-3</v>
      </c>
      <c r="E51" s="187"/>
      <c r="F51" s="187">
        <v>3.62E-3</v>
      </c>
      <c r="G51" s="187">
        <v>1.41E-3</v>
      </c>
      <c r="H51" s="187">
        <v>0</v>
      </c>
      <c r="I51" s="187">
        <v>-3.6000000000000002E-4</v>
      </c>
      <c r="J51" s="187"/>
    </row>
    <row r="52" spans="1:13">
      <c r="A52" s="199" t="s">
        <v>150</v>
      </c>
      <c r="B52" s="167"/>
      <c r="C52" s="187">
        <v>-2.7E-4</v>
      </c>
      <c r="D52" s="187">
        <v>-1.4300000000000001E-3</v>
      </c>
      <c r="E52" s="187"/>
      <c r="F52" s="187">
        <v>3.62E-3</v>
      </c>
      <c r="G52" s="187">
        <v>1.41E-3</v>
      </c>
      <c r="H52" s="187">
        <v>0</v>
      </c>
      <c r="I52" s="187">
        <v>-3.6000000000000002E-4</v>
      </c>
      <c r="J52" s="187">
        <v>-5.1000000000000004E-4</v>
      </c>
    </row>
    <row r="53" spans="1:13">
      <c r="A53" s="199" t="s">
        <v>151</v>
      </c>
      <c r="B53" s="167"/>
      <c r="C53" s="187">
        <v>0</v>
      </c>
      <c r="D53" s="187">
        <v>-1.4300000000000001E-3</v>
      </c>
      <c r="E53" s="187"/>
      <c r="F53" s="187">
        <v>2.7299999999999998E-3</v>
      </c>
      <c r="G53" s="187">
        <v>1.0200000000000001E-3</v>
      </c>
      <c r="H53" s="187">
        <v>0</v>
      </c>
      <c r="I53" s="187">
        <v>-3.6000000000000002E-4</v>
      </c>
      <c r="J53" s="187"/>
    </row>
    <row r="54" spans="1:13">
      <c r="A54" s="199" t="s">
        <v>152</v>
      </c>
      <c r="B54" s="167"/>
      <c r="C54" s="187">
        <v>-2.7E-4</v>
      </c>
      <c r="D54" s="187">
        <v>-1.4300000000000001E-3</v>
      </c>
      <c r="E54" s="187"/>
      <c r="F54" s="187">
        <v>2.7299999999999998E-3</v>
      </c>
      <c r="G54" s="187">
        <v>1.0200000000000001E-3</v>
      </c>
      <c r="H54" s="187">
        <v>0</v>
      </c>
      <c r="I54" s="187">
        <v>-3.6000000000000002E-4</v>
      </c>
      <c r="J54" s="187">
        <v>-5.1000000000000004E-4</v>
      </c>
    </row>
    <row r="55" spans="1:13">
      <c r="A55" s="199" t="s">
        <v>153</v>
      </c>
      <c r="B55" s="167"/>
      <c r="C55" s="187">
        <v>0</v>
      </c>
      <c r="D55" s="187"/>
      <c r="E55" s="187"/>
      <c r="F55" s="187">
        <v>1.72E-3</v>
      </c>
      <c r="G55" s="187">
        <v>6.4000000000000005E-4</v>
      </c>
      <c r="H55" s="187">
        <v>0</v>
      </c>
      <c r="I55" s="187">
        <v>-3.4000000000000002E-4</v>
      </c>
      <c r="J55" s="187"/>
    </row>
    <row r="56" spans="1:13">
      <c r="A56" s="199" t="s">
        <v>208</v>
      </c>
      <c r="B56" s="167"/>
      <c r="C56" s="187">
        <v>0</v>
      </c>
      <c r="D56" s="187"/>
      <c r="E56" s="187"/>
      <c r="F56" s="187">
        <v>1.72E-3</v>
      </c>
      <c r="G56" s="187">
        <v>0</v>
      </c>
      <c r="H56" s="187">
        <v>0</v>
      </c>
      <c r="I56" s="187">
        <v>-3.4000000000000002E-4</v>
      </c>
      <c r="J56" s="187"/>
    </row>
    <row r="57" spans="1:13">
      <c r="A57" s="199" t="s">
        <v>209</v>
      </c>
      <c r="B57" s="167"/>
      <c r="C57" s="187">
        <v>0</v>
      </c>
      <c r="D57" s="187">
        <v>-1.4300000000000001E-3</v>
      </c>
      <c r="E57" s="187"/>
      <c r="F57" s="187">
        <v>2.6099999999999999E-3</v>
      </c>
      <c r="G57" s="187">
        <v>8.8999999999999995E-4</v>
      </c>
      <c r="H57" s="187">
        <v>0</v>
      </c>
      <c r="I57" s="187">
        <v>-4.2000000000000002E-4</v>
      </c>
      <c r="J57" s="187"/>
    </row>
    <row r="58" spans="1:13">
      <c r="A58" s="199" t="s">
        <v>154</v>
      </c>
      <c r="B58" s="167"/>
      <c r="C58" s="187">
        <v>0</v>
      </c>
      <c r="D58" s="187">
        <v>-1.4300000000000001E-3</v>
      </c>
      <c r="E58" s="187"/>
      <c r="F58" s="187">
        <v>2.6099999999999999E-3</v>
      </c>
      <c r="G58" s="187">
        <v>8.8999999999999995E-4</v>
      </c>
      <c r="H58" s="187">
        <v>0</v>
      </c>
      <c r="I58" s="187">
        <v>-4.2000000000000002E-4</v>
      </c>
      <c r="J58" s="187"/>
    </row>
    <row r="59" spans="1:13">
      <c r="A59" s="199" t="s">
        <v>155</v>
      </c>
      <c r="B59" s="167"/>
      <c r="C59" s="187">
        <v>-2.7E-4</v>
      </c>
      <c r="D59" s="187">
        <v>-1.4300000000000001E-3</v>
      </c>
      <c r="E59" s="187"/>
      <c r="F59" s="187">
        <v>2.6099999999999999E-3</v>
      </c>
      <c r="G59" s="187">
        <v>8.8999999999999995E-4</v>
      </c>
      <c r="H59" s="187">
        <v>0</v>
      </c>
      <c r="I59" s="187">
        <v>-4.2000000000000002E-4</v>
      </c>
      <c r="J59" s="187">
        <v>-5.1000000000000004E-4</v>
      </c>
    </row>
    <row r="60" spans="1:13" ht="14.4" customHeight="1">
      <c r="A60" s="199" t="s">
        <v>221</v>
      </c>
      <c r="B60" s="167"/>
      <c r="C60" s="187"/>
      <c r="D60" s="187"/>
      <c r="E60" s="187"/>
      <c r="F60" s="214">
        <v>8.6199999999999992E-3</v>
      </c>
      <c r="G60" s="233" t="s">
        <v>241</v>
      </c>
      <c r="H60" s="187">
        <v>0</v>
      </c>
      <c r="I60" s="208">
        <v>-3.6999999999999999E-4</v>
      </c>
      <c r="J60" s="233"/>
    </row>
    <row r="61" spans="1:13">
      <c r="A61" s="199" t="s">
        <v>212</v>
      </c>
      <c r="B61" s="167"/>
      <c r="C61" s="187">
        <v>-2.7E-4</v>
      </c>
      <c r="D61" s="187"/>
      <c r="E61" s="187"/>
      <c r="F61" s="214">
        <v>8.6199999999999992E-3</v>
      </c>
      <c r="G61" s="233"/>
      <c r="H61" s="187">
        <v>0</v>
      </c>
      <c r="I61" s="208">
        <v>-3.6999999999999999E-4</v>
      </c>
      <c r="J61" s="233"/>
    </row>
    <row r="62" spans="1:13">
      <c r="E62" s="167"/>
    </row>
    <row r="63" spans="1:13" ht="40.200000000000003">
      <c r="A63" s="197" t="s">
        <v>233</v>
      </c>
      <c r="B63" s="169"/>
      <c r="C63" s="189" t="s">
        <v>240</v>
      </c>
      <c r="D63" s="189" t="s">
        <v>251</v>
      </c>
      <c r="E63" s="189" t="s">
        <v>234</v>
      </c>
      <c r="F63" s="189" t="s">
        <v>235</v>
      </c>
      <c r="G63" s="189" t="s">
        <v>236</v>
      </c>
      <c r="H63" s="189" t="s">
        <v>237</v>
      </c>
      <c r="I63" s="189" t="s">
        <v>238</v>
      </c>
      <c r="J63" s="189" t="s">
        <v>239</v>
      </c>
      <c r="M63" s="217"/>
    </row>
    <row r="64" spans="1:13">
      <c r="A64" s="199" t="s">
        <v>148</v>
      </c>
      <c r="C64" s="213">
        <f t="shared" ref="C64:C70" si="11">(C49*F3)+(J49*G3)</f>
        <v>-34375.451100000006</v>
      </c>
      <c r="D64" s="213">
        <f t="shared" ref="D64:D70" si="12">$G3*D49</f>
        <v>312897.48038000002</v>
      </c>
      <c r="E64" s="183">
        <f t="shared" ref="E64:I65" si="13">$H3*E49</f>
        <v>0</v>
      </c>
      <c r="F64" s="183">
        <f t="shared" si="13"/>
        <v>56495.631159999997</v>
      </c>
      <c r="G64" s="183">
        <f t="shared" si="13"/>
        <v>20916.321460000003</v>
      </c>
      <c r="H64" s="183">
        <f t="shared" si="13"/>
        <v>0</v>
      </c>
      <c r="I64" s="183">
        <f t="shared" si="13"/>
        <v>-7547.1262999999999</v>
      </c>
      <c r="J64" s="183">
        <f>SUM(C64:I64)</f>
        <v>348386.85560000001</v>
      </c>
      <c r="M64" s="183"/>
    </row>
    <row r="65" spans="1:13">
      <c r="A65" s="199" t="s">
        <v>207</v>
      </c>
      <c r="C65" s="213">
        <f t="shared" si="11"/>
        <v>-109.29792</v>
      </c>
      <c r="D65" s="213">
        <f t="shared" si="12"/>
        <v>905.37486999999999</v>
      </c>
      <c r="E65" s="183">
        <f t="shared" si="13"/>
        <v>-3115.4162400000005</v>
      </c>
      <c r="F65" s="183">
        <f t="shared" si="13"/>
        <v>258.87696</v>
      </c>
      <c r="G65" s="183">
        <f t="shared" si="13"/>
        <v>95.843760000000003</v>
      </c>
      <c r="H65" s="183">
        <f t="shared" si="13"/>
        <v>0</v>
      </c>
      <c r="I65" s="183">
        <f t="shared" si="13"/>
        <v>-34.582799999999999</v>
      </c>
      <c r="J65" s="183">
        <f t="shared" ref="J65:J74" si="14">SUM(C65:I65)</f>
        <v>-1999.2013700000002</v>
      </c>
      <c r="M65" s="183"/>
    </row>
    <row r="66" spans="1:13">
      <c r="A66" s="199" t="s">
        <v>149</v>
      </c>
      <c r="C66" s="213">
        <f t="shared" si="11"/>
        <v>0</v>
      </c>
      <c r="D66" s="213">
        <f t="shared" si="12"/>
        <v>-42434.187510000003</v>
      </c>
      <c r="E66" s="183">
        <f t="shared" ref="E66:F69" si="15">$H5*E51</f>
        <v>0</v>
      </c>
      <c r="F66" s="183">
        <f t="shared" si="15"/>
        <v>7354.0951599999999</v>
      </c>
      <c r="G66" s="183">
        <f t="shared" ref="G66" si="16">$H5*G51</f>
        <v>2864.44038</v>
      </c>
      <c r="H66" s="183">
        <f t="shared" ref="H66:I69" si="17">$H5*H51</f>
        <v>0</v>
      </c>
      <c r="I66" s="183">
        <f t="shared" si="17"/>
        <v>-731.34648000000004</v>
      </c>
      <c r="J66" s="183">
        <f t="shared" si="14"/>
        <v>-32946.998450000006</v>
      </c>
      <c r="M66" s="183"/>
    </row>
    <row r="67" spans="1:13">
      <c r="A67" s="199" t="s">
        <v>150</v>
      </c>
      <c r="C67" s="213">
        <f t="shared" si="11"/>
        <v>-814.05189000000018</v>
      </c>
      <c r="D67" s="213">
        <f t="shared" si="12"/>
        <v>-4233.5736299999999</v>
      </c>
      <c r="E67" s="183">
        <f t="shared" si="15"/>
        <v>0</v>
      </c>
      <c r="F67" s="183">
        <f t="shared" si="15"/>
        <v>1387.9622999999999</v>
      </c>
      <c r="G67" s="183">
        <f t="shared" ref="G67" si="18">$H6*G52</f>
        <v>540.61514999999997</v>
      </c>
      <c r="H67" s="183">
        <f t="shared" si="17"/>
        <v>0</v>
      </c>
      <c r="I67" s="183">
        <f t="shared" si="17"/>
        <v>-138.02940000000001</v>
      </c>
      <c r="J67" s="183">
        <f t="shared" si="14"/>
        <v>-3257.0774699999993</v>
      </c>
      <c r="M67" s="183"/>
    </row>
    <row r="68" spans="1:13">
      <c r="A68" s="199" t="s">
        <v>151</v>
      </c>
      <c r="C68" s="213">
        <f t="shared" si="11"/>
        <v>0</v>
      </c>
      <c r="D68" s="213">
        <f t="shared" si="12"/>
        <v>-104953.23267</v>
      </c>
      <c r="E68" s="183">
        <f t="shared" si="15"/>
        <v>0</v>
      </c>
      <c r="F68" s="183">
        <f t="shared" si="15"/>
        <v>4961.1634799999993</v>
      </c>
      <c r="G68" s="183">
        <f t="shared" ref="G68" si="19">$H7*G53</f>
        <v>1853.6215200000001</v>
      </c>
      <c r="H68" s="183">
        <f t="shared" si="17"/>
        <v>0</v>
      </c>
      <c r="I68" s="183">
        <f t="shared" si="17"/>
        <v>-654.21936000000005</v>
      </c>
      <c r="J68" s="183">
        <f t="shared" si="14"/>
        <v>-98792.667029999997</v>
      </c>
      <c r="M68" s="183"/>
    </row>
    <row r="69" spans="1:13">
      <c r="A69" s="199" t="s">
        <v>152</v>
      </c>
      <c r="C69" s="213">
        <f t="shared" si="11"/>
        <v>-446.09739000000008</v>
      </c>
      <c r="D69" s="213">
        <f t="shared" si="12"/>
        <v>-2412.1525999999999</v>
      </c>
      <c r="E69" s="183">
        <f t="shared" si="15"/>
        <v>0</v>
      </c>
      <c r="F69" s="183">
        <f t="shared" si="15"/>
        <v>417.19040999999999</v>
      </c>
      <c r="G69" s="183">
        <f t="shared" ref="G69" si="20">$H8*G54</f>
        <v>155.87334000000001</v>
      </c>
      <c r="H69" s="183">
        <f t="shared" si="17"/>
        <v>0</v>
      </c>
      <c r="I69" s="183">
        <f t="shared" si="17"/>
        <v>-55.014120000000005</v>
      </c>
      <c r="J69" s="183">
        <f t="shared" si="14"/>
        <v>-2340.2003599999994</v>
      </c>
      <c r="M69" s="183"/>
    </row>
    <row r="70" spans="1:13">
      <c r="A70" s="199" t="s">
        <v>153</v>
      </c>
      <c r="C70" s="213">
        <f t="shared" si="11"/>
        <v>0</v>
      </c>
      <c r="D70" s="213">
        <f t="shared" si="12"/>
        <v>0</v>
      </c>
      <c r="E70" s="183">
        <f>$H9*E55+$H10*E56</f>
        <v>0</v>
      </c>
      <c r="F70" s="183">
        <f>$H9*F55+$H10*F56</f>
        <v>-583.71467999999993</v>
      </c>
      <c r="G70" s="183">
        <f>$H9*G55+$H10*G56</f>
        <v>-217.19616000000002</v>
      </c>
      <c r="H70" s="183">
        <f>$H9*H55+$H10*H56</f>
        <v>0</v>
      </c>
      <c r="I70" s="183">
        <f>$H9*I55+$H10*I56</f>
        <v>115.38546000000001</v>
      </c>
      <c r="J70" s="183">
        <f t="shared" si="14"/>
        <v>-685.52538000000004</v>
      </c>
      <c r="M70" s="183"/>
    </row>
    <row r="71" spans="1:13">
      <c r="A71" s="199" t="s">
        <v>209</v>
      </c>
      <c r="C71" s="213">
        <f>(C57*F11)+(J57*G11)</f>
        <v>0</v>
      </c>
      <c r="D71" s="213">
        <f>$G11*D57</f>
        <v>0</v>
      </c>
      <c r="E71" s="183">
        <f t="shared" ref="E71:F73" si="21">$H11*E57</f>
        <v>0</v>
      </c>
      <c r="F71" s="183">
        <f t="shared" si="21"/>
        <v>0</v>
      </c>
      <c r="G71" s="183">
        <f t="shared" ref="G71" si="22">$H11*G57</f>
        <v>0</v>
      </c>
      <c r="H71" s="183">
        <f t="shared" ref="H71:I73" si="23">$H11*H57</f>
        <v>0</v>
      </c>
      <c r="I71" s="183">
        <f t="shared" si="23"/>
        <v>0</v>
      </c>
      <c r="J71" s="183">
        <f t="shared" si="14"/>
        <v>0</v>
      </c>
      <c r="M71" s="183"/>
    </row>
    <row r="72" spans="1:13">
      <c r="A72" s="199" t="s">
        <v>154</v>
      </c>
      <c r="C72" s="213">
        <f>(C58*F12)+(J58*G12)</f>
        <v>0</v>
      </c>
      <c r="D72" s="213">
        <f>$G12*D58</f>
        <v>-3002.8841700000003</v>
      </c>
      <c r="E72" s="183">
        <f t="shared" si="21"/>
        <v>0</v>
      </c>
      <c r="F72" s="183">
        <f t="shared" si="21"/>
        <v>-7411.2803100000001</v>
      </c>
      <c r="G72" s="183">
        <f t="shared" ref="G72" si="24">$H12*G58</f>
        <v>-2527.21819</v>
      </c>
      <c r="H72" s="183">
        <f t="shared" si="23"/>
        <v>0</v>
      </c>
      <c r="I72" s="183">
        <f t="shared" si="23"/>
        <v>1192.6198200000001</v>
      </c>
      <c r="J72" s="183">
        <f t="shared" si="14"/>
        <v>-11748.762849999999</v>
      </c>
      <c r="M72" s="183"/>
    </row>
    <row r="73" spans="1:13">
      <c r="A73" s="199" t="s">
        <v>155</v>
      </c>
      <c r="C73" s="213">
        <f>(C59*F13)+(J59*G13)</f>
        <v>-3.9579300000000046</v>
      </c>
      <c r="D73" s="213">
        <f>$G13*D59</f>
        <v>-196.911</v>
      </c>
      <c r="E73" s="183">
        <f t="shared" si="21"/>
        <v>0</v>
      </c>
      <c r="F73" s="183">
        <f t="shared" si="21"/>
        <v>-281.20400999999998</v>
      </c>
      <c r="G73" s="183">
        <f t="shared" ref="G73" si="25">$H13*G59</f>
        <v>-95.889489999999995</v>
      </c>
      <c r="H73" s="183">
        <f t="shared" si="23"/>
        <v>0</v>
      </c>
      <c r="I73" s="183">
        <f t="shared" si="23"/>
        <v>45.251220000000004</v>
      </c>
      <c r="J73" s="183">
        <f t="shared" si="14"/>
        <v>-532.71121000000005</v>
      </c>
      <c r="M73" s="183"/>
    </row>
    <row r="74" spans="1:13">
      <c r="A74" s="199" t="s">
        <v>221</v>
      </c>
      <c r="C74" s="213"/>
      <c r="D74" s="213"/>
      <c r="E74" s="183">
        <f>($H14+$H15+$H16)*E60</f>
        <v>0</v>
      </c>
      <c r="F74" s="183">
        <f>($H14+$H15+$H16)*F60</f>
        <v>0</v>
      </c>
      <c r="G74" s="183">
        <v>0</v>
      </c>
      <c r="H74" s="203">
        <v>0</v>
      </c>
      <c r="I74" s="203">
        <v>0</v>
      </c>
      <c r="J74" s="183">
        <f t="shared" si="14"/>
        <v>0</v>
      </c>
      <c r="M74" s="183"/>
    </row>
    <row r="75" spans="1:13">
      <c r="A75" s="172"/>
      <c r="C75" s="198">
        <f>SUM(C64:C74)</f>
        <v>-35748.856230000005</v>
      </c>
      <c r="D75" s="198">
        <f>SUM(D64:D74)</f>
        <v>156569.91367000001</v>
      </c>
      <c r="E75" s="198">
        <f t="shared" ref="E75:J75" si="26">SUM(E64:E74)</f>
        <v>-3115.4162400000005</v>
      </c>
      <c r="F75" s="198">
        <f t="shared" si="26"/>
        <v>62598.720469999986</v>
      </c>
      <c r="G75" s="198">
        <f t="shared" si="26"/>
        <v>23586.411770000002</v>
      </c>
      <c r="H75" s="198">
        <f t="shared" si="26"/>
        <v>0</v>
      </c>
      <c r="I75" s="198">
        <f t="shared" si="26"/>
        <v>-7807.0619599999991</v>
      </c>
      <c r="J75" s="198">
        <f t="shared" si="26"/>
        <v>196083.71147999994</v>
      </c>
    </row>
    <row r="77" spans="1:13">
      <c r="A77" s="167" t="s">
        <v>19</v>
      </c>
      <c r="B77" s="167"/>
      <c r="C77" s="183">
        <f>C64+C65</f>
        <v>-34484.749020000003</v>
      </c>
      <c r="D77" s="183">
        <f>D64+D65</f>
        <v>313802.85525000002</v>
      </c>
      <c r="E77" s="183">
        <f t="shared" ref="E77:J77" si="27">E64+E65</f>
        <v>-3115.4162400000005</v>
      </c>
      <c r="F77" s="183">
        <f t="shared" si="27"/>
        <v>56754.508119999999</v>
      </c>
      <c r="G77" s="183">
        <f t="shared" si="27"/>
        <v>21012.165220000003</v>
      </c>
      <c r="H77" s="183">
        <f t="shared" si="27"/>
        <v>0</v>
      </c>
      <c r="I77" s="183">
        <f t="shared" si="27"/>
        <v>-7581.7091</v>
      </c>
      <c r="J77" s="183">
        <f t="shared" si="27"/>
        <v>346387.65422999999</v>
      </c>
    </row>
    <row r="78" spans="1:13">
      <c r="A78" s="167"/>
      <c r="B78" s="167"/>
      <c r="C78" s="183"/>
      <c r="D78" s="183"/>
      <c r="E78" s="183"/>
      <c r="F78" s="183"/>
      <c r="G78" s="183"/>
      <c r="H78" s="183"/>
      <c r="I78" s="183"/>
      <c r="J78" s="183"/>
    </row>
    <row r="79" spans="1:13">
      <c r="A79" s="167" t="s">
        <v>213</v>
      </c>
      <c r="B79" s="167"/>
      <c r="C79" s="194">
        <f>SUM(C66:C69,C71:C73)</f>
        <v>-1264.1072100000004</v>
      </c>
      <c r="D79" s="194">
        <f>SUM(D66:D69,D71:D73)</f>
        <v>-157232.94158000001</v>
      </c>
      <c r="E79" s="194">
        <f t="shared" ref="E79:J79" si="28">SUM(E66:E69,E71:E73)</f>
        <v>0</v>
      </c>
      <c r="F79" s="194">
        <f t="shared" si="28"/>
        <v>6427.927029999998</v>
      </c>
      <c r="G79" s="194">
        <f t="shared" si="28"/>
        <v>2791.4427100000003</v>
      </c>
      <c r="H79" s="194">
        <f t="shared" si="28"/>
        <v>0</v>
      </c>
      <c r="I79" s="194">
        <f t="shared" si="28"/>
        <v>-340.73832000000004</v>
      </c>
      <c r="J79" s="194">
        <f t="shared" si="28"/>
        <v>-149618.41736999998</v>
      </c>
    </row>
  </sheetData>
  <mergeCells count="3">
    <mergeCell ref="A1:I1"/>
    <mergeCell ref="G60:G61"/>
    <mergeCell ref="J60:J61"/>
  </mergeCells>
  <pageMargins left="0.7" right="0.7" top="0.75" bottom="0.75" header="0.3" footer="0.3"/>
  <pageSetup scale="71" fitToHeight="2" orientation="landscape" r:id="rId1"/>
  <headerFooter>
    <oddFooter>&amp;L&amp;F / 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9DBE3D6-62B6-4519-B17A-8FEB6BE967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091ECC-496E-405E-AF3E-30EE822DFEFB}"/>
</file>

<file path=customXml/itemProps3.xml><?xml version="1.0" encoding="utf-8"?>
<ds:datastoreItem xmlns:ds="http://schemas.openxmlformats.org/officeDocument/2006/customXml" ds:itemID="{D810545A-4576-4461-A5A5-C85285B8F1AF}"/>
</file>

<file path=customXml/itemProps4.xml><?xml version="1.0" encoding="utf-8"?>
<ds:datastoreItem xmlns:ds="http://schemas.openxmlformats.org/officeDocument/2006/customXml" ds:itemID="{7D53E33D-45F4-4FC7-9909-30363A5B225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TY Normalized Usage by Month</vt:lpstr>
      <vt:lpstr>Conversion Factor</vt:lpstr>
      <vt:lpstr>Attachment 4, Page 1</vt:lpstr>
      <vt:lpstr>Attachment 4, Page 2</vt:lpstr>
      <vt:lpstr>Attachment 4, Page 3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  <vt:lpstr>'Attachment 4, Page 1'!Print_Area</vt:lpstr>
      <vt:lpstr>'Attachment 4, Page 2'!Print_Area</vt:lpstr>
      <vt:lpstr>'August Base Rate Revenue'!Print_Area</vt:lpstr>
      <vt:lpstr>'Deferral Calc'!Print_Area</vt:lpstr>
      <vt:lpstr>'Feb Base Rate Revenue'!Print_Area</vt:lpstr>
      <vt:lpstr>'Jan Base Rate Revenue'!Print_Area</vt:lpstr>
      <vt:lpstr>'October Base Rate Revenue'!Print_Area</vt:lpstr>
      <vt:lpstr>'September Base Rate Revenue'!Print_Area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2017-08-18T19:34:59Z</cp:lastPrinted>
  <dcterms:created xsi:type="dcterms:W3CDTF">2013-02-28T17:31:50Z</dcterms:created>
  <dcterms:modified xsi:type="dcterms:W3CDTF">2021-02-13T00:01:26Z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